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jcancino\Downloads\"/>
    </mc:Choice>
  </mc:AlternateContent>
  <bookViews>
    <workbookView xWindow="0" yWindow="0" windowWidth="28800" windowHeight="12015" tabRatio="1000" activeTab="11"/>
  </bookViews>
  <sheets>
    <sheet name="GRAFICOS" sheetId="129" r:id="rId1"/>
    <sheet name="Consolidado" sheetId="39" r:id="rId2"/>
    <sheet name="Prog 01" sheetId="4" r:id="rId3"/>
    <sheet name="P01 2022" sheetId="117" state="hidden" r:id="rId4"/>
    <sheet name="P01 2023" sheetId="135" state="hidden" r:id="rId5"/>
    <sheet name="Prog 02" sheetId="35" r:id="rId6"/>
    <sheet name="P02 2022" sheetId="116" state="hidden" r:id="rId7"/>
    <sheet name="P02 2023" sheetId="133" state="hidden" r:id="rId8"/>
    <sheet name="Prog 03" sheetId="37" r:id="rId9"/>
    <sheet name="P03 2023" sheetId="132" state="hidden" r:id="rId10"/>
    <sheet name="P03 2022" sheetId="115" state="hidden" r:id="rId11"/>
    <sheet name="Prog 05" sheetId="54" r:id="rId12"/>
    <sheet name="P05 2023" sheetId="131" state="hidden" r:id="rId13"/>
    <sheet name="P05 2022" sheetId="114" state="hidden" r:id="rId14"/>
  </sheets>
  <externalReferences>
    <externalReference r:id="rId15"/>
    <externalReference r:id="rId16"/>
  </externalReferences>
  <definedNames>
    <definedName name="_xlnm._FilterDatabase" localSheetId="1" hidden="1">Consolidado!$A$7:$AY$279</definedName>
    <definedName name="_xlnm._FilterDatabase" localSheetId="3" hidden="1">'P01 2022'!$A$2:$HM$2</definedName>
    <definedName name="_xlnm._FilterDatabase" localSheetId="6" hidden="1">'P02 2022'!$GI$2:$GT$53</definedName>
    <definedName name="_xlnm._FilterDatabase" localSheetId="10" hidden="1">'P03 2022'!$HA$2:$HK$23</definedName>
    <definedName name="_xlnm._FilterDatabase" localSheetId="2" hidden="1">'Prog 01'!$A$9:$AX$183</definedName>
    <definedName name="_xlnm._FilterDatabase" localSheetId="5" hidden="1">'Prog 02'!$A$9:$AP$49</definedName>
    <definedName name="_xlnm._FilterDatabase" localSheetId="8" hidden="1">'Prog 03'!$A$11:$BD$54</definedName>
    <definedName name="_xlnm._FilterDatabase" localSheetId="11" hidden="1">'Prog 05'!$A$9:$BY$70</definedName>
    <definedName name="ABRIL2012">#REF!</definedName>
    <definedName name="AGOSTO_2012">#REF!</definedName>
    <definedName name="anualpro032012">#REF!</definedName>
    <definedName name="anualprog012013">#REF!</definedName>
    <definedName name="anualprog022013">#REF!</definedName>
    <definedName name="anualprog032013">#REF!</definedName>
    <definedName name="_xlnm.Print_Area" localSheetId="1">Consolidado!$B$2:$R$291</definedName>
    <definedName name="_xlnm.Print_Area" localSheetId="2">'Prog 01'!$B$2:$R$182</definedName>
    <definedName name="_xlnm.Print_Area" localSheetId="5">'Prog 02'!$B$2:$R$49</definedName>
    <definedName name="_xlnm.Print_Area" localSheetId="8">'Prog 03'!$B$4:$R$54</definedName>
    <definedName name="_xlnm.Print_Area" localSheetId="11">'Prog 05'!$B$2:$R$70</definedName>
    <definedName name="CÓDIGO">#REF!</definedName>
    <definedName name="coincidenciaP01">'Prog 01'!$F:$O</definedName>
    <definedName name="Compromiso_ENERO">'P01 2023'!$G$2:$G$147</definedName>
    <definedName name="compromisosjulio">#REF!</definedName>
    <definedName name="Concepto2022">'P01 2022'!$B$2:$B$131</definedName>
    <definedName name="CTA_PRES">'[1]Clasificador Presupuestario'!$A$1:$C$593</definedName>
    <definedName name="Cta_Presp">'[2]Clasificador Presupuestario'!$A$1:$C$627</definedName>
    <definedName name="Devengado_enero">'P01 2023'!$I$2:$I$147</definedName>
    <definedName name="Devengado2022">'P01 2022'!$F$2:$F$131</definedName>
    <definedName name="Devengadojulio">#REF!</definedName>
    <definedName name="DICIEMBRE_2012">#REF!</definedName>
    <definedName name="EENERO23">'P01 2023'!$A$2:$I$147</definedName>
    <definedName name="EJECUCIO_AGOSTO_2013_2">#REF!</definedName>
    <definedName name="EJECUCION_31_07_2013">#REF!</definedName>
    <definedName name="EJECUCION_ACUMULADA_AL_25_09_2013">#REF!</definedName>
    <definedName name="EJECUCION_ACUMULADA_AL_30_NOVIEMBRE_2013">#REF!</definedName>
    <definedName name="Ejecucion_Acumulada_al_30_Septiembre">#REF!</definedName>
    <definedName name="EJECUCION_ACUMULADA_AL_31_DE_AGOSTO_DEL_2013">#REF!</definedName>
    <definedName name="EJECUCIÓN_ACUMULADA_AL_31_DE_MARZO_DEL_2014">#REF!</definedName>
    <definedName name="EJECUCION_ACUMULADA_AL_31_OCTUBRE_2013">#REF!</definedName>
    <definedName name="EJECUCION_AGOSTO_2012">#REF!</definedName>
    <definedName name="EJECUCION_AGOSTO_2013">#REF!</definedName>
    <definedName name="EJECUCION_AL_25_09_2013">#REF!</definedName>
    <definedName name="Ejecución_al_30_sep_2013">#REF!</definedName>
    <definedName name="EJECUCION_AL_31_07_2013">#REF!</definedName>
    <definedName name="EJECUCION_JULIO_2012">#REF!</definedName>
    <definedName name="EJECUCION_JULIO_2013">#REF!</definedName>
    <definedName name="EJECUCIÓN_PRESUPUESTARIA_ACUMULADA_AL_13_DE_MARZO_DE_2018">#REF!</definedName>
    <definedName name="EJECUCION_PRESUPUESTARIA_AL_31_DE_MARZO_2014">#REF!</definedName>
    <definedName name="Ejecución_Septiembre">#REF!</definedName>
    <definedName name="Ejecución_Septiembre_2013">#REF!</definedName>
    <definedName name="Ejecucionpresupuestariajulio">#REF!</definedName>
    <definedName name="enero">#REF!</definedName>
    <definedName name="ENERO.P01.22">'P01 2022'!$B$2:$F$131</definedName>
    <definedName name="enero2012">#REF!</definedName>
    <definedName name="ENERO2022">'P01 2022'!$B$2:$F$131</definedName>
    <definedName name="enero2023">'P01 2023'!$A$2:$I$147</definedName>
    <definedName name="eneroprog022012">#REF!</definedName>
    <definedName name="eneroprog022013">#REF!</definedName>
    <definedName name="eneroprog032012">#REF!</definedName>
    <definedName name="eneroprog032013">#REF!</definedName>
    <definedName name="febrero">#REF!</definedName>
    <definedName name="febrero2012">#REF!</definedName>
    <definedName name="febreroprog022012">#REF!</definedName>
    <definedName name="febreroprog022013">#REF!</definedName>
    <definedName name="febreroprog032012">#REF!</definedName>
    <definedName name="febreroprog032013">#REF!</definedName>
    <definedName name="febrro2012" localSheetId="11">#REF!</definedName>
    <definedName name="febrro2012">#REF!</definedName>
    <definedName name="indicep01">'Prog 01'!$F:$F</definedName>
    <definedName name="JULIO">#REF!</definedName>
    <definedName name="julio_2012">#REF!</definedName>
    <definedName name="JULIO2012">#REF!</definedName>
    <definedName name="JUNIO">#REF!</definedName>
    <definedName name="junio2012">#REF!</definedName>
    <definedName name="marzo">#REF!</definedName>
    <definedName name="marzo2012">#REF!</definedName>
    <definedName name="marzoprog022012">#REF!</definedName>
    <definedName name="marzoprog022013">#REF!</definedName>
    <definedName name="marzoprog032012">#REF!</definedName>
    <definedName name="marzoprog032013">#REF!</definedName>
    <definedName name="matriz01" localSheetId="11">'Prog 05'!$F$34:$R$69</definedName>
    <definedName name="matriz01">'Prog 01'!$F$13:$R$181</definedName>
    <definedName name="matriz01.v2">'Prog 01'!$B$9:$O$182</definedName>
    <definedName name="matriz02">'Prog 02'!$F$14:$R$49</definedName>
    <definedName name="matriz03">'Prog 03'!$F$23:$R$54</definedName>
    <definedName name="matriz2">'Prog 02'!$F$14:$K$14</definedName>
    <definedName name="matrizP50">#REF!</definedName>
    <definedName name="mayo">#REF!</definedName>
    <definedName name="MAYO2012">#REF!</definedName>
    <definedName name="noviembre_20_12">#REF!</definedName>
    <definedName name="NOVIEMBRE_2012">#REF!</definedName>
    <definedName name="NULO">#REF!</definedName>
    <definedName name="OCTUBRE_2012">#REF!</definedName>
    <definedName name="P_01_EJECUCIÓN_PRESUPUESTARIA_AL_31_DE_AGOSTO_2016">#REF!</definedName>
    <definedName name="P01_EJECUCION_ACUMULADA_AL_28_DE_FEBRERO_2015">#REF!</definedName>
    <definedName name="P01_EJECUCIÓN_ACUMULADA_AL_31_DE_MAYO_2016">#REF!</definedName>
    <definedName name="P01_EJECUCION_ACUMULADA_AÑO_2013">#REF!</definedName>
    <definedName name="P01_EJECUCION_DICIEMBRE_2013">#REF!</definedName>
    <definedName name="P01_EJECUCIÓN_NOVIEMBRE_2013">#REF!</definedName>
    <definedName name="P01_EJECUCION_OCTUBRE_2013">#REF!</definedName>
    <definedName name="P01_EJECUCIÓN_PRESUPIUESTARIA_ACUMULADA_AL_30_DE_ABRIL_DEL_2015">#REF!</definedName>
    <definedName name="P01_EJECUCIÓN_PRESUPUESTARIA__ACUMULADA_AL_17_DE_DICIEMBRE_DEL_2015">#REF!</definedName>
    <definedName name="P01_EJECUCIÓN_PRESUPUESTARIA__ACUMULADA_AL_31_DE_DICIEMBRE_DEL_2015">#REF!</definedName>
    <definedName name="P01_EJECUCIÓN_PRESUPUESTARIA_ACUMULADA_AL_13_DE_MARZO_2018">#REF!</definedName>
    <definedName name="P01_EJECUCION_PRESUPUESTARIA_ACUMULADA_AL_15_DE_JUNIO_DEL_2015">#REF!</definedName>
    <definedName name="P01_EJECUCIÓN_PRESUPUESTARIA_ACUMULADA_AL_15_DE_JUNIO_DEL_2015">#REF!</definedName>
    <definedName name="P01_EJECUCIÓN_PRESUPUESTARIA_ACUMULADA_AL_15_DE_MAYO_DEL_2015">#REF!</definedName>
    <definedName name="P01_EJECUCIÓN_PRESUPUESTARIA_ACUMULADA_AL_16_DE_MAYO_2015">#REF!</definedName>
    <definedName name="P01_EJECUCIÓN_PRESUPUESTARIA_ACUMULADA_AL_26_DE_AGOSTO_DEL_2015">#REF!</definedName>
    <definedName name="P01_EJECUCIÓN_PRESUPUESTARIA_ACUMULADA_AL_30_DE_JUNIO_2018">#REF!</definedName>
    <definedName name="P01_EJECUCIÓN_PRESUPUESTARIA_ACUMULADA_AL_30_DE_JUNIO_DEL_2015">#REF!</definedName>
    <definedName name="P01_EJECUCIÓN_PRESUPUESTARIA_ACUMULADA_AL_30_DE_NOVIEMBRE_DEL_2015">#REF!</definedName>
    <definedName name="P01_EJECUCIÓN_PRESUPUESTARIA_ACUMULADA_AL_30_DE_SEPTIEMBRE_DEL_2015">#REF!</definedName>
    <definedName name="P01_EJECUCIÓN_PRESUPUESTARIA_ACUMULADA_AL_31_DE_AGOSTO_DEL_2015">#REF!</definedName>
    <definedName name="P01_EJECUCIÓN_PRESUPUESTARIA_ACUMULADA_AL_31_DE_JULIO_2018">#REF!</definedName>
    <definedName name="P01_EJECUCIÓN_PRESUPUESTARIA_ACUMULADA_AL_31_DE_JULIO_DEL_2015">#REF!</definedName>
    <definedName name="P01_EJECUCIÓN_PRESUPUESTARIA_ACUMULADA_AL_31_DE_MAYO_2018">#REF!</definedName>
    <definedName name="P01_EJECUCIÓN_PRESUPUESTARIA_ACUMULADA_AL_31_DE_MAYO_DEL_2015">#REF!</definedName>
    <definedName name="P01_EJECUCIÓN_PRESUPUESTARIA_ACUMULADA_AL_31_DE_OCTUBRE_DEL_2015">#REF!</definedName>
    <definedName name="P01_EJECUCIÓN_PRESUPUESTARIA_AL_15_DE_JUNIO_DEL_2015">#REF!</definedName>
    <definedName name="P01_EJECUCIÓN_PRESUPUESTARIA_AL_17_DE_DICIEMBRE_DEL_2015">#REF!</definedName>
    <definedName name="P01_EJECUCIÓN_PRESUPUESTARIA_AL_19_DE_MAYO_2015">#REF!</definedName>
    <definedName name="P01_EJECUCIÓN_PRESUPUESTARIA_AL_21_DE_SEPTIEMBRE_DEL_2015">#REF!</definedName>
    <definedName name="P01_EJECUCIÓN_PRESUPUESTARIA_AL_26_DE_AGOSTO_DEL_2015">#REF!</definedName>
    <definedName name="P01_EJECUCION_PRESUPUESTARIA_AL_26_DE_MARZO_DEL_2015">#REF!</definedName>
    <definedName name="P01_EJECUCIÓN_PRESUPUESTARIA_AL_28_DE_FEBRERO_2015">#REF!</definedName>
    <definedName name="P01_EJECUCIÓN_PRESUPUESTARIA_AL_30_DE_ABRIL_DEL_2015">#REF!</definedName>
    <definedName name="P01_EJECUCIÓN_PRESUPUESTARIA_AL_30_DE_JUNIO_2018">#REF!</definedName>
    <definedName name="P01_EJECUCIÓN_PRESUPUESTARIA_AL_30_DE_JUNIO_DEL_2015">#REF!</definedName>
    <definedName name="P01_EJECUCIÓN_PRESUPUESTARIA_AL_30_DE_NOVIEMBRE_DEL_2015">#REF!</definedName>
    <definedName name="P01_EJECUCIÓN_PRESUPUESTARIA_AL_30_DE_SEPTIEMBRE_2015">#REF!</definedName>
    <definedName name="P01_EJECUCIÓN_PRESUPUESTARIA_AL_30_DE_SEPTIEMBRE_DEL_2015">#REF!</definedName>
    <definedName name="P01_EJECUCION_PRESUPUESTARIA_AL_31_DE_AGOSTO_2016">#REF!</definedName>
    <definedName name="P01_EJECUCIÓN_PRESUPUESTARIA_AL_31_DE_AGOSTO_2016">#REF!</definedName>
    <definedName name="P01_EJECUCIÓN_PRESUPUESTARIA_AL_31_DE_AGOSTO_2016_">#REF!</definedName>
    <definedName name="P01_EJECUCIÓN_PRESUPUESTARIA_AL_31_DE_AGOSTO_DEL_2015">#REF!</definedName>
    <definedName name="P01_EJECUCIÓN_PRESUPUESTARIA_AL_31_DE_AGOSTO_DEL_2016">#REF!</definedName>
    <definedName name="P01_EJECUCIÓN_PRESUPUESTARIA_AL_31_DE_DICIEMBRE_DEL_2015">#REF!</definedName>
    <definedName name="P01_EJECUCIÓN_PRESUPUESTARIA_AL_31_DE_ENERO_2015">#REF!</definedName>
    <definedName name="P01_EJECUCIÓN_PRESUPUESTARIA_AL_31_DE_JULIO_DEL_2015">#REF!</definedName>
    <definedName name="P01_EJECUCIÓN_PRESUPUESTARIA_AL_31_DE_MARZO_2017">#REF!</definedName>
    <definedName name="P01_EJECUCIÓN_PRESUPUESTARIA_AL_31_DE_MAYO_2016">#REF!</definedName>
    <definedName name="P01_EJECUCIÓN_PRESUPUESTARIA_AL_31_DE_MAYO_2017">#REF!</definedName>
    <definedName name="P01_EJECUCIÓN_PRESUPUESTARIA_AL_31_DE_MAYO_2018">#REF!</definedName>
    <definedName name="P01_EJECUCIÓN_PRESUPUESTARIA_AL_31_DE_MAYO_DEL_2015">#REF!</definedName>
    <definedName name="P01_EJECUCIÓN_PRESUPUESTARIA_AL_31_DE_NOVIEMBRE_DEL_2015">#REF!</definedName>
    <definedName name="P01_EJECUCIÓN_PRESUPUESTARIA_AL_31_DE_OCTUBRE_DEL_2015">#REF!</definedName>
    <definedName name="P01_EJECUCIÓN_PRESUPUESTARIA_ENERO_2015">#REF!</definedName>
    <definedName name="P02_EJECUCIÓN_25_09_2013">#REF!</definedName>
    <definedName name="P02_EJECUCION_ACUMULADA_AL_21_DE_MARZO_2014">#REF!</definedName>
    <definedName name="P02_EJECUCION_ACUMULADA_AL_25_09_2013">#REF!</definedName>
    <definedName name="P02_EJECUCION_ACUMULADA_AL_31_DE_AGOSTO_DEL_2013">#REF!</definedName>
    <definedName name="P02_Ejecucion_Acumulada_al_31_Octubre_2013">#REF!</definedName>
    <definedName name="P02_EJECUCION_ACUMULADA_ANUAL_AÑO_2013">#REF!</definedName>
    <definedName name="P02_EJECUCION_DICIEMBRE_2013">#REF!</definedName>
    <definedName name="P02_EJECUCION_OCTUBRE_2013">#REF!</definedName>
    <definedName name="P02_EJECUCIÓN_PRESUPUESTARIA_ACUMULADA_AL_28_DE_FEBRERO_2015">#REF!</definedName>
    <definedName name="P02_EJECUCIÓN_PRESUPUESTARIA_ACUMULADA_AL_30_DE_ABRIL_2015">#REF!</definedName>
    <definedName name="P02_EJECUCIÓN_PRESUPUESTARIA_ACUMULADA_AL_30_DE_ABRIL_DEL_2015">#REF!</definedName>
    <definedName name="P02_EJECUCIÓN_PRESUPUESTARIA_ACUMULADA_AL_30_DE_JUNIO_DEL_2015">#REF!</definedName>
    <definedName name="P02_EJECUCIÓN_PRESUPUESTARIA_ACUMULADA_AL_31_DE_JULIO_DEL_2015">#REF!</definedName>
    <definedName name="P02_EJECUCIÓN_PRESUPUESTARIA_ACUMULADA_AL_31_DE_OCTUBRE_2015">#REF!</definedName>
    <definedName name="P02_EJECUCION_PRESUPUESTARIA_AL_21_DE_MARZO_2014">#REF!</definedName>
    <definedName name="P02_EJECUCIÓN_PRESUPUESTARIA_AL_28_DE_FEBRERO_2015">#REF!</definedName>
    <definedName name="P02_EJECUCIÓN_PRESUPUESTARIA_AL_30_DE_ABRIL_2015">#REF!</definedName>
    <definedName name="P02_EJECUCION_PRESUPUESTARIA_AL_31_DE_ENERO_2015">#REF!</definedName>
    <definedName name="P02_EJECUCIÓN_PRESUPUESTARIA_AL_31_DE_JULIO_DEL_2015">#REF!</definedName>
    <definedName name="P02_EJECUCIÓN_PRESUPUESTARIA_AL_31_DE_OCTUBRE_2015">#REF!</definedName>
    <definedName name="p03_2012">#REF!</definedName>
    <definedName name="P03_EJECUCION_ACUMULADA_AL_21_DE_MARZO_2014">#REF!</definedName>
    <definedName name="P03_EJECUCIÓN_ACUMULADA_AL_28_DE_FEBRERO_2015">#REF!</definedName>
    <definedName name="P03_EJECUCION_ACUMULADA_AL_30_SEPTIEMBRE_2013">#REF!</definedName>
    <definedName name="P03_EJECUCION_ACUMULADA_AL_31_OCTUBRE_2013">#REF!</definedName>
    <definedName name="P03_EJECUCION_ACUMULADA_ANUL_AÑO_2013">#REF!</definedName>
    <definedName name="P03_EJECUCION_DICIEMBRE_2013">#REF!</definedName>
    <definedName name="P03_EJECUCIÓN_PRESUPUESTARIA_ACUMULADA_AL_30_DE_ABRIL_DEL_2015">#REF!</definedName>
    <definedName name="P03_EJECUCIÓN_PRESUPUESTARIA_ACUMULADA_AL_31_DE_AGOSTO_DEL_2015">#REF!</definedName>
    <definedName name="P03_EJECUCIÓN_PRESUPUESTARIA_ACUMULADA_AL_31_DE_JULIO_DEL_2015">#REF!</definedName>
    <definedName name="P03_EJECUCIÓN_PRESUPUESTARIA_ACUMULADA_AL_31_DE_MAYO_DEL_2015">#REF!</definedName>
    <definedName name="P03_EJECUCION_PRESUPUESTARIA_AL_21_DE_MARZO_2014">#REF!</definedName>
    <definedName name="P03_EJECUCIÓN_PRESUPUESTARIA_AL_28_DE_FEBRERO_2015">#REF!</definedName>
    <definedName name="P03_EJECUCIÓN_PRESUPUESTARIA_AL_30_DE_ABRIL_DEL_2015">#REF!</definedName>
    <definedName name="P03_EJECUCIÓN_PRESUPUESTARIA_AL_31_DE_AGOSTO_DEL_2015">#REF!</definedName>
    <definedName name="P03_EJECUCIÓN_PRESUPUESTARIA_AL_31_DE_ENERO_2015">#REF!</definedName>
    <definedName name="P03_EJECUCIÓN_PRESUPUESTARIA_AL_31_DE_JULIO_DEL_2015">#REF!</definedName>
    <definedName name="P03_EJECUCIÓN_PRESUPUESTARIA_AL_31_DE_MAYO_DEL_2015">#REF!</definedName>
    <definedName name="P03_SEPTIEMBRE_2012">#REF!</definedName>
    <definedName name="P03_SITUACIÓN_PRESUPUESTARIA_ACUMULADA_AL_30_DE_JUNIO_DEL_2015">#REF!</definedName>
    <definedName name="P03_SITUACIÓN_PRESUPUESTARIA_ACUMULADA_AL_30_DE_NOVIEMBRE_DEL_2015">#REF!</definedName>
    <definedName name="P03_SITUACIÓN_PRESUPUESTARIA_ACUMULADA_AL_31_DE_OCTUBRE_DEL_2015">#REF!</definedName>
    <definedName name="P03_SITUACIÓN_PRESUPUESTARIA_AL_30_DE_JUNIO_DEL_2015">#REF!</definedName>
    <definedName name="P03_SITUACIÓN_PRESUPUESTARIA_AL_30_DE_NOBIEMBRE_DE_2015">#REF!</definedName>
    <definedName name="P03_SITUACIÓN_PRESUPUESTARIA_AL_31_DE_OCTUBRE_DE_2015">#REF!</definedName>
    <definedName name="P05_EJECUCIÓN_PRESUPUESTARIA_ACUMULADA_AL_28_DE_FEBRERO_2015">#REF!</definedName>
    <definedName name="P05_EJECUCIÓN_PRESUPUESTARIA_ACUMULADA_AL_30_DE_ABRIL_DEL_2015">#REF!</definedName>
    <definedName name="P05_EJECUCIÓN_PRESUPUESTARIA_ACUMULADA_AL_30_DE_JUNIO_DEL_2015">#REF!</definedName>
    <definedName name="P05_EJECUCIÓN_PRESUPUESTARIA_ACUMULADA_AL_30_DE_SEPTIEMBRE_DEL_2015">#REF!</definedName>
    <definedName name="P05_EJECUCIÓN_PRESUPUESTARIA_ACUMULADA_AL_31_DE_AGOSTO_DEL_2015">#REF!</definedName>
    <definedName name="P05_EJECUCIÓN_PRESUPUESTARIA_ACUMULADA_AL_31_DE_DICIEMBRE_DE_2017">#REF!</definedName>
    <definedName name="P05_EJECUCIÓN_PRESUPUESTARIA_ACUMULADA_AL_31_DE_JULIO_DEL_2015">#REF!</definedName>
    <definedName name="P05_EJECUCIÓN_PRESUPUESTARIA_ACUMULADA_AL_31_DE_MAYO_DEL_2015">#REF!</definedName>
    <definedName name="P05_EJECUCIÓN_PRESUPUESTARIA_AL_28_DE_FEBRERO_2015">#REF!</definedName>
    <definedName name="P05_EJECUCIÓN_PRESUPUESTARIA_AL_30_DE_ABRIL_DEL_2015">#REF!</definedName>
    <definedName name="P05_EJECUCIÓN_PRESUPUESTARIA_AL_30_DE_JUNIO_DEL_2015">#REF!</definedName>
    <definedName name="P05_EJECUCIÓN_PRESUPUESTARIA_AL_30_DE_NOVIEMBRE_DEL_2015">#REF!</definedName>
    <definedName name="P05_EJECUCIÓN_PRESUPUESTARIA_AL_30_DE_SEPTIEMBRE_DEL_2015">#REF!</definedName>
    <definedName name="P05_EJECUCIÓN_PRESUPUESTARIA_AL_31_DE_AGOSTO_DEL_2015">#REF!</definedName>
    <definedName name="P05_EJECUCION_PRESUPUESTARIA_AL_31_DE_ENERO_2015">#REF!</definedName>
    <definedName name="P05_EJECUCIÓN_PRESUPUESTARIA_AL_31_DE_MAYO_DEL_2015">#REF!</definedName>
    <definedName name="P06_EJECUCIÓN_PRESUPUESTARIA_ACUMULADA_AL_30_DE_ABRIL_DEL_2015">#REF!</definedName>
    <definedName name="P06_EJECUCIÓN_PRESUPUESTARIA_ACUMULADA_AL_30_DE_JUNIO_DEL_2015">#REF!</definedName>
    <definedName name="P06_EJECUCIÓN_PRESUPUESTARIA_ACUMULADA_AL_30_DE_NOVIEMBRE_DEL_2015">#REF!</definedName>
    <definedName name="P06_EJECUCIÓN_PRESUPUESTARIA_ACUMULADA_AL_31_DE_AGOSTO_DEL_2015">#REF!</definedName>
    <definedName name="P06_EJECUCIÓN_PRESUPUESTARIA_ACUMULADA_AL_31_DE_JULIO_DEL_2015">#REF!</definedName>
    <definedName name="P06_EJECUCIÓN_PRESUPUESTARIA_ACUMULADA_AL_31_DE_MAYO_DEL_2015">#REF!</definedName>
    <definedName name="P06_EJECUCIÓN_PRESUPUESTARIA_AL_30_DE_JUNIO_DEL_2015">#REF!</definedName>
    <definedName name="P06_EJECUCIÓN_PRESUPUESTARIA_AL_31_DE_AGOSTO_DEL_2015">#REF!</definedName>
    <definedName name="P06_EJECUCIÓN_PRESUPUESTARIA_AL_31_DE_ENERO_2015">#REF!</definedName>
    <definedName name="pptovigenteamarzo">#REF!</definedName>
    <definedName name="pptovigentemayo">#REF!</definedName>
    <definedName name="PresupuestovigenteJulio">#REF!</definedName>
    <definedName name="presupuestovigentejunio">#REF!</definedName>
    <definedName name="PROG_01_EJECUCIÓN_ACUMULADA_AL_13_DE_MARZO_2014.">#REF!</definedName>
    <definedName name="PROG_01_EJECUCIÓN_ACUMULADA_AL_21_DE_MARZO_2014.">#REF!</definedName>
    <definedName name="PROG_01_EJECUCIÓN_ACUMULADA_AL_28_DE_FEBRERO_2017">#REF!</definedName>
    <definedName name="PROG_01_EJECUCIÓN_ACUMULADA_AL_29_DE_FEBRERO_2016">#REF!</definedName>
    <definedName name="PROG_01_EJECUCIÓN_ACUMULADA_AL_30_DE_ABRIL_2016">#REF!</definedName>
    <definedName name="PROG_01_EJECUCIÓN_ACUMULADA_AL_30_DE_JUNIO_2016">#REF!</definedName>
    <definedName name="PROG_01_EJECUCIÓN_ACUMULADA_AL_30_DE_NOVIEMBRE_2016">#REF!</definedName>
    <definedName name="PROG_01_EJECUCIÓN_ACUMULADA_AL_30_DE_SEPTIEMBRE_2016">#REF!</definedName>
    <definedName name="PROG_01_EJECUCIÓN_ACUMULADA_AL_31_DE_AGOSTO_2016">#REF!</definedName>
    <definedName name="PROG_01_EJECUCIÓN_ACUMULADA_AL_31_DE_DICIEMBRE_2016">#REF!</definedName>
    <definedName name="PROG_01_EJECUCIÓN_ACUMULADA_AL_31_DE_ENERO_2016">#REF!</definedName>
    <definedName name="PROG_01_EJECUCIÓN_ACUMULADA_AL_31_DE_ENERO_2017">#REF!</definedName>
    <definedName name="PROG_01_EJECUCIÓN_ACUMULADA_AL_31_DE_JULIO_2016">#REF!</definedName>
    <definedName name="PROG_01_EJECUCION_ACUMULADA_AL_31_DE_MARZO_2013">#REF!</definedName>
    <definedName name="PROG_01_EJECUCIÓN_ACUMULADA_AL_31_DE_MARZO_2016">#REF!</definedName>
    <definedName name="PROG_01_EJECUCIÓN_ACUMULADA_AL_31_DE_MARZO_2017">#REF!</definedName>
    <definedName name="PROG_01_EJECUCIÓN_ACUMULADA_AL_31_DE_MARZO_DEL_2014">#REF!</definedName>
    <definedName name="PROG_01_EJECUCION_ACUMULADA_AL_31_DE_MAYO_2014">#REF!</definedName>
    <definedName name="PROG_01_EJECUCIÓN_ACUMULADA_AL_31_DE_MAYO_2016">#REF!</definedName>
    <definedName name="PROG_01_EJECUCIÓN_ACUMULADA_AL_31_DE_OCTUBRE_2016">#REF!</definedName>
    <definedName name="PROG_01_EJECUCION_PRESUPUESTARIA_30_DE_ABRIL_2014">#REF!</definedName>
    <definedName name="PROG_01_EJECUCION_PRESUPUESTARIA_30_DE_JUNIO_2013">#REF!</definedName>
    <definedName name="PROG_01_EJECUCION_PRESUPUESTARIA_30_DE_JUNIO_2014">#REF!</definedName>
    <definedName name="PROG_01_EJECUCION_PRESUPUESTARIA_31_DE_JULIO_2013">#REF!</definedName>
    <definedName name="PROG_01_EJECUCION_PRESUPUESTARIA_31_DE_JULIO_2014">#REF!</definedName>
    <definedName name="PROG_01_EJECUCIÓN_PRESUPUESTARIA_31_DE_MARZO_2015">#REF!</definedName>
    <definedName name="PROG_01_EJECUCION_PRESUPUESTARIA_31_DE_MAYO_2014">#REF!</definedName>
    <definedName name="PROG_01_EJECUCIÓN_PRESUPUESTARIA_ACUMULADA_31_ENERO_2017">#REF!</definedName>
    <definedName name="PROG_01_EJECUCIÓN_PRESUPUESTARIA_ACUMULADA_AL_13_DE_MARZO_2017">#REF!</definedName>
    <definedName name="PROG_01_EJECUCIÓN_PRESUPUESTARIA_ACUMULADA_AL_13_DE_MARZO_2018">#REF!</definedName>
    <definedName name="PROG_01_EJECUCIÓN_PRESUPUESTARIA_ACUMULADA_AL_28_DE_febrero_2017">#REF!</definedName>
    <definedName name="PROG_01_EJECUCIÓN_PRESUPUESTARIA_ACUMULADA_AL_28_DE_FEBRERO_2018">#REF!</definedName>
    <definedName name="PROG_01_EJECUCION_PRESUPUESTARIA_ACUMULADA_AL_30_DE_ABRIL_2013">#REF!</definedName>
    <definedName name="PROG_01_EJECUCION_PRESUPUESTARIA_ACUMULADA_AL_30_DE_ABRIL_2014">#REF!</definedName>
    <definedName name="PROG_01_EJECUCIÓN_PRESUPUESTARIA_ACUMULADA_AL_30_DE_ABRIL_2017">#REF!</definedName>
    <definedName name="PROG_01_EJECUCIÓN_PRESUPUESTARIA_ACUMULADA_AL_30_DE_ABRIL_2018">#REF!</definedName>
    <definedName name="PROG_01_EJECUCION_PRESUPUESTARIA_ACUMULADA_AL_30_DE_JUNIO_2013">#REF!</definedName>
    <definedName name="PROG_01_EJECUCION_PRESUPUESTARIA_ACUMULADA_AL_30_DE_JUNIO_2014">#REF!</definedName>
    <definedName name="PROG_01_EJECUCIÓN_PRESUPUESTARIA_ACUMULADA_AL_30_DE_JUNIO_2017">#REF!</definedName>
    <definedName name="PROG_01_EJECUCION_PRESUPUESTARIA_ACUMULADA_AL_30_DE_NOVIEMBRE_2014">#REF!</definedName>
    <definedName name="PROG_01_EJECUCIÓN_PRESUPUESTARIA_ACUMULADA_AL_30_DE_NOVIEMBRE_2017">#REF!</definedName>
    <definedName name="PROG_01_EJECUCION_PRESUPUESTARIA_ACUMULADA_AL_30_DE_SEPTIEMBRE_2014">#REF!</definedName>
    <definedName name="PROG_01_EJECUCIÓN_PRESUPUESTARIA_ACUMULADA_AL_30_DE_SEPTIEMBRE_2017">#REF!</definedName>
    <definedName name="PROG_01_EJECUCION_PRESUPUESTARIA_ACUMULADA_AL_31_DE_AGOSTO_2014">#REF!</definedName>
    <definedName name="PROG_01_EJECUCIÓN_PRESUPUESTARIA_ACUMULADA_AL_31_DE_AGOSTO_2017">#REF!</definedName>
    <definedName name="PROG_01_EJECUCIÓN_PRESUPUESTARIA_ACUMULADA_AL_31_DE_AGOSTO_DEL_2015">#REF!</definedName>
    <definedName name="PROG_01_EJECUCION_PRESUPUESTARIA_ACUMULADA_AL_31_DE_DICIEMBRE_2014">#REF!</definedName>
    <definedName name="PROG_01_EJECUCIÓN_PRESUPUESTARIA_ACUMULADA_AL_31_DE_DICIEMBRE_2017">#REF!</definedName>
    <definedName name="PROG_01_EJECUCIÓN_PRESUPUESTARIA_ACUMULADA_AL_31_DE_Enero_2018">#REF!</definedName>
    <definedName name="PROG_01_EJECUCION_PRESUPUESTARIA_ACUMULADA_AL_31_DE_JULIO_2013">#REF!</definedName>
    <definedName name="PROG_01_EJECUCION_PRESUPUESTARIA_ACUMULADA_AL_31_DE_JULIO_2014">#REF!</definedName>
    <definedName name="PROG_01_EJECUCIÓN_PRESUPUESTARIA_ACUMULADA_AL_31_DE_JULIO_2017">#REF!</definedName>
    <definedName name="PROG_01_EJECUCIÓN_PRESUPUESTARIA_ACUMULADA_AL_31_DE_MARZO_2017">#REF!</definedName>
    <definedName name="PROG_01_EJECUCIÓN_PRESUPUESTARIA_ACUMULADA_AL_31_DE_MARZO_2018">#REF!</definedName>
    <definedName name="PROG_01_EJECUCIÓN_PRESUPUESTARIA_ACUMULADA_AL_31_DE_MARZO_DEL_2015">#REF!</definedName>
    <definedName name="PROG_01_EJECUCION_PRESUPUESTARIA_ACUMULADA_AL_31_DE_MAYO_2013">#REF!</definedName>
    <definedName name="PROG_01_EJECUCION_PRESUPUESTARIA_ACUMULADA_AL_31_DE_MAYO_2014">#REF!</definedName>
    <definedName name="PROG_01_EJECUCIÓN_PRESUPUESTARIA_ACUMULADA_AL_31_DE_MAYO_2016">#REF!</definedName>
    <definedName name="PROG_01_EJECUCIÓN_PRESUPUESTARIA_ACUMULADA_AL_31_DE_MAYO_2017">#REF!</definedName>
    <definedName name="PROG_01_EJECUCIÓN_PRESUPUESTARIA_ACUMULADA_AL_31_DE_MAYO_2018">#REF!</definedName>
    <definedName name="PROG_01_EJECUCION_PRESUPUESTARIA_ACUMULADA_AL_31_DE_OCTUBRE_2014">#REF!</definedName>
    <definedName name="PROG_01_EJECUCIÓN_PRESUPUESTARIA_ACUMULADA_AL_31_DE_OCTUBRE_2017">#REF!</definedName>
    <definedName name="PROG_01_EJECUCIÓN_PRESUPUESTARIA_AL_13_DE_MARZO_2014.">#REF!</definedName>
    <definedName name="PROG_01_EJECUCIÓN_PRESUPUESTARIA_AL_13_DE_MARZO_2017">#REF!</definedName>
    <definedName name="PROG_01_EJECUCIÓN_PRESUPUESTARIA_AL_13_DE_MARZO_2018">#REF!</definedName>
    <definedName name="PROG_01_EJECUCIÓN_PRESUPUESTARIA_AL_13_DEMARZO__2017">#REF!</definedName>
    <definedName name="PROG_01_EJECUCIÓN_PRESUPUESTARIA_AL_21_DE_MARZO_2014.">#REF!</definedName>
    <definedName name="PROG_01_EJECUCION_PRESUPUESTARIA_AL_22_DE_ABRIL_2014">#REF!</definedName>
    <definedName name="PROG_01_EJECUCIÓN_PRESUPUESTARIA_AL_28_DE_FEBRERO_2014.">#REF!</definedName>
    <definedName name="PROG_01_EJECUCIÓN_PRESUPUESTARIA_AL_28_DE_FEBRERO_2017">#REF!</definedName>
    <definedName name="PROG_01_EJECUCIÓN_PRESUPUESTARIA_AL_28_DE_FEBRERO_2018">#REF!</definedName>
    <definedName name="PROG_01_EJECUCION_PRESUPUESTARIA_AL_28_DE_FEBRERO_DEL_2013">#REF!</definedName>
    <definedName name="PROG_01_EJECUCIÓN_PRESUPUESTARIA_AL_28_FEBRERO_2017">#REF!</definedName>
    <definedName name="PROG_01_EJECUCIÓN_PRESUPUESTARIA_AL_29_DE_FEBRERO_2016">#REF!</definedName>
    <definedName name="PROG_01_EJECUCIÓN_PRESUPUESTARIA_AL_30_DE_ABRIL_2016">#REF!</definedName>
    <definedName name="PROG_01_EJECUCIÓN_PRESUPUESTARIA_AL_30_DE_ABRIL_2017">#REF!</definedName>
    <definedName name="PROG_01_EJECUCIÓN_PRESUPUESTARIA_AL_30_DE_ABRIL_2018">#REF!</definedName>
    <definedName name="PROG_01_EJECUCION_PRESUPUESTARIA_AL_30_DE_ABRIL_DEL_2013">#REF!</definedName>
    <definedName name="PROG_01_EJECUCION_PRESUPUESTARIA_AL_30_DE_ABRIL_DEL_2013_V2">#REF!</definedName>
    <definedName name="PROG_01_EJECUCIÓN_PRESUPUESTARIA_AL_30_DE_JUNIO_2016">#REF!</definedName>
    <definedName name="PROG_01_EJECUCIÓN_PRESUPUESTARIA_AL_30_DE_JUNIO_2017">#REF!</definedName>
    <definedName name="PROG_01_EJECUCIÓN_PRESUPUESTARIA_AL_30_DE_JUNIO_2018">#REF!</definedName>
    <definedName name="PROG_01_EJECUCION_PRESUPUESTARIA_AL_30_DE_NOVIEMBRE_2014">#REF!</definedName>
    <definedName name="PROG_01_EJECUCIÓN_PRESUPUESTARIA_AL_30_DE_NOVIEMBRE_2016">#REF!</definedName>
    <definedName name="PROG_01_EJECUCIÓN_PRESUPUESTARIA_AL_30_DE_NOVIEMBRE_2017">#REF!</definedName>
    <definedName name="PROG_01_EJECUCION_PRESUPUESTARIA_AL_30_DE_SEPTIEMBRE_2014">#REF!</definedName>
    <definedName name="PROG_01_EJECUCIÓN_PRESUPUESTARIA_AL_30_DE_SEPTIEMBRE_2016">#REF!</definedName>
    <definedName name="PROG_01_EJECUCIÓN_PRESUPUESTARIA_AL_30_DE_SEPTIEMBRE_2017">#REF!</definedName>
    <definedName name="PROG_01_EJECUCIÓN_PRESUPUESTARIA_AL_30_DE_SEPTIEMBRE_DEL_2015">#REF!</definedName>
    <definedName name="PROG_01_EJECUCION_PRESUPUESTARIA_AL_31_DE_AGOSTO_2014">#REF!</definedName>
    <definedName name="PROG_01_EJECUCIÓN_PRESUPUESTARIA_AL_31_DE_AGOSTO_2016">#REF!</definedName>
    <definedName name="PROG_01_EJECUCIÓN_PRESUPUESTARIA_AL_31_DE_AGOSTO_2017">#REF!</definedName>
    <definedName name="PROG_01_EJECUCION_PRESUPUESTARIA_AL_31_DE_DICIEMBRE_2014">#REF!</definedName>
    <definedName name="PROG_01_EJECUCIÓN_PRESUPUESTARIA_AL_31_DE_DICIEMBRE_2016">#REF!</definedName>
    <definedName name="PROG_01_EJECUCIÓN_PRESUPUESTARIA_AL_31_DE_DICIEMBRE_2017">#REF!</definedName>
    <definedName name="PROG_01_EJECUCIÓN_PRESUPUESTARIA_AL_31_DE_ENERO_2014.">#REF!</definedName>
    <definedName name="PROG_01_EJECUCION_PRESUPUESTARIA_AL_31_DE_ENERO_DEL_2013">#REF!</definedName>
    <definedName name="PROG_01_EJECUCIÓN_PRESUPUESTARIA_AL_31_DE_JULIO_2016">#REF!</definedName>
    <definedName name="PROG_01_EJECUCIÓN_PRESUPUESTARIA_AL_31_DE_JULIO_2017">#REF!</definedName>
    <definedName name="PROG_01_EJECUCIÓN_PRESUPUESTARIA_AL_31_DE_JULIO_DEL_2015">#REF!</definedName>
    <definedName name="PROG_01_EJECUCION_PRESUPUESTARIA_AL_31_DE_MARZO_2014">#REF!</definedName>
    <definedName name="PROG_01_EJECUCIÓN_PRESUPUESTARIA_AL_31_DE_MARZO_2016">#REF!</definedName>
    <definedName name="PROG_01_EJECUCIÓN_PRESUPUESTARIA_AL_31_DE_MARZO_2017">#REF!</definedName>
    <definedName name="PROG_01_EJECUCIÓN_PRESUPUESTARIA_AL_31_DE_MARZO_2018">#REF!</definedName>
    <definedName name="PROG_01_EJECUCION_PRESUPUESTARIA_AL_31_DE_MARZO_DEL_2013">#REF!</definedName>
    <definedName name="PROG_01_EJECUCIÓN_PRESUPUESTARIA_AL_31_DE_MAYO_2016">#REF!</definedName>
    <definedName name="PROG_01_EJECUCIÓN_PRESUPUESTARIA_AL_31_DE_MAYO_2017">#REF!</definedName>
    <definedName name="PROG_01_EJECUCIÓN_PRESUPUESTARIA_AL_31_DE_MAYO_2018">#REF!</definedName>
    <definedName name="PROG_01_EJECUCION_PRESUPUESTARIA_AL_31_DE_MAYO_DEL_2013">#REF!</definedName>
    <definedName name="PROG_01_EJECUCION_PRESUPUESTARIA_AL_31_DE_OCTUBRE_2014">#REF!</definedName>
    <definedName name="PROG_01_EJECUCIÓN_PRESUPUESTARIA_AL_31_DE_OCTUBRE_2016">#REF!</definedName>
    <definedName name="PROG_01_EJECUCIÓN_PRESUPUESTARIA_AL_31_DE_OCTUBRE_2017">#REF!</definedName>
    <definedName name="PROG_01EJECUCIÓN_PRESUPUESTARIA_31_DE_MAYO_2016">#REF!</definedName>
    <definedName name="PROG_02_EJECUCION_ACUMULADA_AL_31_DE_MARZO_DEL_2013">#REF!</definedName>
    <definedName name="PROG_02_EJECUCIÓN_ACUMULADA_AL_31_DE_MARZO_DEL_2014">#REF!</definedName>
    <definedName name="PROG_02_EJECUCION_PRESUPUESTARIA_30_DE_JUNIO_2013">#REF!</definedName>
    <definedName name="PROG_02_EJECUCION_PRESUPUESTARIA_31_DE_MAYO_DEL_2013">#REF!</definedName>
    <definedName name="PROG_02_EJECUCION_PRESUPUESTARIA_ACUMULADA_AL_30_DE_ABRIL_2014">#REF!</definedName>
    <definedName name="PROG_02_EJECUCION_PRESUPUESTARIA_ACUMULADA_AL_30_DE_JUNIO_2014">#REF!</definedName>
    <definedName name="PROG_02_EJECUCION_PRESUPUESTARIA_ACUMULADA_AL_30_DE_SEPTIEMBRE_2014">#REF!</definedName>
    <definedName name="PROG_02_EJECUCION_PRESUPUESTARIA_ACUMULADA_AL_31_DE_AGOSTO_2014">#REF!</definedName>
    <definedName name="PROG_02_EJECUCIÓN_PRESUPUESTARIA_ACUMULADA_AL_31_DE_DICIEMBRE_DEL_2014">#REF!</definedName>
    <definedName name="PROG_02_EJECUCION_PRESUPUESTARIA_ACUMULADA_AL_31_DE_JULIO_2014">#REF!</definedName>
    <definedName name="PROG_02_EJECUCION_PRESUPUESTARIA_ACUMULADA_AL_31_DE_MAYO_2014">#REF!</definedName>
    <definedName name="PROG_02_EJECUCION_PRESUPUESTARIA_ACUMULADA_AL_31_DE_MAYO_DEL_2013">#REF!</definedName>
    <definedName name="PROG_02_EJECUCION_PRESUPUESTARIA_AL_13_DE_MARZO_2014.">#REF!</definedName>
    <definedName name="PROG_02_EJECUCION_PRESUPUESTARIA_AL_28_DE_FEBRERO_2014.">#REF!</definedName>
    <definedName name="PROG_02_EJECUCION_PRESUPUESTARIA_AL_28_DE_FEBRERO_DEL_2013">#REF!</definedName>
    <definedName name="PROG_02_EJECUCION_PRESUPUESTARIA_AL_30_DE_ABRIL_2014">#REF!</definedName>
    <definedName name="PROG_02_EJECUCION_PRESUPUESTARIA_AL_30_DE_ABRIL_DEL_2013">#REF!</definedName>
    <definedName name="PROG_02_EJECUCION_PRESUPUESTARIA_AL_30_DE_JUNIO_2014">#REF!</definedName>
    <definedName name="PROG_02_EJECUCION_PRESUPUESTARIA_AL_30_DE_SEPTIEMBRE_2014">#REF!</definedName>
    <definedName name="PROG_02_EJECUCION_PRESUPUESTARIA_AL_31_DE_AGOSTO_2014">#REF!</definedName>
    <definedName name="PROG_02_EJECUCION_PRESUPUESTARIA_AL_31_DE_ENERO_2014.">#REF!</definedName>
    <definedName name="PROG_02_EJECUCION_PRESUPUESTARIA_AL_31_DE_ENERO_DEL_2013">#REF!</definedName>
    <definedName name="PROG_02_EJECUCION_PRESUPUESTARIA_AL_31_DE_JULIO_2014">#REF!</definedName>
    <definedName name="PROG_02_EJECUCION_PRESUPUESTARIA_AL_31_DE_MARZO_DEL_2013">#REF!</definedName>
    <definedName name="PROG_02_EJECUCION_PRESUPUESTARIA_AL_31_DE_MARZO_DEL_2014">#REF!</definedName>
    <definedName name="PROG_02_EJECUCION_PRESUPUESTARIA_AL_31_DE_MAYO_2014">#REF!</definedName>
    <definedName name="PROG_02_SITUACIÓN_PRESUPUESTARIA_ACUMULADA_AL_31_DE_MARZO_DE_2015">#REF!</definedName>
    <definedName name="PROG_03_EJECUCION_ACUMULADA_AL_31_DE_MARZO_DEL_2014">#REF!</definedName>
    <definedName name="PROG_03_EJECUCION_PRESIPUESTARIA_AL_28_DE_FEBRERO_DEL_2013">#REF!</definedName>
    <definedName name="PROG_03_EJECUCION_PRESIPUESTARIA_AL_31_DE_ENERO_DEL_2013">#REF!</definedName>
    <definedName name="PROG_03_EJECUCION_PRESUPUESTARIA_31_DE_MAYO_DEL_2013">#REF!</definedName>
    <definedName name="PROG_03_EJECUCIÓN_PRESUPUESTARIA_ACUMULADA_AL_29_DE_FEBRERO_2016">#REF!</definedName>
    <definedName name="PROG_03_EJECUCION_PRESUPUESTARIA_ACUMULADA_AL_30_DE_ABRIL_2014">#REF!</definedName>
    <definedName name="PROG_03_EJECUCIÓN_PRESUPUESTARIA_ACUMULADA_AL_30_DE_ABRIL_2016">#REF!</definedName>
    <definedName name="PROG_03_EJECUCION_PRESUPUESTARIA_ACUMULADA_AL_30_DE_JUNIO_2014">#REF!</definedName>
    <definedName name="PROG_03_EJECUCION_PRESUPUESTARIA_ACUMULADA_AL_30_DE_SEPTIEMBRE_2014">#REF!</definedName>
    <definedName name="PROG_03_EJECUCIÓN_PRESUPUESTARIA_ACUMULADA_AL_31_DE__JULIO_2016">#REF!</definedName>
    <definedName name="PROG_03_EJECUCIÓN_PRESUPUESTARIA_ACUMULADA_AL_31_DE_DICIEMBRE_DEL_2014">#REF!</definedName>
    <definedName name="PROG_03_EJECUCIÓN_PRESUPUESTARIA_ACUMULADA_AL_31_DE_ENERO_2016">#REF!</definedName>
    <definedName name="PROG_03_EJECUCION_PRESUPUESTARIA_ACUMULADA_AL_31_DE_JULIO_2014">#REF!</definedName>
    <definedName name="PROG_03_EJECUCION_PRESUPUESTARIA_ACUMULADA_AL_31_DE_MAYO_2014">#REF!</definedName>
    <definedName name="PROG_03_EJECUCION_PRESUPUESTARIA_ACUMULADA_AL_31_DE_OCTUBRE_2014">#REF!</definedName>
    <definedName name="PROG_03_EJECUCION_PRESUPUESTARIA_AL_28_DE_FEBRERO_2014.">#REF!</definedName>
    <definedName name="PROG_03_EJECUCIÓN_PRESUPUESTARIA_AL_29_DE_FEBRERO_2016">#REF!</definedName>
    <definedName name="PROG_03_EJECUCION_PRESUPUESTARIA_AL_30_DE_ABRIL_DEL_2013">#REF!</definedName>
    <definedName name="PROG_03_EJECUCION_PRESUPUESTARIA_AL_31_DE_ENERO_2014.">#REF!</definedName>
    <definedName name="PROG_03_EJECUCION_PRESUPUESTARIA_AL_31_DE_JULIO_2014">#REF!</definedName>
    <definedName name="PROG_03_EJECUCIÓN_PRESUPUESTARIA_AL_31_DE_JULIO_2016">#REF!</definedName>
    <definedName name="PROG_03_EJECUCION_PRESUPUESTARIA_AL_31_DE_MARZO_DEL_2013">#REF!</definedName>
    <definedName name="PROG_03_EJECUCION_PRESUPUESTARIA_AL_31_DE_MARZO_DEL_2014">#REF!</definedName>
    <definedName name="PROG_03_EJECUCIÓN_PRESUPUESTARIA_AL_31_DICIEMBRE_DEL_2014">#REF!</definedName>
    <definedName name="PROG_03_SITUACIÓN_PRESUPUESTARIA_ACUMULADA_AL_31_DE_MARZO_AL_2015">#REF!</definedName>
    <definedName name="PROG_03_SITUACION_PRESUPUESTARIA_AL_30_DE_ABRIL_2014">#REF!</definedName>
    <definedName name="PROG_03_SITUACION_PRESUPUESTARIA_AL_30_DE_JUNIO_2014">#REF!</definedName>
    <definedName name="PROG_03_SITUACION_PRESUPUESTARIA_AL_30_DE_SEPTIEMBRE_2014">#REF!</definedName>
    <definedName name="PROG_03_SITUACION_PRESUPUESTARIA_AL_31_DE_JULIO_2014">#REF!</definedName>
    <definedName name="PROG_03_SITUACIÓN_PRESUPUESTARIA_AL_31_DE_MARZO_DEL_2015">#REF!</definedName>
    <definedName name="PROG_03_SITUACION_PRESUPUESTARIA_AL_31_DE_MAYO_2014">#REF!</definedName>
    <definedName name="PROG_03_SITUACION_PRESUPUESTARIA_AL_31_DE_OCTUBRE_2014">#REF!</definedName>
    <definedName name="PROG_05_EJECUCIÓN_ACUMULADA_AL_28_DE_FEBRERO_DE_2018">#REF!</definedName>
    <definedName name="PROG_05_EJECUCIÓN_ACUMULADA_AL_29_DE_FEBRERO_DEL_2016">#REF!</definedName>
    <definedName name="PROG_05_EJECUCIÓN_ACUMULADA_AL_30_DE_JUNIO_DEL_2016">#REF!</definedName>
    <definedName name="PROG_05_EJECUCIÓN_ACUMULADA_AL_30_DE_NOVIEMBRE_DEL_2016">#REF!</definedName>
    <definedName name="PROG_05_EJECUCIÓN_ACUMULADA_AL_30_DE_SEPTIEMBRE_DEL_2016">#REF!</definedName>
    <definedName name="PROG_05_EJECUCIÓN_ACUMULADA_AL_31_DE_DICIEMBRE_DEL_2016">#REF!</definedName>
    <definedName name="PROG_05_EJECUCIÓN_ACUMULADA_AL_31_DE_ENERO_2016">#REF!</definedName>
    <definedName name="PROG_05_EJECUCIÓN_ACUMULADA_AL_31_DE_JULIO_DEL_2016">#REF!</definedName>
    <definedName name="PROG_05_EJECUCIÓN_ACUMULADA_AL_31_DE_MARZO_DEL_2014">#REF!</definedName>
    <definedName name="PROG_05_EJECUCIÓN_ACUMULADA_AL_31_DE_MARZO_DEL_2016">#REF!</definedName>
    <definedName name="PROG_05_EJECUCIÓN_ACUMULADA_AL_31_DE_MAYO_DEL_2016">#REF!</definedName>
    <definedName name="PROG_05_EJECUCIÓN_ACUMULADA_AL_31_DE_OCTUBRE_DEL_2016">#REF!</definedName>
    <definedName name="PROG_05_EJECUCIÓN_AL_30_DE_JUNIO_DEL_2016">#REF!</definedName>
    <definedName name="PROG_05_EJECUCIÓN_AL_30_DE_NOVIEMBRE_DEL_2016">#REF!</definedName>
    <definedName name="PROG_05_EJECUCIÓN_AL_30_DE_SEPTIEMBRE_DEL_2016">#REF!</definedName>
    <definedName name="PROG_05_EJECUCIÓN_AL_31_DE_AGOSTO_DEL_2016">#REF!</definedName>
    <definedName name="PROG_05_EJECUCIÓN_AL_31_DE_DICIEMBRE_DEL_2016">#REF!</definedName>
    <definedName name="PROG_05_EJECUCIÓN_AL_31_DE_JULIO_2016">#REF!</definedName>
    <definedName name="PROG_05_EJECUCIÓN_AL_31_DE_JULIO_DEL_2016">#REF!</definedName>
    <definedName name="PROG_05_EJECUCIÓN_AL_31_DE_MAYO_DEL_2016">#REF!</definedName>
    <definedName name="PROG_05_EJECUCIÓN_AL_31_DE_OCTUBRE_DEL_2016">#REF!</definedName>
    <definedName name="PROG_05_EJECUCIÓN_AL_31_DE_SEPTIEMBRE_DEL_2016">#REF!</definedName>
    <definedName name="PROG_05_EJECUCION_MES_DE_ENERO_2015">#REF!</definedName>
    <definedName name="PROG_05_EJECUCIÓN_PRESUPUESTARIA_30_DE_JUNIO_DE_2017">#REF!</definedName>
    <definedName name="PROG_05_EJECUCIÓN_PRESUPUESTARIA_31_DE_JULIO_DE_2017">#REF!</definedName>
    <definedName name="PROG_05_EJECUCIÓN_PRESUPUESTARIA_31_DE_MAYO_DE_2017">#REF!</definedName>
    <definedName name="PROG_05_EJECUCIÓN_PRESUPUESTARIA_ACUMULADA_AL_13_DE_MARZO_DE_2017">#REF!</definedName>
    <definedName name="PROG_05_EJECUCION_PRESUPUESTARIA_ACUMULADA_AL_30_DE_ABRIL_2014">#REF!</definedName>
    <definedName name="PROG_05_EJECUCION_PRESUPUESTARIA_ACUMULADA_AL_30_DE_JUNIO_2014">#REF!</definedName>
    <definedName name="PROG_05_EJECUCIÓN_PRESUPUESTARIA_ACUMULADA_AL_30_DE_JUNIO_DE_2017">#REF!</definedName>
    <definedName name="PROG_05_EJECUCIÓN_PRESUPUESTARIA_ACUMULADA_AL_30_DE_NOVIEMBRE_DE_2017">#REF!</definedName>
    <definedName name="PROG_05_EJECUCION_PRESUPUESTARIA_ACUMULADA_AL_30_DE_SEPTIEMBRE_2014">#REF!</definedName>
    <definedName name="PROG_05_EJECUCIÓN_PRESUPUESTARIA_ACUMULADA_AL_30_DE_SEPTIEMBRE_DE_2017">#REF!</definedName>
    <definedName name="PROG_05_EJECUCIÓN_PRESUPUESTARIA_ACUMULADA_AL_31_DE_AGOSTO_DE_2017">#REF!</definedName>
    <definedName name="PROG_05_EJECUCIÓN_PRESUPUESTARIA_ACUMULADA_AL_31_DE_DICIEMBRE_DEL_2015">#REF!</definedName>
    <definedName name="PROG_05_EJECUCION_PRESUPUESTARIA_ACUMULADA_AL_31_DE_JULIO_2014">#REF!</definedName>
    <definedName name="PROG_05_EJECUCIÓN_PRESUPUESTARIA_ACUMULADA_AL_31_DE_JULIO_DE_2017">#REF!</definedName>
    <definedName name="PROG_05_EJECUCIÓN_PRESUPUESTARIA_ACUMULADA_AL_31_DE_MARZO_DEL_2015">#REF!</definedName>
    <definedName name="PROG_05_EJECUCION_PRESUPUESTARIA_ACUMULADA_AL_31_DE_MAYO_2014">#REF!</definedName>
    <definedName name="PROG_05_EJECUCION_PRESUPUESTARIA_ACUMULADA_AL_31_DE_OCTUBRE_2014">#REF!</definedName>
    <definedName name="PROG_05_EJECUCIÓN_PRESUPUESTARIA_ACUMULADA_AL_31_DE_OCTUBRE_DE_2017">#REF!</definedName>
    <definedName name="PROG_05_EJECUCION_PRESUPUESTARIA_AL_28_DE_FEBHRERO_2014.">#REF!</definedName>
    <definedName name="PROG_05_EJECUCIÓN_PRESUPUESTARIA_AL_28_DE_FEBRERO_DE_2018" localSheetId="11">#REF!</definedName>
    <definedName name="PROG_05_EJECUCIÓN_PRESUPUESTARIA_AL_28_DE_FEBRERO_DE_2018">#REF!</definedName>
    <definedName name="PROG_05_EJECUCIÓN_PRESUPUESTARIA_AL_29_DE_FEBRERO_DEL_2016">#REF!</definedName>
    <definedName name="PROG_05_EJECUCION_PRESUPUESTARIA_AL_30_DE_ABRIL_2014">#REF!</definedName>
    <definedName name="PROG_05_EJECUCION_PRESUPUESTARIA_AL_30_DE_JUNIO_2014">#REF!</definedName>
    <definedName name="PROG_05_EJECUCIÓN_PRESUPUESTARIA_AL_30_DE_NOVIEMBRE_DE_2017">#REF!</definedName>
    <definedName name="PROG_05_EJECUCION_PRESUPUESTARIA_AL_30_DE_SEPTIEMBRE_2014">#REF!</definedName>
    <definedName name="PROG_05_EJECUCIÓN_PRESUPUESTARIA_AL_30_DE_SEPTIEMBRE_DE_2017">#REF!</definedName>
    <definedName name="PROG_05_EJECUCIÓN_PRESUPUESTARIA_AL_31_DE_AGOSTO_DE_2017">#REF!</definedName>
    <definedName name="PROG_05_EJECUCIÓN_PRESUPUESTARIA_AL_31_DE_DICIEMBRE_DE_2017">#REF!</definedName>
    <definedName name="PROG_05_EJECUCIÓN_PRESUPUESTARIA_AL_31_DE_DICIEMBRE_DEL_2015">#REF!</definedName>
    <definedName name="PROG_05_EJECUCION_PRESUPUESTARIA_AL_31_DE_ENERO_2014.">#REF!</definedName>
    <definedName name="PROG_05_EJECUCIÓN_PRESUPUESTARIA_AL_31_DE_ENERO_DE_2017">#REF!</definedName>
    <definedName name="PROG_05_EJECUCIÓN_PRESUPUESTARIA_AL_31_DE_ENERO_DE_2018">#REF!</definedName>
    <definedName name="PROG_05_EJECUCION_PRESUPUESTARIA_AL_31_DE_JULIO_2014">#REF!</definedName>
    <definedName name="PROG_05_EJECUCIÓN_PRESUPUESTARIA_AL_31_DE_MARZO_DEL_2014">#REF!</definedName>
    <definedName name="PROG_05_EJECUCION_PRESUPUESTARIA_AL_31_DE_MAYO_2014">#REF!</definedName>
    <definedName name="PROG_05_EJECUCION_PRESUPUESTARIA_AL_31_DE_OCTUBRE_2014">#REF!</definedName>
    <definedName name="PROG_05_EJECUCIÓN_PRESUPUESTARIA_AL_31_DE_OCTUBRE_DE_2017">#REF!</definedName>
    <definedName name="PROG_05_SITUACIÓN_PRESUPUESTARIA_AL_31_DE_MARZO_DEL_2015">#REF!</definedName>
    <definedName name="PROG_06_EJECUCIÓN_ACUMULADA_AL_13_DE_MARZO_DE_2018">#REF!</definedName>
    <definedName name="PROG_06_EJECUCIÓN_ACUMULADA_AL_31_DE_AGOSTO_DEL_2016">#REF!</definedName>
    <definedName name="PROG_06_EJECUCIÓN_PRESUPUESTARIA_ACUMULADA_AL_13_DE_MARZO_DE_2017">#REF!</definedName>
    <definedName name="PROG_06_EJECUCIÓN_PRESUPUESTARIA_ACUMULADA_AL_28_DE_FEBRERO_DE_2018">#REF!</definedName>
    <definedName name="PROG_06_EJECUCIÓN_PRESUPUESTARIA_ACUMULADA_AL_29_DE_FEBRERO_DEL_2016">#REF!</definedName>
    <definedName name="PROG_06_EJECUCIÓN_PRESUPUESTARIA_ACUMULADA_AL_30_DE_JUNIO_DE_2017">#REF!</definedName>
    <definedName name="PROG_06_EJECUCIÓN_PRESUPUESTARIA_ACUMULADA_AL_30_DE_JUNIO_DEL_2016">#REF!</definedName>
    <definedName name="PROG_06_EJECUCIÓN_PRESUPUESTARIA_ACUMULADA_AL_30_DE_NOVIEMBRE_DE_2017">#REF!</definedName>
    <definedName name="PROG_06_EJECUCIÓN_PRESUPUESTARIA_ACUMULADA_AL_30_DE_NOVIEMBRE_DEL_2016">#REF!</definedName>
    <definedName name="PROG_06_EJECUCIÓN_PRESUPUESTARIA_ACUMULADA_AL_30_DE_SEPTIEMBRE_2017">#REF!</definedName>
    <definedName name="PROG_06_EJECUCIÓN_PRESUPUESTARIA_ACUMULADA_AL_30_DE_SEPTIEMBRE_DE_2017">#REF!</definedName>
    <definedName name="PROG_06_EJECUCIÓN_PRESUPUESTARIA_ACUMULADA_AL_30_DE_SEPTIEMBRE_DEL_2016">#REF!</definedName>
    <definedName name="PROG_06_EJECUCIÓN_PRESUPUESTARIA_ACUMULADA_AL_31_DE_AGOSTO_DE_2017">#REF!</definedName>
    <definedName name="PROG_06_EJECUCIÓN_PRESUPUESTARIA_ACUMULADA_AL_31_DE_DICIEMBRE_DE_2017">#REF!</definedName>
    <definedName name="PROG_06_EJECUCIÓN_PRESUPUESTARIA_ACUMULADA_AL_31_DE_DICIEMBRE_DEL_2016">#REF!</definedName>
    <definedName name="PROG_06_EJECUCIÓN_PRESUPUESTARIA_ACUMULADA_AL_31_DE_JULIO_DE_2017">#REF!</definedName>
    <definedName name="PROG_06_EJECUCIÓN_PRESUPUESTARIA_ACUMULADA_AL_31_DE_JULIO_DE_2018">#REF!</definedName>
    <definedName name="PROG_06_EJECUCIÓN_PRESUPUESTARIA_ACUMULADA_AL_31_DE_JULIO_DEL_2016">#REF!</definedName>
    <definedName name="PROG_06_EJECUCIÓN_PRESUPUESTARIA_ACUMULADA_AL_31_DE_MARZO_DEL_2016">#REF!</definedName>
    <definedName name="PROG_06_EJECUCIÓN_PRESUPUESTARIA_ACUMULADA_AL_31_DE_MAYO_DE_2017">#REF!</definedName>
    <definedName name="PROG_06_EJECUCIÓN_PRESUPUESTARIA_ACUMULADA_AL_31_DE_MAYO_DEL_2016">#REF!</definedName>
    <definedName name="PROG_06_EJECUCIÓN_PRESUPUESTARIA_ACUMULADA_AL_31_DE_OCTUBRE_DE_2017">#REF!</definedName>
    <definedName name="PROG_06_EJECUCIÓN_PRESUPUESTARIA_ACUMULADA_AL_31_DE_OCTUBRE_DEL_2016">#REF!</definedName>
    <definedName name="PROG_06_EJECUCIÓN_PRESUPUESTARIA_AL_29_DE_FEBRERO_DEL_2016">#REF!</definedName>
    <definedName name="PROG_06_EJECUCIÓN_PRESUPUESTARIA_AL_30_DE_JUNIO_DE_2017">#REF!</definedName>
    <definedName name="PROG_06_EJECUCIÓN_PRESUPUESTARIA_AL_30_DE_JUNIO_DE_2017_V1">#REF!</definedName>
    <definedName name="PROG_06_EJECUCIÓN_PRESUPUESTARIA_AL_30_DE_JUNIO_DEL_2016">#REF!</definedName>
    <definedName name="PROG_06_EJECUCIÓN_PRESUPUESTARIA_AL_30_DE_NOVIEMBRE_DE_2017">#REF!</definedName>
    <definedName name="PROG_06_EJECUCIÓN_PRESUPUESTARIA_AL_30_DE_NOVIEMBRE_DEL_2016">#REF!</definedName>
    <definedName name="PROG_06_EJECUCIÓN_PRESUPUESTARIA_AL_30_DE_SEPTIEMBRE_DE_2017">#REF!</definedName>
    <definedName name="PROG_06_EJECUCIÓN_PRESUPUESTARIA_AL_30_DE_SEPTIEMBRE_DEL_2016">#REF!</definedName>
    <definedName name="PROG_06_EJECUCIÓN_PRESUPUESTARIA_AL_31_DE_AGOSTO_DE_2017">#REF!</definedName>
    <definedName name="PROG_06_EJECUCIÓN_PRESUPUESTARIA_AL_31_DE_AGOSTO_DEL_2016">#REF!</definedName>
    <definedName name="PROG_06_EJECUCIÓN_PRESUPUESTARIA_AL_31_DE_DICIEMBRE_DE_2017">#REF!</definedName>
    <definedName name="PROG_06_EJECUCIÓN_PRESUPUESTARIA_AL_31_DE_DICIEMBRE_DEL_2016">#REF!</definedName>
    <definedName name="PROG_06_EJECUCIÓN_PRESUPUESTARIA_AL_31_DE_ENERO_2016">#REF!</definedName>
    <definedName name="PROG_06_EJECUCIÓN_PRESUPUESTARIA_AL_31_DE_ENERO_DE_2017">#REF!</definedName>
    <definedName name="PROG_06_EJECUCIÓN_PRESUPUESTARIA_AL_31_DE_ENERO_DE_2018">#REF!</definedName>
    <definedName name="PROG_06_EJECUCIÓN_PRESUPUESTARIA_AL_31_DE_JULIO_DE_2017">#REF!</definedName>
    <definedName name="PROG_06_EJECUCION_PRESUPUESTARIA_AL_31_DE_JULIO_DE_2018">#REF!</definedName>
    <definedName name="PROG_06_EJECUCIÓN_PRESUPUESTARIA_AL_31_DE_JULIO_DE_2018">#REF!</definedName>
    <definedName name="PROG_06_EJECUCIÓN_PRESUPUESTARIA_AL_31_DE_JULIO_DEL_2016">#REF!</definedName>
    <definedName name="PROG_06_EJECUCIÓN_PRESUPUESTARIA_AL_31_DE_MAYO_DE_2017">#REF!</definedName>
    <definedName name="PROG_06_EJECUCIÓN_PRESUPUESTARIA_AL_31_DE_MAYO_DEL_2016">#REF!</definedName>
    <definedName name="PROG_06_EJECUCIÓN_PRESUPUESTARIA_AL_31_DE_OCTUBRE_DE_2017">#REF!</definedName>
    <definedName name="PROG_06_EJECUCIÓN_PRESUPUESTARIA_AL_31_DE_OCTUBRE_DEL_2016">#REF!</definedName>
    <definedName name="PROG01_EJECUCIÓN_PRESUPUESTARIA_ACUMULADA_AL_31_DE_MARZO_2018">#REF!</definedName>
    <definedName name="PROG01_EJECUCIÓN_PRESUPUESTARIA_AL_31_DE_MARZO_2018">#REF!</definedName>
    <definedName name="PROGRAMA_01_EJECUCIÓN_ACUMULADA_AL_28_DE_FEBRERO_2017">#REF!</definedName>
    <definedName name="PROGRAMA_01_EJECUCIÓN_PRESUPUESTARIA_AL_30_DE_JUNIO_2018">#REF!</definedName>
    <definedName name="PRROG_05_EJECUCIÓN_PRESUPUESTARIA_ACUMULADA_AL_31_DE_MAYO_DE_2017">#REF!</definedName>
    <definedName name="Requerimiento2022">'P01 2022'!$D$2:$D$131</definedName>
    <definedName name="RequerimientoENERO">'P01 2023'!$F$2:$F$147</definedName>
    <definedName name="Saldo_ENERO">'P01 2023'!$H$2:$H$147</definedName>
    <definedName name="sep_2012">#REF!</definedName>
    <definedName name="SEPTIEMBRE_2012">#REF!</definedName>
    <definedName name="Situacionjulio">#REF!</definedName>
    <definedName name="_xlnm.Print_Titles" localSheetId="1">Consolidado!$B:$G,Consolidado!$4:$9</definedName>
    <definedName name="_xlnm.Print_Titles" localSheetId="2">'Prog 01'!$5:$182</definedName>
    <definedName name="_xlnm.Print_Titles" localSheetId="8">'Prog 03'!$B:$G,'Prog 03'!$7:$11</definedName>
    <definedName name="_xlnm.Print_Titles" localSheetId="11">'Prog 05'!$2:$8</definedName>
  </definedNames>
  <calcPr calcId="152511"/>
  <pivotCaches>
    <pivotCache cacheId="5" r:id="rId17"/>
    <pivotCache cacheId="8" r:id="rId18"/>
  </pivotCaches>
</workbook>
</file>

<file path=xl/calcChain.xml><?xml version="1.0" encoding="utf-8"?>
<calcChain xmlns="http://schemas.openxmlformats.org/spreadsheetml/2006/main">
  <c r="N60" i="54" l="1"/>
  <c r="N59" i="54"/>
  <c r="N53" i="54"/>
  <c r="I211" i="39"/>
  <c r="L229" i="39"/>
  <c r="M229" i="39" s="1"/>
  <c r="J229" i="39"/>
  <c r="P229" i="39"/>
  <c r="N229" i="39"/>
  <c r="O229" i="39" s="1"/>
  <c r="I229" i="39"/>
  <c r="H229" i="39"/>
  <c r="G229" i="39"/>
  <c r="F229" i="39"/>
  <c r="I60" i="54"/>
  <c r="I59" i="54"/>
  <c r="I53" i="54"/>
  <c r="H59" i="54"/>
  <c r="H35" i="54"/>
  <c r="P53" i="54"/>
  <c r="AV4" i="131"/>
  <c r="AV5" i="131"/>
  <c r="AV3" i="131"/>
  <c r="AV2" i="131"/>
  <c r="Y35" i="54"/>
  <c r="Y34" i="54" s="1"/>
  <c r="Y9" i="54" s="1"/>
  <c r="Y10" i="54"/>
  <c r="H75" i="37"/>
  <c r="H74" i="37"/>
  <c r="L53" i="37"/>
  <c r="I53" i="37"/>
  <c r="L51" i="37"/>
  <c r="I51" i="37"/>
  <c r="L50" i="37"/>
  <c r="I50" i="37"/>
  <c r="L49" i="37"/>
  <c r="I49" i="37"/>
  <c r="L48" i="37"/>
  <c r="I48" i="37"/>
  <c r="L47" i="37"/>
  <c r="L46" i="37"/>
  <c r="L45" i="37"/>
  <c r="L44" i="37"/>
  <c r="L43" i="37"/>
  <c r="I47" i="37"/>
  <c r="I46" i="37"/>
  <c r="I45" i="37"/>
  <c r="I44" i="37"/>
  <c r="I43" i="37"/>
  <c r="Y39" i="37"/>
  <c r="J38" i="37"/>
  <c r="BT24" i="132"/>
  <c r="L41" i="37"/>
  <c r="L40" i="37"/>
  <c r="L39" i="37"/>
  <c r="L38" i="37"/>
  <c r="I41" i="37"/>
  <c r="I40" i="37"/>
  <c r="I39" i="37"/>
  <c r="I38" i="37"/>
  <c r="L30" i="37"/>
  <c r="I30" i="37"/>
  <c r="L24" i="37"/>
  <c r="I24" i="37"/>
  <c r="L18" i="37"/>
  <c r="O53" i="54" l="1"/>
  <c r="M53" i="54"/>
  <c r="L17" i="37"/>
  <c r="L19" i="37"/>
  <c r="I21" i="37"/>
  <c r="I22" i="37"/>
  <c r="I19" i="37"/>
  <c r="I18" i="37"/>
  <c r="I17" i="37"/>
  <c r="L15" i="37"/>
  <c r="L21" i="37"/>
  <c r="L20" i="37"/>
  <c r="I20" i="37"/>
  <c r="I15" i="37"/>
  <c r="Y42" i="37"/>
  <c r="Y37" i="37"/>
  <c r="Y29" i="37"/>
  <c r="Y16" i="37"/>
  <c r="Y14" i="37" s="1"/>
  <c r="Y12" i="37" s="1"/>
  <c r="BI16" i="132"/>
  <c r="Y51" i="37"/>
  <c r="Y48" i="37"/>
  <c r="Y46" i="37"/>
  <c r="Y45" i="37"/>
  <c r="Y43" i="37"/>
  <c r="Y41" i="37"/>
  <c r="Y40" i="37"/>
  <c r="Y19" i="37"/>
  <c r="Y17" i="37"/>
  <c r="Y20" i="37"/>
  <c r="Y18" i="37"/>
  <c r="Y15" i="37"/>
  <c r="BR4" i="132"/>
  <c r="BS4" i="132"/>
  <c r="BT4" i="132"/>
  <c r="BR5" i="132"/>
  <c r="BS5" i="132"/>
  <c r="BT5" i="132"/>
  <c r="BR6" i="132"/>
  <c r="BS6" i="132"/>
  <c r="BT6" i="132"/>
  <c r="BR7" i="132"/>
  <c r="BS7" i="132"/>
  <c r="BT7" i="132"/>
  <c r="BR8" i="132"/>
  <c r="BS8" i="132"/>
  <c r="BT8" i="132"/>
  <c r="BR9" i="132"/>
  <c r="BS9" i="132"/>
  <c r="BT9" i="132"/>
  <c r="BR10" i="132"/>
  <c r="BS10" i="132"/>
  <c r="BT10" i="132"/>
  <c r="BR11" i="132"/>
  <c r="BS11" i="132"/>
  <c r="BT11" i="132"/>
  <c r="BR12" i="132"/>
  <c r="BS12" i="132"/>
  <c r="BT12" i="132"/>
  <c r="BR13" i="132"/>
  <c r="BS13" i="132"/>
  <c r="BT13" i="132"/>
  <c r="BR14" i="132"/>
  <c r="BS14" i="132"/>
  <c r="BT14" i="132"/>
  <c r="BR15" i="132"/>
  <c r="BS15" i="132"/>
  <c r="BT15" i="132"/>
  <c r="BR16" i="132"/>
  <c r="BS16" i="132"/>
  <c r="BT16" i="132"/>
  <c r="BR17" i="132"/>
  <c r="BS17" i="132"/>
  <c r="BT17" i="132"/>
  <c r="BR18" i="132"/>
  <c r="BS18" i="132"/>
  <c r="BT18" i="132"/>
  <c r="BR19" i="132"/>
  <c r="BS19" i="132"/>
  <c r="BT19" i="132"/>
  <c r="BR20" i="132"/>
  <c r="BS20" i="132"/>
  <c r="BT20" i="132"/>
  <c r="BR21" i="132"/>
  <c r="BS21" i="132"/>
  <c r="BT21" i="132"/>
  <c r="BR22" i="132"/>
  <c r="BS22" i="132"/>
  <c r="BT22" i="132"/>
  <c r="BR23" i="132"/>
  <c r="BS23" i="132"/>
  <c r="BT23" i="132"/>
  <c r="BR24" i="132"/>
  <c r="BS24" i="132"/>
  <c r="BR25" i="132"/>
  <c r="BS25" i="132"/>
  <c r="BT25" i="132"/>
  <c r="BR26" i="132"/>
  <c r="BS26" i="132"/>
  <c r="BT26" i="132"/>
  <c r="BR27" i="132"/>
  <c r="BS27" i="132"/>
  <c r="BT27" i="132"/>
  <c r="BR28" i="132"/>
  <c r="BS28" i="132"/>
  <c r="BT28" i="132"/>
  <c r="BR29" i="132"/>
  <c r="BS29" i="132"/>
  <c r="BT29" i="132"/>
  <c r="BR30" i="132"/>
  <c r="BS30" i="132"/>
  <c r="BT30" i="132"/>
  <c r="BR31" i="132"/>
  <c r="BS31" i="132"/>
  <c r="BT31" i="132"/>
  <c r="BR32" i="132"/>
  <c r="BS32" i="132"/>
  <c r="BT32" i="132"/>
  <c r="BR33" i="132"/>
  <c r="BS33" i="132"/>
  <c r="BT33" i="132"/>
  <c r="BR34" i="132"/>
  <c r="BS34" i="132"/>
  <c r="BT34" i="132"/>
  <c r="BR35" i="132"/>
  <c r="BS35" i="132"/>
  <c r="BT35" i="132"/>
  <c r="BR36" i="132"/>
  <c r="BS36" i="132"/>
  <c r="BT36" i="132"/>
  <c r="BR37" i="132"/>
  <c r="BS37" i="132"/>
  <c r="BT37" i="132"/>
  <c r="BR38" i="132"/>
  <c r="BS38" i="132"/>
  <c r="BT38" i="132"/>
  <c r="BR39" i="132"/>
  <c r="BS39" i="132"/>
  <c r="BT39" i="132"/>
  <c r="BR40" i="132"/>
  <c r="BS40" i="132"/>
  <c r="BT40" i="132"/>
  <c r="BR41" i="132"/>
  <c r="BS41" i="132"/>
  <c r="BT41" i="132"/>
  <c r="BR42" i="132"/>
  <c r="BS42" i="132"/>
  <c r="BT42" i="132"/>
  <c r="BR43" i="132"/>
  <c r="BS43" i="132"/>
  <c r="BT43" i="132"/>
  <c r="BR44" i="132"/>
  <c r="BS44" i="132"/>
  <c r="BT44" i="132"/>
  <c r="BR45" i="132"/>
  <c r="BS45" i="132"/>
  <c r="BT45" i="132"/>
  <c r="BR46" i="132"/>
  <c r="BS46" i="132"/>
  <c r="BT46" i="132"/>
  <c r="BR47" i="132"/>
  <c r="BS47" i="132"/>
  <c r="BT47" i="132"/>
  <c r="BR48" i="132"/>
  <c r="BS48" i="132"/>
  <c r="BT48" i="132"/>
  <c r="BS3" i="132"/>
  <c r="BT3" i="132"/>
  <c r="BR3" i="132"/>
  <c r="BI4" i="132"/>
  <c r="BI5" i="132"/>
  <c r="BI6" i="132"/>
  <c r="BI7" i="132"/>
  <c r="BI8" i="132"/>
  <c r="BI9" i="132"/>
  <c r="BI10" i="132"/>
  <c r="BI11" i="132"/>
  <c r="BI12" i="132"/>
  <c r="BI13" i="132"/>
  <c r="BI14" i="132"/>
  <c r="BI15" i="132"/>
  <c r="BI3" i="132"/>
  <c r="L48" i="35"/>
  <c r="L44" i="35"/>
  <c r="L43" i="35"/>
  <c r="I48" i="35"/>
  <c r="I46" i="35"/>
  <c r="I45" i="35"/>
  <c r="I44" i="35"/>
  <c r="I43" i="35"/>
  <c r="I42" i="35"/>
  <c r="L33" i="35"/>
  <c r="L35" i="35"/>
  <c r="L31" i="35"/>
  <c r="I31" i="35"/>
  <c r="I36" i="35"/>
  <c r="I35" i="35"/>
  <c r="I32" i="35"/>
  <c r="I34" i="35"/>
  <c r="I33" i="35"/>
  <c r="L27" i="35"/>
  <c r="I27" i="35"/>
  <c r="L22" i="35"/>
  <c r="L25" i="35"/>
  <c r="L24" i="35"/>
  <c r="L21" i="35"/>
  <c r="L23" i="35"/>
  <c r="I24" i="35"/>
  <c r="I25" i="35"/>
  <c r="I23" i="35"/>
  <c r="I22" i="35"/>
  <c r="N22" i="35" s="1"/>
  <c r="I21" i="35"/>
  <c r="L19" i="35"/>
  <c r="L15" i="35"/>
  <c r="I19" i="35"/>
  <c r="I18" i="35"/>
  <c r="I16" i="35"/>
  <c r="I17" i="35"/>
  <c r="I15" i="35"/>
  <c r="L12" i="35"/>
  <c r="L46" i="35"/>
  <c r="L45" i="35"/>
  <c r="L42" i="35"/>
  <c r="I12" i="35"/>
  <c r="Y47" i="35"/>
  <c r="Y41" i="35"/>
  <c r="Y40" i="35" s="1"/>
  <c r="Y39" i="35" s="1"/>
  <c r="Y30" i="35"/>
  <c r="Y27" i="35"/>
  <c r="Y26" i="35" s="1"/>
  <c r="Y24" i="35"/>
  <c r="Y22" i="35"/>
  <c r="Y23" i="35"/>
  <c r="Y21" i="35"/>
  <c r="Y19" i="35"/>
  <c r="Y14" i="35" s="1"/>
  <c r="Y12" i="35"/>
  <c r="Y11" i="35" s="1"/>
  <c r="BP4" i="133"/>
  <c r="BQ4" i="133"/>
  <c r="BR4" i="133"/>
  <c r="BP5" i="133"/>
  <c r="BQ5" i="133"/>
  <c r="BR5" i="133"/>
  <c r="BP6" i="133"/>
  <c r="BQ6" i="133"/>
  <c r="BR6" i="133"/>
  <c r="BP7" i="133"/>
  <c r="BQ7" i="133"/>
  <c r="BR7" i="133"/>
  <c r="BP8" i="133"/>
  <c r="BQ8" i="133"/>
  <c r="BR8" i="133"/>
  <c r="BP9" i="133"/>
  <c r="BQ9" i="133"/>
  <c r="BR9" i="133"/>
  <c r="BP10" i="133"/>
  <c r="BQ10" i="133"/>
  <c r="BR10" i="133"/>
  <c r="BP11" i="133"/>
  <c r="BQ11" i="133"/>
  <c r="BR11" i="133"/>
  <c r="BP12" i="133"/>
  <c r="BQ12" i="133"/>
  <c r="BR12" i="133"/>
  <c r="BP13" i="133"/>
  <c r="BQ13" i="133"/>
  <c r="BR13" i="133"/>
  <c r="BP14" i="133"/>
  <c r="BQ14" i="133"/>
  <c r="BR14" i="133"/>
  <c r="BP15" i="133"/>
  <c r="BQ15" i="133"/>
  <c r="BR15" i="133"/>
  <c r="BP16" i="133"/>
  <c r="BQ16" i="133"/>
  <c r="BR16" i="133"/>
  <c r="BP17" i="133"/>
  <c r="BQ17" i="133"/>
  <c r="BR17" i="133"/>
  <c r="BP18" i="133"/>
  <c r="BQ18" i="133"/>
  <c r="BR18" i="133"/>
  <c r="BP19" i="133"/>
  <c r="BQ19" i="133"/>
  <c r="BR19" i="133"/>
  <c r="BP20" i="133"/>
  <c r="BQ20" i="133"/>
  <c r="BR20" i="133"/>
  <c r="BP21" i="133"/>
  <c r="BQ21" i="133"/>
  <c r="BR21" i="133"/>
  <c r="BP22" i="133"/>
  <c r="BQ22" i="133"/>
  <c r="BR22" i="133"/>
  <c r="BP23" i="133"/>
  <c r="BQ23" i="133"/>
  <c r="BR23" i="133"/>
  <c r="BP24" i="133"/>
  <c r="BQ24" i="133"/>
  <c r="BR24" i="133"/>
  <c r="BP25" i="133"/>
  <c r="BQ25" i="133"/>
  <c r="BR25" i="133"/>
  <c r="BP26" i="133"/>
  <c r="BQ26" i="133"/>
  <c r="BR26" i="133"/>
  <c r="BP27" i="133"/>
  <c r="BQ27" i="133"/>
  <c r="BR27" i="133"/>
  <c r="BP28" i="133"/>
  <c r="BQ28" i="133"/>
  <c r="BR28" i="133"/>
  <c r="BP29" i="133"/>
  <c r="BQ29" i="133"/>
  <c r="BR29" i="133"/>
  <c r="BP30" i="133"/>
  <c r="BQ30" i="133"/>
  <c r="BR30" i="133"/>
  <c r="BP31" i="133"/>
  <c r="BQ31" i="133"/>
  <c r="BR31" i="133"/>
  <c r="BP32" i="133"/>
  <c r="BQ32" i="133"/>
  <c r="BR32" i="133"/>
  <c r="BP33" i="133"/>
  <c r="BQ33" i="133"/>
  <c r="BR33" i="133"/>
  <c r="BP34" i="133"/>
  <c r="BQ34" i="133"/>
  <c r="BR34" i="133"/>
  <c r="BP35" i="133"/>
  <c r="BQ35" i="133"/>
  <c r="BR35" i="133"/>
  <c r="BP36" i="133"/>
  <c r="BQ36" i="133"/>
  <c r="BR36" i="133"/>
  <c r="BP37" i="133"/>
  <c r="BQ37" i="133"/>
  <c r="BR37" i="133"/>
  <c r="BP38" i="133"/>
  <c r="BQ38" i="133"/>
  <c r="BR38" i="133"/>
  <c r="BP39" i="133"/>
  <c r="BQ39" i="133"/>
  <c r="BR39" i="133"/>
  <c r="BP40" i="133"/>
  <c r="BQ40" i="133"/>
  <c r="BR40" i="133"/>
  <c r="BP41" i="133"/>
  <c r="BQ41" i="133"/>
  <c r="BR41" i="133"/>
  <c r="BP42" i="133"/>
  <c r="BQ42" i="133"/>
  <c r="BR42" i="133"/>
  <c r="BP43" i="133"/>
  <c r="BQ43" i="133"/>
  <c r="BR43" i="133"/>
  <c r="BP44" i="133"/>
  <c r="BQ44" i="133"/>
  <c r="BR44" i="133"/>
  <c r="BP45" i="133"/>
  <c r="BQ45" i="133"/>
  <c r="BR45" i="133"/>
  <c r="BP46" i="133"/>
  <c r="BQ46" i="133"/>
  <c r="BR46" i="133"/>
  <c r="BQ3" i="133"/>
  <c r="BR3" i="133"/>
  <c r="BP3" i="133"/>
  <c r="BF4" i="133"/>
  <c r="BF5" i="133"/>
  <c r="BF6" i="133"/>
  <c r="BF7" i="133"/>
  <c r="BF8" i="133"/>
  <c r="BF9" i="133"/>
  <c r="BF10" i="133"/>
  <c r="BF3" i="133"/>
  <c r="BF2" i="133"/>
  <c r="BE10" i="133"/>
  <c r="Y36" i="37" l="1"/>
  <c r="Y32" i="37" s="1"/>
  <c r="Y11" i="37" s="1"/>
  <c r="Y20" i="35"/>
  <c r="Y13" i="35" s="1"/>
  <c r="Y10" i="35" s="1"/>
  <c r="Y9" i="35" s="1"/>
  <c r="L20" i="35"/>
  <c r="M94" i="4"/>
  <c r="N174" i="4"/>
  <c r="L174" i="4"/>
  <c r="I174" i="4"/>
  <c r="I169" i="4" s="1"/>
  <c r="N181" i="4"/>
  <c r="L181" i="4"/>
  <c r="I181" i="4"/>
  <c r="N179" i="4"/>
  <c r="L179" i="4"/>
  <c r="I179" i="4"/>
  <c r="N178" i="4"/>
  <c r="L178" i="4"/>
  <c r="I178" i="4"/>
  <c r="N176" i="4"/>
  <c r="L176" i="4"/>
  <c r="I176" i="4"/>
  <c r="N175" i="4"/>
  <c r="L175" i="4"/>
  <c r="I175" i="4"/>
  <c r="N171" i="4"/>
  <c r="N170" i="4"/>
  <c r="L171" i="4"/>
  <c r="L170" i="4"/>
  <c r="I171" i="4"/>
  <c r="I170" i="4"/>
  <c r="L168" i="4"/>
  <c r="I168" i="4"/>
  <c r="I167" i="4" s="1"/>
  <c r="N158" i="4"/>
  <c r="N155" i="4"/>
  <c r="L158" i="4"/>
  <c r="L155" i="4"/>
  <c r="I158" i="4"/>
  <c r="I155" i="4"/>
  <c r="N144" i="4"/>
  <c r="N143" i="4"/>
  <c r="L144" i="4"/>
  <c r="L143" i="4"/>
  <c r="I144" i="4"/>
  <c r="I143" i="4"/>
  <c r="N142" i="4"/>
  <c r="L142" i="4"/>
  <c r="I142" i="4"/>
  <c r="N140" i="4"/>
  <c r="N141" i="4"/>
  <c r="N139" i="4"/>
  <c r="L140" i="4"/>
  <c r="L141" i="4"/>
  <c r="L139" i="4"/>
  <c r="I140" i="4"/>
  <c r="I141" i="4"/>
  <c r="I139" i="4"/>
  <c r="N138" i="4"/>
  <c r="L138" i="4"/>
  <c r="I138" i="4"/>
  <c r="N135" i="4"/>
  <c r="N136" i="4"/>
  <c r="N137" i="4"/>
  <c r="N134" i="4"/>
  <c r="L135" i="4"/>
  <c r="L136" i="4"/>
  <c r="L137" i="4"/>
  <c r="L134" i="4"/>
  <c r="I135" i="4"/>
  <c r="I136" i="4"/>
  <c r="I137" i="4"/>
  <c r="I134" i="4"/>
  <c r="N133" i="4"/>
  <c r="L133" i="4"/>
  <c r="I133" i="4"/>
  <c r="N131" i="4"/>
  <c r="L131" i="4"/>
  <c r="I131" i="4"/>
  <c r="N130" i="4"/>
  <c r="L130" i="4"/>
  <c r="I130" i="4"/>
  <c r="N127" i="4"/>
  <c r="N128" i="4"/>
  <c r="N129" i="4"/>
  <c r="N126" i="4"/>
  <c r="L127" i="4"/>
  <c r="L128" i="4"/>
  <c r="L129" i="4"/>
  <c r="L126" i="4"/>
  <c r="I127" i="4"/>
  <c r="I128" i="4"/>
  <c r="I129" i="4"/>
  <c r="I126" i="4"/>
  <c r="N125" i="4"/>
  <c r="L125" i="4"/>
  <c r="I125" i="4"/>
  <c r="N122" i="4"/>
  <c r="N123" i="4"/>
  <c r="N124" i="4"/>
  <c r="L122" i="4"/>
  <c r="L123" i="4"/>
  <c r="L124" i="4"/>
  <c r="I122" i="4"/>
  <c r="I123" i="4"/>
  <c r="I124" i="4"/>
  <c r="N121" i="4"/>
  <c r="L121" i="4"/>
  <c r="I121" i="4"/>
  <c r="N120" i="4"/>
  <c r="L120" i="4"/>
  <c r="I120" i="4"/>
  <c r="N119" i="4"/>
  <c r="L119" i="4"/>
  <c r="I119" i="4"/>
  <c r="N118" i="4"/>
  <c r="L118" i="4"/>
  <c r="I118" i="4"/>
  <c r="N117" i="4"/>
  <c r="N116" i="4"/>
  <c r="L117" i="4"/>
  <c r="L116" i="4"/>
  <c r="I117" i="4"/>
  <c r="I116" i="4"/>
  <c r="N115" i="4"/>
  <c r="L115" i="4"/>
  <c r="I115" i="4"/>
  <c r="N113" i="4"/>
  <c r="L113" i="4"/>
  <c r="I113" i="4"/>
  <c r="N110" i="4"/>
  <c r="N111" i="4"/>
  <c r="L110" i="4"/>
  <c r="L111" i="4"/>
  <c r="I110" i="4"/>
  <c r="I111" i="4"/>
  <c r="N107" i="4"/>
  <c r="N108" i="4"/>
  <c r="N109" i="4"/>
  <c r="L107" i="4"/>
  <c r="L108" i="4"/>
  <c r="L109" i="4"/>
  <c r="I107" i="4"/>
  <c r="I108" i="4"/>
  <c r="I109" i="4"/>
  <c r="N98" i="4"/>
  <c r="N99" i="4"/>
  <c r="N100" i="4"/>
  <c r="N101" i="4"/>
  <c r="N102" i="4"/>
  <c r="N103" i="4"/>
  <c r="N104" i="4"/>
  <c r="N105" i="4"/>
  <c r="N106" i="4"/>
  <c r="L98" i="4"/>
  <c r="L99" i="4"/>
  <c r="L100" i="4"/>
  <c r="L101" i="4"/>
  <c r="L102" i="4"/>
  <c r="L103" i="4"/>
  <c r="L104" i="4"/>
  <c r="L105" i="4"/>
  <c r="L106" i="4"/>
  <c r="I99" i="4"/>
  <c r="I100" i="4"/>
  <c r="I101" i="4"/>
  <c r="I102" i="4"/>
  <c r="I103" i="4"/>
  <c r="I104" i="4"/>
  <c r="I105" i="4"/>
  <c r="I106" i="4"/>
  <c r="I98" i="4"/>
  <c r="N95" i="4"/>
  <c r="N96" i="4"/>
  <c r="N97" i="4"/>
  <c r="L96" i="4"/>
  <c r="L97" i="4"/>
  <c r="I97" i="4"/>
  <c r="I96" i="4"/>
  <c r="L95" i="4"/>
  <c r="I95" i="4"/>
  <c r="N182" i="4"/>
  <c r="N180" i="4"/>
  <c r="N173" i="4"/>
  <c r="N172" i="4"/>
  <c r="N94" i="4"/>
  <c r="N93" i="4"/>
  <c r="N92" i="4"/>
  <c r="N91" i="4"/>
  <c r="N90" i="4"/>
  <c r="N87" i="4"/>
  <c r="N86" i="4"/>
  <c r="N82" i="4"/>
  <c r="N81" i="4"/>
  <c r="N79" i="4"/>
  <c r="N78" i="4"/>
  <c r="N76" i="4"/>
  <c r="N75" i="4"/>
  <c r="N74" i="4"/>
  <c r="N73" i="4"/>
  <c r="N72" i="4"/>
  <c r="N71" i="4"/>
  <c r="N70" i="4"/>
  <c r="N69" i="4"/>
  <c r="N68" i="4"/>
  <c r="N67" i="4"/>
  <c r="N66" i="4"/>
  <c r="N65" i="4"/>
  <c r="N64"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0" i="4"/>
  <c r="N29" i="4"/>
  <c r="N28" i="4"/>
  <c r="N27" i="4"/>
  <c r="N26" i="4"/>
  <c r="N25" i="4"/>
  <c r="N24" i="4"/>
  <c r="N23" i="4"/>
  <c r="N22" i="4"/>
  <c r="N21" i="4"/>
  <c r="N20" i="4"/>
  <c r="N19" i="4"/>
  <c r="N18" i="4"/>
  <c r="N17" i="4"/>
  <c r="N16" i="4"/>
  <c r="N15" i="4"/>
  <c r="N14" i="4"/>
  <c r="N13" i="4"/>
  <c r="N12" i="4"/>
  <c r="N11" i="4"/>
  <c r="N10" i="4"/>
  <c r="L180" i="4"/>
  <c r="L173" i="4"/>
  <c r="L172" i="4"/>
  <c r="L147" i="4"/>
  <c r="L94" i="4"/>
  <c r="L93" i="4"/>
  <c r="L92" i="4"/>
  <c r="L91" i="4"/>
  <c r="L90" i="4"/>
  <c r="L89" i="4"/>
  <c r="L86" i="4"/>
  <c r="L82" i="4"/>
  <c r="L81" i="4"/>
  <c r="L79" i="4"/>
  <c r="L78" i="4"/>
  <c r="L76" i="4"/>
  <c r="L75" i="4"/>
  <c r="L74" i="4"/>
  <c r="L73" i="4"/>
  <c r="L72" i="4"/>
  <c r="L71" i="4"/>
  <c r="L70" i="4"/>
  <c r="L69" i="4"/>
  <c r="L68" i="4"/>
  <c r="L67" i="4"/>
  <c r="L66" i="4"/>
  <c r="L65" i="4"/>
  <c r="L64"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0" i="4"/>
  <c r="L29" i="4"/>
  <c r="L28" i="4"/>
  <c r="L27" i="4"/>
  <c r="L26" i="4"/>
  <c r="L25" i="4"/>
  <c r="L24" i="4"/>
  <c r="L23" i="4"/>
  <c r="L22" i="4"/>
  <c r="L21" i="4"/>
  <c r="L20" i="4"/>
  <c r="L19" i="4"/>
  <c r="L18" i="4"/>
  <c r="L17" i="4"/>
  <c r="L16" i="4"/>
  <c r="L15" i="4"/>
  <c r="L14" i="4"/>
  <c r="L13" i="4"/>
  <c r="L12" i="4"/>
  <c r="L11" i="4"/>
  <c r="L10" i="4"/>
  <c r="I182" i="4"/>
  <c r="I180" i="4"/>
  <c r="I173" i="4"/>
  <c r="I172" i="4"/>
  <c r="I94" i="4"/>
  <c r="I93" i="4"/>
  <c r="I92" i="4"/>
  <c r="I91" i="4"/>
  <c r="I90" i="4"/>
  <c r="I89" i="4"/>
  <c r="I86" i="4"/>
  <c r="I82" i="4"/>
  <c r="I81" i="4"/>
  <c r="I79" i="4"/>
  <c r="I78" i="4"/>
  <c r="I76" i="4"/>
  <c r="I75" i="4"/>
  <c r="I74" i="4"/>
  <c r="I73" i="4"/>
  <c r="I72" i="4"/>
  <c r="I71" i="4"/>
  <c r="I70" i="4"/>
  <c r="I69" i="4"/>
  <c r="I68" i="4"/>
  <c r="I67" i="4"/>
  <c r="I66" i="4"/>
  <c r="I65" i="4"/>
  <c r="I64"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0" i="4"/>
  <c r="I29" i="4"/>
  <c r="I28" i="4"/>
  <c r="I27" i="4"/>
  <c r="I26" i="4"/>
  <c r="I25" i="4"/>
  <c r="I24" i="4"/>
  <c r="I23" i="4"/>
  <c r="I22" i="4"/>
  <c r="I21" i="4"/>
  <c r="I20" i="4"/>
  <c r="I19" i="4"/>
  <c r="I18" i="4"/>
  <c r="I17" i="4"/>
  <c r="I16" i="4"/>
  <c r="I15" i="4"/>
  <c r="I14" i="4"/>
  <c r="I13" i="4"/>
  <c r="I11" i="4"/>
  <c r="I10" i="4"/>
  <c r="BB4" i="135"/>
  <c r="BC4" i="135"/>
  <c r="BD4" i="135"/>
  <c r="BE4" i="135"/>
  <c r="BB5" i="135"/>
  <c r="BC5" i="135"/>
  <c r="BD5" i="135"/>
  <c r="BE5" i="135"/>
  <c r="BB6" i="135"/>
  <c r="BC6" i="135"/>
  <c r="BD6" i="135"/>
  <c r="BE6" i="135"/>
  <c r="BB7" i="135"/>
  <c r="BC7" i="135"/>
  <c r="BD7" i="135"/>
  <c r="BE7" i="135"/>
  <c r="BB8" i="135"/>
  <c r="BC8" i="135"/>
  <c r="BD8" i="135"/>
  <c r="BE8" i="135"/>
  <c r="BB9" i="135"/>
  <c r="BC9" i="135"/>
  <c r="BD9" i="135"/>
  <c r="BE9" i="135"/>
  <c r="BB10" i="135"/>
  <c r="BC10" i="135"/>
  <c r="BD10" i="135"/>
  <c r="BE10" i="135"/>
  <c r="BB11" i="135"/>
  <c r="BC11" i="135"/>
  <c r="BD11" i="135"/>
  <c r="BE11" i="135"/>
  <c r="BB12" i="135"/>
  <c r="BC12" i="135"/>
  <c r="BD12" i="135"/>
  <c r="BE12" i="135"/>
  <c r="BB13" i="135"/>
  <c r="BC13" i="135"/>
  <c r="BD13" i="135"/>
  <c r="BE13" i="135"/>
  <c r="BB14" i="135"/>
  <c r="BC14" i="135"/>
  <c r="BD14" i="135"/>
  <c r="BE14" i="135"/>
  <c r="BB15" i="135"/>
  <c r="BC15" i="135"/>
  <c r="BD15" i="135"/>
  <c r="BE15" i="135"/>
  <c r="BB16" i="135"/>
  <c r="BC16" i="135"/>
  <c r="BD16" i="135"/>
  <c r="BE16" i="135"/>
  <c r="BB17" i="135"/>
  <c r="BC17" i="135"/>
  <c r="BD17" i="135"/>
  <c r="BE17" i="135"/>
  <c r="BB18" i="135"/>
  <c r="BC18" i="135"/>
  <c r="BD18" i="135"/>
  <c r="BE18" i="135"/>
  <c r="BB19" i="135"/>
  <c r="BC19" i="135"/>
  <c r="BD19" i="135"/>
  <c r="BE19" i="135"/>
  <c r="BB20" i="135"/>
  <c r="BC20" i="135"/>
  <c r="BD20" i="135"/>
  <c r="BE20" i="135"/>
  <c r="BB21" i="135"/>
  <c r="BC21" i="135"/>
  <c r="BD21" i="135"/>
  <c r="BE21" i="135"/>
  <c r="BB22" i="135"/>
  <c r="BC22" i="135"/>
  <c r="BD22" i="135"/>
  <c r="BE22" i="135"/>
  <c r="BB23" i="135"/>
  <c r="BC23" i="135"/>
  <c r="BD23" i="135"/>
  <c r="BE23" i="135"/>
  <c r="BB24" i="135"/>
  <c r="BC24" i="135"/>
  <c r="BD24" i="135"/>
  <c r="BE24" i="135"/>
  <c r="BB25" i="135"/>
  <c r="BC25" i="135"/>
  <c r="BD25" i="135"/>
  <c r="BE25" i="135"/>
  <c r="BB26" i="135"/>
  <c r="BC26" i="135"/>
  <c r="BD26" i="135"/>
  <c r="BE26" i="135"/>
  <c r="BB27" i="135"/>
  <c r="BC27" i="135"/>
  <c r="BD27" i="135"/>
  <c r="BE27" i="135"/>
  <c r="BB28" i="135"/>
  <c r="BC28" i="135"/>
  <c r="BD28" i="135"/>
  <c r="BE28" i="135"/>
  <c r="BB29" i="135"/>
  <c r="BC29" i="135"/>
  <c r="BD29" i="135"/>
  <c r="BE29" i="135"/>
  <c r="BB30" i="135"/>
  <c r="BC30" i="135"/>
  <c r="BD30" i="135"/>
  <c r="BE30" i="135"/>
  <c r="BB31" i="135"/>
  <c r="BC31" i="135"/>
  <c r="BD31" i="135"/>
  <c r="BE31" i="135"/>
  <c r="BB32" i="135"/>
  <c r="BC32" i="135"/>
  <c r="BD32" i="135"/>
  <c r="BE32" i="135"/>
  <c r="BB33" i="135"/>
  <c r="BC33" i="135"/>
  <c r="BD33" i="135"/>
  <c r="BE33" i="135"/>
  <c r="BB34" i="135"/>
  <c r="BC34" i="135"/>
  <c r="BD34" i="135"/>
  <c r="BE34" i="135"/>
  <c r="BB35" i="135"/>
  <c r="BC35" i="135"/>
  <c r="BD35" i="135"/>
  <c r="BE35" i="135"/>
  <c r="BB36" i="135"/>
  <c r="BC36" i="135"/>
  <c r="BD36" i="135"/>
  <c r="BE36" i="135"/>
  <c r="BB37" i="135"/>
  <c r="BC37" i="135"/>
  <c r="BD37" i="135"/>
  <c r="BE37" i="135"/>
  <c r="BB38" i="135"/>
  <c r="BC38" i="135"/>
  <c r="BD38" i="135"/>
  <c r="BE38" i="135"/>
  <c r="BB39" i="135"/>
  <c r="BC39" i="135"/>
  <c r="BD39" i="135"/>
  <c r="BE39" i="135"/>
  <c r="BB40" i="135"/>
  <c r="BC40" i="135"/>
  <c r="BD40" i="135"/>
  <c r="BE40" i="135"/>
  <c r="BB41" i="135"/>
  <c r="BC41" i="135"/>
  <c r="BD41" i="135"/>
  <c r="BE41" i="135"/>
  <c r="BB42" i="135"/>
  <c r="BC42" i="135"/>
  <c r="BD42" i="135"/>
  <c r="BE42" i="135"/>
  <c r="BB43" i="135"/>
  <c r="BC43" i="135"/>
  <c r="BD43" i="135"/>
  <c r="BE43" i="135"/>
  <c r="BB44" i="135"/>
  <c r="BC44" i="135"/>
  <c r="BD44" i="135"/>
  <c r="BE44" i="135"/>
  <c r="BB45" i="135"/>
  <c r="BC45" i="135"/>
  <c r="BD45" i="135"/>
  <c r="BE45" i="135"/>
  <c r="BB46" i="135"/>
  <c r="BC46" i="135"/>
  <c r="BD46" i="135"/>
  <c r="BE46" i="135"/>
  <c r="BB47" i="135"/>
  <c r="BC47" i="135"/>
  <c r="BD47" i="135"/>
  <c r="BE47" i="135"/>
  <c r="BB48" i="135"/>
  <c r="BC48" i="135"/>
  <c r="BD48" i="135"/>
  <c r="BE48" i="135"/>
  <c r="BB49" i="135"/>
  <c r="BC49" i="135"/>
  <c r="BD49" i="135"/>
  <c r="BE49" i="135"/>
  <c r="BB50" i="135"/>
  <c r="BC50" i="135"/>
  <c r="BD50" i="135"/>
  <c r="BE50" i="135"/>
  <c r="BB51" i="135"/>
  <c r="BC51" i="135"/>
  <c r="BD51" i="135"/>
  <c r="BE51" i="135"/>
  <c r="BB52" i="135"/>
  <c r="BC52" i="135"/>
  <c r="BD52" i="135"/>
  <c r="BE52" i="135"/>
  <c r="BB53" i="135"/>
  <c r="BC53" i="135"/>
  <c r="BD53" i="135"/>
  <c r="BE53" i="135"/>
  <c r="BB54" i="135"/>
  <c r="BC54" i="135"/>
  <c r="BD54" i="135"/>
  <c r="BE54" i="135"/>
  <c r="BB55" i="135"/>
  <c r="BC55" i="135"/>
  <c r="BD55" i="135"/>
  <c r="BE55" i="135"/>
  <c r="BB56" i="135"/>
  <c r="BC56" i="135"/>
  <c r="BD56" i="135"/>
  <c r="BE56" i="135"/>
  <c r="BB57" i="135"/>
  <c r="BC57" i="135"/>
  <c r="BD57" i="135"/>
  <c r="BE57" i="135"/>
  <c r="BB58" i="135"/>
  <c r="BC58" i="135"/>
  <c r="BD58" i="135"/>
  <c r="BE58" i="135"/>
  <c r="BB59" i="135"/>
  <c r="BC59" i="135"/>
  <c r="BD59" i="135"/>
  <c r="BE59" i="135"/>
  <c r="BB60" i="135"/>
  <c r="BC60" i="135"/>
  <c r="BD60" i="135"/>
  <c r="BE60" i="135"/>
  <c r="BB61" i="135"/>
  <c r="BC61" i="135"/>
  <c r="BD61" i="135"/>
  <c r="BE61" i="135"/>
  <c r="BB62" i="135"/>
  <c r="BC62" i="135"/>
  <c r="BD62" i="135"/>
  <c r="BE62" i="135"/>
  <c r="BB63" i="135"/>
  <c r="BC63" i="135"/>
  <c r="BD63" i="135"/>
  <c r="BE63" i="135"/>
  <c r="BB64" i="135"/>
  <c r="BC64" i="135"/>
  <c r="BD64" i="135"/>
  <c r="BE64" i="135"/>
  <c r="BB65" i="135"/>
  <c r="BC65" i="135"/>
  <c r="BD65" i="135"/>
  <c r="BE65" i="135"/>
  <c r="BB66" i="135"/>
  <c r="BC66" i="135"/>
  <c r="BD66" i="135"/>
  <c r="BE66" i="135"/>
  <c r="BB67" i="135"/>
  <c r="BC67" i="135"/>
  <c r="BD67" i="135"/>
  <c r="BE67" i="135"/>
  <c r="BB68" i="135"/>
  <c r="BC68" i="135"/>
  <c r="BD68" i="135"/>
  <c r="BE68" i="135"/>
  <c r="BB69" i="135"/>
  <c r="BC69" i="135"/>
  <c r="BD69" i="135"/>
  <c r="BE69" i="135"/>
  <c r="BB70" i="135"/>
  <c r="BC70" i="135"/>
  <c r="BD70" i="135"/>
  <c r="BE70" i="135"/>
  <c r="BB71" i="135"/>
  <c r="BC71" i="135"/>
  <c r="BD71" i="135"/>
  <c r="BE71" i="135"/>
  <c r="BB72" i="135"/>
  <c r="BC72" i="135"/>
  <c r="BD72" i="135"/>
  <c r="BE72" i="135"/>
  <c r="BB73" i="135"/>
  <c r="BC73" i="135"/>
  <c r="BD73" i="135"/>
  <c r="BE73" i="135"/>
  <c r="BB74" i="135"/>
  <c r="BC74" i="135"/>
  <c r="BD74" i="135"/>
  <c r="BE74" i="135"/>
  <c r="BB75" i="135"/>
  <c r="BC75" i="135"/>
  <c r="BD75" i="135"/>
  <c r="BE75" i="135"/>
  <c r="BB76" i="135"/>
  <c r="BC76" i="135"/>
  <c r="BD76" i="135"/>
  <c r="BE76" i="135"/>
  <c r="BB77" i="135"/>
  <c r="BC77" i="135"/>
  <c r="BD77" i="135"/>
  <c r="BE77" i="135"/>
  <c r="BB78" i="135"/>
  <c r="BC78" i="135"/>
  <c r="BD78" i="135"/>
  <c r="BE78" i="135"/>
  <c r="BB79" i="135"/>
  <c r="BC79" i="135"/>
  <c r="BD79" i="135"/>
  <c r="BE79" i="135"/>
  <c r="BB80" i="135"/>
  <c r="BC80" i="135"/>
  <c r="BD80" i="135"/>
  <c r="BE80" i="135"/>
  <c r="BB81" i="135"/>
  <c r="BC81" i="135"/>
  <c r="BD81" i="135"/>
  <c r="BE81" i="135"/>
  <c r="BB82" i="135"/>
  <c r="BC82" i="135"/>
  <c r="BD82" i="135"/>
  <c r="BE82" i="135"/>
  <c r="BB83" i="135"/>
  <c r="BC83" i="135"/>
  <c r="BD83" i="135"/>
  <c r="BE83" i="135"/>
  <c r="BB84" i="135"/>
  <c r="BC84" i="135"/>
  <c r="BD84" i="135"/>
  <c r="BE84" i="135"/>
  <c r="BB85" i="135"/>
  <c r="BC85" i="135"/>
  <c r="BD85" i="135"/>
  <c r="BE85" i="135"/>
  <c r="BB86" i="135"/>
  <c r="BC86" i="135"/>
  <c r="BD86" i="135"/>
  <c r="BE86" i="135"/>
  <c r="BB87" i="135"/>
  <c r="BC87" i="135"/>
  <c r="BD87" i="135"/>
  <c r="BE87" i="135"/>
  <c r="BB88" i="135"/>
  <c r="BC88" i="135"/>
  <c r="BD88" i="135"/>
  <c r="BE88" i="135"/>
  <c r="BB89" i="135"/>
  <c r="BC89" i="135"/>
  <c r="BD89" i="135"/>
  <c r="BE89" i="135"/>
  <c r="BB90" i="135"/>
  <c r="BC90" i="135"/>
  <c r="BD90" i="135"/>
  <c r="BE90" i="135"/>
  <c r="BB91" i="135"/>
  <c r="BC91" i="135"/>
  <c r="BD91" i="135"/>
  <c r="BE91" i="135"/>
  <c r="BB92" i="135"/>
  <c r="BC92" i="135"/>
  <c r="BD92" i="135"/>
  <c r="BE92" i="135"/>
  <c r="BB93" i="135"/>
  <c r="BC93" i="135"/>
  <c r="BD93" i="135"/>
  <c r="BE93" i="135"/>
  <c r="BB94" i="135"/>
  <c r="BC94" i="135"/>
  <c r="BD94" i="135"/>
  <c r="BE94" i="135"/>
  <c r="BB95" i="135"/>
  <c r="BC95" i="135"/>
  <c r="BD95" i="135"/>
  <c r="BE95" i="135"/>
  <c r="BB96" i="135"/>
  <c r="BC96" i="135"/>
  <c r="BD96" i="135"/>
  <c r="BE96" i="135"/>
  <c r="BB97" i="135"/>
  <c r="BC97" i="135"/>
  <c r="BD97" i="135"/>
  <c r="BE97" i="135"/>
  <c r="BB98" i="135"/>
  <c r="BC98" i="135"/>
  <c r="BD98" i="135"/>
  <c r="BE98" i="135"/>
  <c r="BB99" i="135"/>
  <c r="BC99" i="135"/>
  <c r="BD99" i="135"/>
  <c r="BE99" i="135"/>
  <c r="BB100" i="135"/>
  <c r="BC100" i="135"/>
  <c r="BD100" i="135"/>
  <c r="BE100" i="135"/>
  <c r="BB101" i="135"/>
  <c r="BC101" i="135"/>
  <c r="BD101" i="135"/>
  <c r="BE101" i="135"/>
  <c r="BB102" i="135"/>
  <c r="BC102" i="135"/>
  <c r="BD102" i="135"/>
  <c r="BE102" i="135"/>
  <c r="BB103" i="135"/>
  <c r="BC103" i="135"/>
  <c r="BD103" i="135"/>
  <c r="BE103" i="135"/>
  <c r="BB104" i="135"/>
  <c r="BC104" i="135"/>
  <c r="BD104" i="135"/>
  <c r="BE104" i="135"/>
  <c r="BB105" i="135"/>
  <c r="BC105" i="135"/>
  <c r="BD105" i="135"/>
  <c r="BE105" i="135"/>
  <c r="BB106" i="135"/>
  <c r="BC106" i="135"/>
  <c r="BD106" i="135"/>
  <c r="BE106" i="135"/>
  <c r="BB107" i="135"/>
  <c r="BC107" i="135"/>
  <c r="BD107" i="135"/>
  <c r="BE107" i="135"/>
  <c r="BB108" i="135"/>
  <c r="BC108" i="135"/>
  <c r="BD108" i="135"/>
  <c r="BE108" i="135"/>
  <c r="BB109" i="135"/>
  <c r="BC109" i="135"/>
  <c r="BD109" i="135"/>
  <c r="BE109" i="135"/>
  <c r="BB110" i="135"/>
  <c r="BC110" i="135"/>
  <c r="BD110" i="135"/>
  <c r="BE110" i="135"/>
  <c r="BB111" i="135"/>
  <c r="BC111" i="135"/>
  <c r="BD111" i="135"/>
  <c r="BE111" i="135"/>
  <c r="BB112" i="135"/>
  <c r="BC112" i="135"/>
  <c r="BD112" i="135"/>
  <c r="BE112" i="135"/>
  <c r="BB113" i="135"/>
  <c r="BC113" i="135"/>
  <c r="BD113" i="135"/>
  <c r="BE113" i="135"/>
  <c r="BB114" i="135"/>
  <c r="BC114" i="135"/>
  <c r="BD114" i="135"/>
  <c r="BE114" i="135"/>
  <c r="BB115" i="135"/>
  <c r="BC115" i="135"/>
  <c r="BD115" i="135"/>
  <c r="BE115" i="135"/>
  <c r="BB116" i="135"/>
  <c r="BC116" i="135"/>
  <c r="BD116" i="135"/>
  <c r="BE116" i="135"/>
  <c r="BB117" i="135"/>
  <c r="BC117" i="135"/>
  <c r="BD117" i="135"/>
  <c r="BE117" i="135"/>
  <c r="BB118" i="135"/>
  <c r="BC118" i="135"/>
  <c r="BD118" i="135"/>
  <c r="BE118" i="135"/>
  <c r="BB119" i="135"/>
  <c r="BC119" i="135"/>
  <c r="BD119" i="135"/>
  <c r="BE119" i="135"/>
  <c r="BB120" i="135"/>
  <c r="BC120" i="135"/>
  <c r="BD120" i="135"/>
  <c r="BE120" i="135"/>
  <c r="BB121" i="135"/>
  <c r="BC121" i="135"/>
  <c r="BD121" i="135"/>
  <c r="BE121" i="135"/>
  <c r="BB122" i="135"/>
  <c r="BC122" i="135"/>
  <c r="BD122" i="135"/>
  <c r="BE122" i="135"/>
  <c r="BB123" i="135"/>
  <c r="BC123" i="135"/>
  <c r="BD123" i="135"/>
  <c r="BE123" i="135"/>
  <c r="BB124" i="135"/>
  <c r="BC124" i="135"/>
  <c r="BD124" i="135"/>
  <c r="BE124" i="135"/>
  <c r="BB125" i="135"/>
  <c r="BC125" i="135"/>
  <c r="BD125" i="135"/>
  <c r="BE125" i="135"/>
  <c r="BB126" i="135"/>
  <c r="BC126" i="135"/>
  <c r="BD126" i="135"/>
  <c r="BE126" i="135"/>
  <c r="BB127" i="135"/>
  <c r="BC127" i="135"/>
  <c r="BD127" i="135"/>
  <c r="BE127" i="135"/>
  <c r="BB128" i="135"/>
  <c r="BC128" i="135"/>
  <c r="BD128" i="135"/>
  <c r="BE128" i="135"/>
  <c r="BB129" i="135"/>
  <c r="BC129" i="135"/>
  <c r="BD129" i="135"/>
  <c r="BE129" i="135"/>
  <c r="BB130" i="135"/>
  <c r="BC130" i="135"/>
  <c r="BD130" i="135"/>
  <c r="BE130" i="135"/>
  <c r="BB131" i="135"/>
  <c r="BC131" i="135"/>
  <c r="BD131" i="135"/>
  <c r="BE131" i="135"/>
  <c r="BB132" i="135"/>
  <c r="BC132" i="135"/>
  <c r="BD132" i="135"/>
  <c r="BE132" i="135"/>
  <c r="BB133" i="135"/>
  <c r="BC133" i="135"/>
  <c r="BD133" i="135"/>
  <c r="BE133" i="135"/>
  <c r="BB134" i="135"/>
  <c r="BC134" i="135"/>
  <c r="BD134" i="135"/>
  <c r="BE134" i="135"/>
  <c r="BB135" i="135"/>
  <c r="BC135" i="135"/>
  <c r="BD135" i="135"/>
  <c r="BE135" i="135"/>
  <c r="BB136" i="135"/>
  <c r="BC136" i="135"/>
  <c r="BD136" i="135"/>
  <c r="BE136" i="135"/>
  <c r="BB137" i="135"/>
  <c r="BC137" i="135"/>
  <c r="BD137" i="135"/>
  <c r="BE137" i="135"/>
  <c r="BB138" i="135"/>
  <c r="BC138" i="135"/>
  <c r="BD138" i="135"/>
  <c r="BE138" i="135"/>
  <c r="BB139" i="135"/>
  <c r="BC139" i="135"/>
  <c r="BD139" i="135"/>
  <c r="BE139" i="135"/>
  <c r="BB140" i="135"/>
  <c r="BC140" i="135"/>
  <c r="BD140" i="135"/>
  <c r="BE140" i="135"/>
  <c r="BB141" i="135"/>
  <c r="BC141" i="135"/>
  <c r="BD141" i="135"/>
  <c r="BE141" i="135"/>
  <c r="BB142" i="135"/>
  <c r="BC142" i="135"/>
  <c r="BD142" i="135"/>
  <c r="BE142" i="135"/>
  <c r="BB143" i="135"/>
  <c r="BC143" i="135"/>
  <c r="BD143" i="135"/>
  <c r="BE143" i="135"/>
  <c r="BB144" i="135"/>
  <c r="BC144" i="135"/>
  <c r="BD144" i="135"/>
  <c r="BE144" i="135"/>
  <c r="BB145" i="135"/>
  <c r="BC145" i="135"/>
  <c r="BD145" i="135"/>
  <c r="BE145" i="135"/>
  <c r="BB146" i="135"/>
  <c r="BC146" i="135"/>
  <c r="BD146" i="135"/>
  <c r="BE146" i="135"/>
  <c r="BB147" i="135"/>
  <c r="BC147" i="135"/>
  <c r="BD147" i="135"/>
  <c r="BE147" i="135"/>
  <c r="BB148" i="135"/>
  <c r="BC148" i="135"/>
  <c r="BD148" i="135"/>
  <c r="BE148" i="135"/>
  <c r="BB149" i="135"/>
  <c r="BC149" i="135"/>
  <c r="BD149" i="135"/>
  <c r="BE149" i="135"/>
  <c r="BC3" i="135"/>
  <c r="BD3" i="135"/>
  <c r="BE3" i="135"/>
  <c r="BB3" i="135"/>
  <c r="Z167" i="4"/>
  <c r="Y161" i="4"/>
  <c r="Z161" i="4"/>
  <c r="Y147" i="4"/>
  <c r="Z147" i="4"/>
  <c r="Y142" i="4"/>
  <c r="Y83" i="4"/>
  <c r="Z83" i="4"/>
  <c r="Y59" i="4"/>
  <c r="Y28" i="4"/>
  <c r="M110" i="4" l="1"/>
  <c r="M111" i="4"/>
  <c r="AT4" i="135"/>
  <c r="AT5" i="135"/>
  <c r="AT6" i="135"/>
  <c r="Y13" i="4" s="1"/>
  <c r="AT7" i="135"/>
  <c r="Y14" i="4" s="1"/>
  <c r="AT8" i="135"/>
  <c r="Y15" i="4" s="1"/>
  <c r="AT9" i="135"/>
  <c r="Y16" i="4" s="1"/>
  <c r="AT10" i="135"/>
  <c r="Y17" i="4" s="1"/>
  <c r="AT11" i="135"/>
  <c r="Y18" i="4" s="1"/>
  <c r="AT12" i="135"/>
  <c r="Y19" i="4" s="1"/>
  <c r="AT13" i="135"/>
  <c r="Y20" i="4" s="1"/>
  <c r="AT14" i="135"/>
  <c r="Y21" i="4" s="1"/>
  <c r="AT15" i="135"/>
  <c r="Y22" i="4" s="1"/>
  <c r="AT16" i="135"/>
  <c r="Y23" i="4" s="1"/>
  <c r="AT17" i="135"/>
  <c r="AT18" i="135"/>
  <c r="Y27" i="4" s="1"/>
  <c r="Y25" i="4" s="1"/>
  <c r="AT19" i="135"/>
  <c r="AT20" i="135"/>
  <c r="AT21" i="135"/>
  <c r="AT22" i="135"/>
  <c r="AT23" i="135"/>
  <c r="Y33" i="4" s="1"/>
  <c r="AT24" i="135"/>
  <c r="Y34" i="4" s="1"/>
  <c r="AT25" i="135"/>
  <c r="Y35" i="4" s="1"/>
  <c r="AT26" i="135"/>
  <c r="AT27" i="135"/>
  <c r="Y39" i="4" s="1"/>
  <c r="Y37" i="4" s="1"/>
  <c r="AT28" i="135"/>
  <c r="AT29" i="135"/>
  <c r="AT30" i="135"/>
  <c r="Y43" i="4" s="1"/>
  <c r="AT31" i="135"/>
  <c r="Y44" i="4" s="1"/>
  <c r="AT32" i="135"/>
  <c r="Y45" i="4" s="1"/>
  <c r="AT33" i="135"/>
  <c r="Y46" i="4" s="1"/>
  <c r="AT34" i="135"/>
  <c r="Y48" i="4" s="1"/>
  <c r="AT35" i="135"/>
  <c r="Y49" i="4" s="1"/>
  <c r="AT36" i="135"/>
  <c r="Y50" i="4" s="1"/>
  <c r="AT37" i="135"/>
  <c r="Y51" i="4" s="1"/>
  <c r="AT38" i="135"/>
  <c r="Y52" i="4" s="1"/>
  <c r="AT39" i="135"/>
  <c r="Y54" i="4" s="1"/>
  <c r="AT40" i="135"/>
  <c r="AT41" i="135"/>
  <c r="Y58" i="4" s="1"/>
  <c r="Y56" i="4" s="1"/>
  <c r="AT42" i="135"/>
  <c r="AT43" i="135"/>
  <c r="AT44" i="135"/>
  <c r="AT45" i="135"/>
  <c r="AT46" i="135"/>
  <c r="Y64" i="4" s="1"/>
  <c r="AT47" i="135"/>
  <c r="Y65" i="4" s="1"/>
  <c r="AT48" i="135"/>
  <c r="Y66" i="4" s="1"/>
  <c r="AT49" i="135"/>
  <c r="AT50" i="135"/>
  <c r="Y70" i="4" s="1"/>
  <c r="Y68" i="4" s="1"/>
  <c r="AT51" i="135"/>
  <c r="AT52" i="135"/>
  <c r="AT53" i="135"/>
  <c r="Y74" i="4" s="1"/>
  <c r="AT54" i="135"/>
  <c r="Y75" i="4" s="1"/>
  <c r="AT55" i="135"/>
  <c r="Y76" i="4" s="1"/>
  <c r="AT56" i="135"/>
  <c r="AT57" i="135"/>
  <c r="AT58" i="135"/>
  <c r="Y81" i="4" s="1"/>
  <c r="AT59" i="135"/>
  <c r="Y82" i="4" s="1"/>
  <c r="AT60" i="135"/>
  <c r="AT61" i="135"/>
  <c r="Y86" i="4" s="1"/>
  <c r="AT62" i="135"/>
  <c r="Y89" i="4" s="1"/>
  <c r="AT63" i="135"/>
  <c r="Y90" i="4" s="1"/>
  <c r="AT64" i="135"/>
  <c r="Y91" i="4" s="1"/>
  <c r="AT65" i="135"/>
  <c r="Y92" i="4" s="1"/>
  <c r="AT66" i="135"/>
  <c r="Y93" i="4" s="1"/>
  <c r="AT67" i="135"/>
  <c r="Y94" i="4" s="1"/>
  <c r="AT68" i="135"/>
  <c r="Y95" i="4" s="1"/>
  <c r="AT69" i="135"/>
  <c r="Y96" i="4" s="1"/>
  <c r="AT70" i="135"/>
  <c r="Y97" i="4" s="1"/>
  <c r="AT71" i="135"/>
  <c r="AT72" i="135"/>
  <c r="Y99" i="4" s="1"/>
  <c r="AT73" i="135"/>
  <c r="Y100" i="4" s="1"/>
  <c r="AT74" i="135"/>
  <c r="Y101" i="4" s="1"/>
  <c r="AT75" i="135"/>
  <c r="Y102" i="4" s="1"/>
  <c r="AT76" i="135"/>
  <c r="Y103" i="4" s="1"/>
  <c r="AT77" i="135"/>
  <c r="Y106" i="4" s="1"/>
  <c r="AT78" i="135"/>
  <c r="AT79" i="135"/>
  <c r="Y108" i="4" s="1"/>
  <c r="AT80" i="135"/>
  <c r="Y109" i="4" s="1"/>
  <c r="AT81" i="135"/>
  <c r="AT82" i="135"/>
  <c r="AT83" i="135"/>
  <c r="AT84" i="135"/>
  <c r="Y116" i="4" s="1"/>
  <c r="Y115" i="4" s="1"/>
  <c r="AT85" i="135"/>
  <c r="AT86" i="135"/>
  <c r="Y119" i="4" s="1"/>
  <c r="AT87" i="135"/>
  <c r="Y120" i="4" s="1"/>
  <c r="AT88" i="135"/>
  <c r="Y121" i="4" s="1"/>
  <c r="AT89" i="135"/>
  <c r="Y122" i="4" s="1"/>
  <c r="AT90" i="135"/>
  <c r="Y123" i="4" s="1"/>
  <c r="AT91" i="135"/>
  <c r="Y124" i="4" s="1"/>
  <c r="AT92" i="135"/>
  <c r="AT93" i="135"/>
  <c r="Y126" i="4" s="1"/>
  <c r="AT94" i="135"/>
  <c r="Y127" i="4" s="1"/>
  <c r="AT95" i="135"/>
  <c r="Y128" i="4" s="1"/>
  <c r="AT96" i="135"/>
  <c r="Y129" i="4" s="1"/>
  <c r="AT97" i="135"/>
  <c r="AT98" i="135"/>
  <c r="Y131" i="4" s="1"/>
  <c r="Y130" i="4" s="1"/>
  <c r="AT99" i="135"/>
  <c r="AT100" i="135"/>
  <c r="Y134" i="4" s="1"/>
  <c r="AT101" i="135"/>
  <c r="Y135" i="4" s="1"/>
  <c r="AT102" i="135"/>
  <c r="Y136" i="4" s="1"/>
  <c r="AT103" i="135"/>
  <c r="AT104" i="135"/>
  <c r="Y139" i="4" s="1"/>
  <c r="AT105" i="135"/>
  <c r="Y140" i="4" s="1"/>
  <c r="AT106" i="135"/>
  <c r="Y141" i="4" s="1"/>
  <c r="AT107" i="135"/>
  <c r="AT108" i="135"/>
  <c r="AT109" i="135"/>
  <c r="Y158" i="4" s="1"/>
  <c r="Y154" i="4" s="1"/>
  <c r="Y146" i="4" s="1"/>
  <c r="AT110" i="135"/>
  <c r="AT111" i="135"/>
  <c r="Y168" i="4" s="1"/>
  <c r="Y167" i="4" s="1"/>
  <c r="AT112" i="135"/>
  <c r="AT113" i="135"/>
  <c r="AT114" i="135"/>
  <c r="Y175" i="4" s="1"/>
  <c r="AT115" i="135"/>
  <c r="Y176" i="4" s="1"/>
  <c r="AT116" i="135"/>
  <c r="AT117" i="135"/>
  <c r="Y178" i="4" s="1"/>
  <c r="AT119" i="135"/>
  <c r="Y179" i="4" s="1"/>
  <c r="AT3" i="135"/>
  <c r="AT2" i="135"/>
  <c r="AZ3" i="117"/>
  <c r="Y107" i="4" l="1"/>
  <c r="Y63" i="4"/>
  <c r="Y174" i="4"/>
  <c r="Y169" i="4" s="1"/>
  <c r="Y79" i="4"/>
  <c r="Y32" i="4"/>
  <c r="Y42" i="4"/>
  <c r="Y12" i="4"/>
  <c r="Y138" i="4"/>
  <c r="Y98" i="4"/>
  <c r="Y118" i="4"/>
  <c r="Y177" i="4"/>
  <c r="Y125" i="4"/>
  <c r="Y85" i="4"/>
  <c r="Y73" i="4"/>
  <c r="Y72" i="4" s="1"/>
  <c r="Y133" i="4"/>
  <c r="W3" i="114"/>
  <c r="Y41" i="4" l="1"/>
  <c r="Y11" i="4"/>
  <c r="Y78" i="4"/>
  <c r="AN4" i="131"/>
  <c r="AN3" i="131"/>
  <c r="AY47" i="132"/>
  <c r="BA47" i="132"/>
  <c r="L27" i="37"/>
  <c r="L25" i="37"/>
  <c r="AZ47" i="132"/>
  <c r="H77" i="37"/>
  <c r="H76" i="37"/>
  <c r="L29" i="37"/>
  <c r="AY4" i="132"/>
  <c r="AZ4" i="132"/>
  <c r="BA4" i="132"/>
  <c r="AY5" i="132"/>
  <c r="AZ5" i="132"/>
  <c r="BA5" i="132"/>
  <c r="AY6" i="132"/>
  <c r="AZ6" i="132"/>
  <c r="BA6" i="132"/>
  <c r="AY7" i="132"/>
  <c r="AZ7" i="132"/>
  <c r="BA7" i="132"/>
  <c r="AY8" i="132"/>
  <c r="AZ8" i="132"/>
  <c r="BA8" i="132"/>
  <c r="AY9" i="132"/>
  <c r="AZ9" i="132"/>
  <c r="BA9" i="132"/>
  <c r="AY10" i="132"/>
  <c r="AZ10" i="132"/>
  <c r="BA10" i="132"/>
  <c r="AY11" i="132"/>
  <c r="AZ11" i="132"/>
  <c r="BA11" i="132"/>
  <c r="AY12" i="132"/>
  <c r="AZ12" i="132"/>
  <c r="BA12" i="132"/>
  <c r="AY13" i="132"/>
  <c r="AZ13" i="132"/>
  <c r="BA13" i="132"/>
  <c r="AY14" i="132"/>
  <c r="AZ14" i="132"/>
  <c r="BA14" i="132"/>
  <c r="AY15" i="132"/>
  <c r="AZ15" i="132"/>
  <c r="BA15" i="132"/>
  <c r="AY16" i="132"/>
  <c r="AZ16" i="132"/>
  <c r="BA16" i="132"/>
  <c r="AY17" i="132"/>
  <c r="AZ17" i="132"/>
  <c r="BA17" i="132"/>
  <c r="AY18" i="132"/>
  <c r="AZ18" i="132"/>
  <c r="BA18" i="132"/>
  <c r="AY19" i="132"/>
  <c r="AZ19" i="132"/>
  <c r="BA19" i="132"/>
  <c r="AY20" i="132"/>
  <c r="AZ20" i="132"/>
  <c r="BA20" i="132"/>
  <c r="AY21" i="132"/>
  <c r="AZ21" i="132"/>
  <c r="BA21" i="132"/>
  <c r="AY22" i="132"/>
  <c r="AZ22" i="132"/>
  <c r="BA22" i="132"/>
  <c r="AY23" i="132"/>
  <c r="AZ23" i="132"/>
  <c r="BA23" i="132"/>
  <c r="AY24" i="132"/>
  <c r="AZ24" i="132"/>
  <c r="BA24" i="132"/>
  <c r="AY25" i="132"/>
  <c r="AZ25" i="132"/>
  <c r="BA25" i="132"/>
  <c r="AY26" i="132"/>
  <c r="AZ26" i="132"/>
  <c r="BA26" i="132"/>
  <c r="AY27" i="132"/>
  <c r="AZ27" i="132"/>
  <c r="BA27" i="132"/>
  <c r="AY28" i="132"/>
  <c r="AZ28" i="132"/>
  <c r="BA28" i="132"/>
  <c r="AY29" i="132"/>
  <c r="AZ29" i="132"/>
  <c r="BA29" i="132"/>
  <c r="AY30" i="132"/>
  <c r="AZ30" i="132"/>
  <c r="BA30" i="132"/>
  <c r="AY31" i="132"/>
  <c r="AZ31" i="132"/>
  <c r="BA31" i="132"/>
  <c r="AY32" i="132"/>
  <c r="AZ32" i="132"/>
  <c r="BA32" i="132"/>
  <c r="AY33" i="132"/>
  <c r="AZ33" i="132"/>
  <c r="BA33" i="132"/>
  <c r="AY34" i="132"/>
  <c r="AZ34" i="132"/>
  <c r="BA34" i="132"/>
  <c r="AY35" i="132"/>
  <c r="AZ35" i="132"/>
  <c r="BA35" i="132"/>
  <c r="AY36" i="132"/>
  <c r="AZ36" i="132"/>
  <c r="BA36" i="132"/>
  <c r="AY37" i="132"/>
  <c r="AZ37" i="132"/>
  <c r="BA37" i="132"/>
  <c r="AY38" i="132"/>
  <c r="AZ38" i="132"/>
  <c r="BA38" i="132"/>
  <c r="AY39" i="132"/>
  <c r="AZ39" i="132"/>
  <c r="BA39" i="132"/>
  <c r="AY40" i="132"/>
  <c r="AZ40" i="132"/>
  <c r="BA40" i="132"/>
  <c r="AY41" i="132"/>
  <c r="AZ41" i="132"/>
  <c r="BA41" i="132"/>
  <c r="AY42" i="132"/>
  <c r="AZ42" i="132"/>
  <c r="BA42" i="132"/>
  <c r="AY43" i="132"/>
  <c r="AZ43" i="132"/>
  <c r="BA43" i="132"/>
  <c r="AY44" i="132"/>
  <c r="AZ44" i="132"/>
  <c r="BA44" i="132"/>
  <c r="AY45" i="132"/>
  <c r="AZ45" i="132"/>
  <c r="BA45" i="132"/>
  <c r="AY46" i="132"/>
  <c r="AZ46" i="132"/>
  <c r="BA46" i="132"/>
  <c r="AZ3" i="132"/>
  <c r="BA3" i="132"/>
  <c r="AY3" i="132"/>
  <c r="W48" i="37"/>
  <c r="W44" i="37"/>
  <c r="W17" i="37"/>
  <c r="W19" i="37"/>
  <c r="W18" i="37"/>
  <c r="AO4" i="132"/>
  <c r="AO5" i="132"/>
  <c r="AO6" i="132"/>
  <c r="AO7" i="132"/>
  <c r="AO8" i="132"/>
  <c r="AO9" i="132"/>
  <c r="W39" i="37" s="1"/>
  <c r="AO10" i="132"/>
  <c r="W41" i="37" s="1"/>
  <c r="AO11" i="132"/>
  <c r="W43" i="37" s="1"/>
  <c r="AO12" i="132"/>
  <c r="AO13" i="132"/>
  <c r="W45" i="37" s="1"/>
  <c r="AO14" i="132"/>
  <c r="W46" i="37" s="1"/>
  <c r="AO15" i="132"/>
  <c r="AO16" i="132"/>
  <c r="AO17" i="132"/>
  <c r="W51" i="37" s="1"/>
  <c r="AO18" i="132"/>
  <c r="W53" i="37" s="1"/>
  <c r="W52" i="37" s="1"/>
  <c r="AO3" i="132"/>
  <c r="AR4" i="115"/>
  <c r="N29" i="35"/>
  <c r="N24" i="35"/>
  <c r="N36" i="35"/>
  <c r="N34" i="35"/>
  <c r="N32" i="35"/>
  <c r="N31" i="35"/>
  <c r="N27" i="35"/>
  <c r="N18" i="35"/>
  <c r="N17" i="35"/>
  <c r="N16" i="35"/>
  <c r="N15" i="35"/>
  <c r="N12" i="35"/>
  <c r="AV4" i="133"/>
  <c r="AW4" i="133"/>
  <c r="AX4" i="133"/>
  <c r="AV5" i="133"/>
  <c r="AW5" i="133"/>
  <c r="AX5" i="133"/>
  <c r="AV6" i="133"/>
  <c r="AW6" i="133"/>
  <c r="AX6" i="133"/>
  <c r="AV7" i="133"/>
  <c r="AW7" i="133"/>
  <c r="AX7" i="133"/>
  <c r="AV8" i="133"/>
  <c r="AW8" i="133"/>
  <c r="AX8" i="133"/>
  <c r="AV9" i="133"/>
  <c r="AW9" i="133"/>
  <c r="AX9" i="133"/>
  <c r="AV10" i="133"/>
  <c r="AW10" i="133"/>
  <c r="AX10" i="133"/>
  <c r="AV11" i="133"/>
  <c r="AW11" i="133"/>
  <c r="AX11" i="133"/>
  <c r="AV12" i="133"/>
  <c r="AW12" i="133"/>
  <c r="AX12" i="133"/>
  <c r="AV13" i="133"/>
  <c r="AW13" i="133"/>
  <c r="AX13" i="133"/>
  <c r="AV14" i="133"/>
  <c r="AW14" i="133"/>
  <c r="AX14" i="133"/>
  <c r="AV15" i="133"/>
  <c r="AW15" i="133"/>
  <c r="AX15" i="133"/>
  <c r="AV16" i="133"/>
  <c r="AW16" i="133"/>
  <c r="AX16" i="133"/>
  <c r="AV17" i="133"/>
  <c r="AW17" i="133"/>
  <c r="AX17" i="133"/>
  <c r="AV18" i="133"/>
  <c r="AW18" i="133"/>
  <c r="AX18" i="133"/>
  <c r="AV19" i="133"/>
  <c r="AW19" i="133"/>
  <c r="AX19" i="133"/>
  <c r="AV20" i="133"/>
  <c r="AW20" i="133"/>
  <c r="AX20" i="133"/>
  <c r="AV21" i="133"/>
  <c r="AW21" i="133"/>
  <c r="AX21" i="133"/>
  <c r="AV22" i="133"/>
  <c r="AW22" i="133"/>
  <c r="AX22" i="133"/>
  <c r="AV23" i="133"/>
  <c r="AW23" i="133"/>
  <c r="AX23" i="133"/>
  <c r="AV24" i="133"/>
  <c r="AW24" i="133"/>
  <c r="AX24" i="133"/>
  <c r="AV25" i="133"/>
  <c r="AW25" i="133"/>
  <c r="AX25" i="133"/>
  <c r="AV26" i="133"/>
  <c r="AW26" i="133"/>
  <c r="AX26" i="133"/>
  <c r="AV27" i="133"/>
  <c r="AW27" i="133"/>
  <c r="AX27" i="133"/>
  <c r="AV28" i="133"/>
  <c r="AW28" i="133"/>
  <c r="AX28" i="133"/>
  <c r="AV29" i="133"/>
  <c r="AW29" i="133"/>
  <c r="AX29" i="133"/>
  <c r="AV30" i="133"/>
  <c r="AW30" i="133"/>
  <c r="AX30" i="133"/>
  <c r="AV31" i="133"/>
  <c r="AW31" i="133"/>
  <c r="AX31" i="133"/>
  <c r="AV32" i="133"/>
  <c r="AW32" i="133"/>
  <c r="AX32" i="133"/>
  <c r="AV33" i="133"/>
  <c r="AW33" i="133"/>
  <c r="AX33" i="133"/>
  <c r="AV34" i="133"/>
  <c r="AW34" i="133"/>
  <c r="AX34" i="133"/>
  <c r="AV35" i="133"/>
  <c r="AW35" i="133"/>
  <c r="AX35" i="133"/>
  <c r="AV36" i="133"/>
  <c r="AW36" i="133"/>
  <c r="AX36" i="133"/>
  <c r="AV37" i="133"/>
  <c r="AW37" i="133"/>
  <c r="AX37" i="133"/>
  <c r="AV38" i="133"/>
  <c r="AW38" i="133"/>
  <c r="AX38" i="133"/>
  <c r="AV39" i="133"/>
  <c r="AW39" i="133"/>
  <c r="AX39" i="133"/>
  <c r="AV40" i="133"/>
  <c r="AW40" i="133"/>
  <c r="AX40" i="133"/>
  <c r="AV41" i="133"/>
  <c r="AW41" i="133"/>
  <c r="AX41" i="133"/>
  <c r="AV42" i="133"/>
  <c r="AW42" i="133"/>
  <c r="AX42" i="133"/>
  <c r="AV43" i="133"/>
  <c r="AW43" i="133"/>
  <c r="AX43" i="133"/>
  <c r="AW3" i="133"/>
  <c r="AX3" i="133"/>
  <c r="AV3" i="133"/>
  <c r="AL4" i="133"/>
  <c r="AL5" i="133"/>
  <c r="AL6" i="133"/>
  <c r="AL7" i="133"/>
  <c r="W23" i="35" s="1"/>
  <c r="AL8" i="133"/>
  <c r="AL9" i="133"/>
  <c r="W21" i="35" s="1"/>
  <c r="AL10" i="133"/>
  <c r="W22" i="35" s="1"/>
  <c r="AL11" i="133"/>
  <c r="W27" i="35" s="1"/>
  <c r="W26" i="35" s="1"/>
  <c r="AL12" i="133"/>
  <c r="AL13" i="133"/>
  <c r="AL14" i="133"/>
  <c r="W33" i="35" s="1"/>
  <c r="W30" i="35" s="1"/>
  <c r="AL15" i="133"/>
  <c r="W43" i="35" s="1"/>
  <c r="W41" i="35" s="1"/>
  <c r="W40" i="35" s="1"/>
  <c r="W39" i="35" s="1"/>
  <c r="AL16" i="133"/>
  <c r="AL3" i="133"/>
  <c r="W15" i="35" s="1"/>
  <c r="W14" i="35" s="1"/>
  <c r="AI49" i="116"/>
  <c r="W37" i="37" l="1"/>
  <c r="L16" i="37"/>
  <c r="L14" i="37" s="1"/>
  <c r="L12" i="37" s="1"/>
  <c r="H78" i="37"/>
  <c r="N45" i="35"/>
  <c r="N43" i="35"/>
  <c r="N19" i="35"/>
  <c r="N25" i="35"/>
  <c r="N44" i="35"/>
  <c r="N42" i="35"/>
  <c r="N23" i="35"/>
  <c r="N33" i="35"/>
  <c r="N21" i="35"/>
  <c r="N46" i="35"/>
  <c r="N35" i="35"/>
  <c r="N48" i="35"/>
  <c r="Y10" i="4"/>
  <c r="Y9" i="4" s="1"/>
  <c r="W16" i="37"/>
  <c r="W14" i="37" s="1"/>
  <c r="W12" i="37" s="1"/>
  <c r="W42" i="37"/>
  <c r="J15" i="35"/>
  <c r="W20" i="35"/>
  <c r="W13" i="35" s="1"/>
  <c r="W10" i="35" s="1"/>
  <c r="W9" i="35" s="1"/>
  <c r="AI3" i="116"/>
  <c r="AL4" i="135"/>
  <c r="AM4" i="135"/>
  <c r="AN4" i="135"/>
  <c r="AO4" i="135"/>
  <c r="AL5" i="135"/>
  <c r="AM5" i="135"/>
  <c r="AN5" i="135"/>
  <c r="AO5" i="135"/>
  <c r="AL6" i="135"/>
  <c r="AM6" i="135"/>
  <c r="AN6" i="135"/>
  <c r="AO6" i="135"/>
  <c r="AL7" i="135"/>
  <c r="AM7" i="135"/>
  <c r="AN7" i="135"/>
  <c r="AO7" i="135"/>
  <c r="AL8" i="135"/>
  <c r="AM8" i="135"/>
  <c r="AN8" i="135"/>
  <c r="AO8" i="135"/>
  <c r="AL9" i="135"/>
  <c r="AM9" i="135"/>
  <c r="AN9" i="135"/>
  <c r="AO9" i="135"/>
  <c r="AL10" i="135"/>
  <c r="AM10" i="135"/>
  <c r="AN10" i="135"/>
  <c r="AO10" i="135"/>
  <c r="AL11" i="135"/>
  <c r="AM11" i="135"/>
  <c r="AN11" i="135"/>
  <c r="AO11" i="135"/>
  <c r="AL12" i="135"/>
  <c r="AM12" i="135"/>
  <c r="AN12" i="135"/>
  <c r="AO12" i="135"/>
  <c r="AL13" i="135"/>
  <c r="AM13" i="135"/>
  <c r="AN13" i="135"/>
  <c r="AO13" i="135"/>
  <c r="AL14" i="135"/>
  <c r="AM14" i="135"/>
  <c r="AN14" i="135"/>
  <c r="AO14" i="135"/>
  <c r="AL15" i="135"/>
  <c r="AM15" i="135"/>
  <c r="AN15" i="135"/>
  <c r="AO15" i="135"/>
  <c r="AL16" i="135"/>
  <c r="AM16" i="135"/>
  <c r="AN16" i="135"/>
  <c r="AO16" i="135"/>
  <c r="AL17" i="135"/>
  <c r="AM17" i="135"/>
  <c r="AN17" i="135"/>
  <c r="AO17" i="135"/>
  <c r="AL18" i="135"/>
  <c r="AM18" i="135"/>
  <c r="AN18" i="135"/>
  <c r="AO18" i="135"/>
  <c r="AL19" i="135"/>
  <c r="AM19" i="135"/>
  <c r="AN19" i="135"/>
  <c r="AO19" i="135"/>
  <c r="AL20" i="135"/>
  <c r="AM20" i="135"/>
  <c r="AN20" i="135"/>
  <c r="AO20" i="135"/>
  <c r="AL21" i="135"/>
  <c r="AM21" i="135"/>
  <c r="AN21" i="135"/>
  <c r="AO21" i="135"/>
  <c r="AL22" i="135"/>
  <c r="AM22" i="135"/>
  <c r="AN22" i="135"/>
  <c r="AO22" i="135"/>
  <c r="AL23" i="135"/>
  <c r="AM23" i="135"/>
  <c r="AN23" i="135"/>
  <c r="AO23" i="135"/>
  <c r="AL24" i="135"/>
  <c r="AM24" i="135"/>
  <c r="AN24" i="135"/>
  <c r="AO24" i="135"/>
  <c r="AL25" i="135"/>
  <c r="AM25" i="135"/>
  <c r="AN25" i="135"/>
  <c r="AO25" i="135"/>
  <c r="AL26" i="135"/>
  <c r="AM26" i="135"/>
  <c r="AN26" i="135"/>
  <c r="AO26" i="135"/>
  <c r="AL27" i="135"/>
  <c r="AM27" i="135"/>
  <c r="AN27" i="135"/>
  <c r="AO27" i="135"/>
  <c r="AL28" i="135"/>
  <c r="AM28" i="135"/>
  <c r="AN28" i="135"/>
  <c r="AO28" i="135"/>
  <c r="AL29" i="135"/>
  <c r="AM29" i="135"/>
  <c r="AN29" i="135"/>
  <c r="AO29" i="135"/>
  <c r="AL30" i="135"/>
  <c r="AM30" i="135"/>
  <c r="AN30" i="135"/>
  <c r="AO30" i="135"/>
  <c r="AL31" i="135"/>
  <c r="AM31" i="135"/>
  <c r="AN31" i="135"/>
  <c r="AO31" i="135"/>
  <c r="AL32" i="135"/>
  <c r="AM32" i="135"/>
  <c r="AN32" i="135"/>
  <c r="AO32" i="135"/>
  <c r="AL33" i="135"/>
  <c r="AM33" i="135"/>
  <c r="AN33" i="135"/>
  <c r="AO33" i="135"/>
  <c r="AL34" i="135"/>
  <c r="AM34" i="135"/>
  <c r="AN34" i="135"/>
  <c r="AO34" i="135"/>
  <c r="AL35" i="135"/>
  <c r="AM35" i="135"/>
  <c r="AN35" i="135"/>
  <c r="AO35" i="135"/>
  <c r="AL36" i="135"/>
  <c r="AM36" i="135"/>
  <c r="AN36" i="135"/>
  <c r="AO36" i="135"/>
  <c r="AL37" i="135"/>
  <c r="AM37" i="135"/>
  <c r="AN37" i="135"/>
  <c r="AO37" i="135"/>
  <c r="AL38" i="135"/>
  <c r="AM38" i="135"/>
  <c r="AN38" i="135"/>
  <c r="AO38" i="135"/>
  <c r="AL39" i="135"/>
  <c r="AM39" i="135"/>
  <c r="AN39" i="135"/>
  <c r="AO39" i="135"/>
  <c r="AL40" i="135"/>
  <c r="AM40" i="135"/>
  <c r="AN40" i="135"/>
  <c r="AO40" i="135"/>
  <c r="AL41" i="135"/>
  <c r="AM41" i="135"/>
  <c r="AN41" i="135"/>
  <c r="AO41" i="135"/>
  <c r="AL42" i="135"/>
  <c r="AM42" i="135"/>
  <c r="AN42" i="135"/>
  <c r="AO42" i="135"/>
  <c r="AL43" i="135"/>
  <c r="AM43" i="135"/>
  <c r="AN43" i="135"/>
  <c r="AO43" i="135"/>
  <c r="AL44" i="135"/>
  <c r="AM44" i="135"/>
  <c r="AN44" i="135"/>
  <c r="AO44" i="135"/>
  <c r="AL45" i="135"/>
  <c r="AM45" i="135"/>
  <c r="AN45" i="135"/>
  <c r="AO45" i="135"/>
  <c r="AL46" i="135"/>
  <c r="AM46" i="135"/>
  <c r="AN46" i="135"/>
  <c r="AO46" i="135"/>
  <c r="AL47" i="135"/>
  <c r="AM47" i="135"/>
  <c r="AN47" i="135"/>
  <c r="AO47" i="135"/>
  <c r="AL48" i="135"/>
  <c r="AM48" i="135"/>
  <c r="AN48" i="135"/>
  <c r="AO48" i="135"/>
  <c r="AL49" i="135"/>
  <c r="AM49" i="135"/>
  <c r="AN49" i="135"/>
  <c r="AO49" i="135"/>
  <c r="AL50" i="135"/>
  <c r="AM50" i="135"/>
  <c r="AN50" i="135"/>
  <c r="AO50" i="135"/>
  <c r="AL51" i="135"/>
  <c r="AM51" i="135"/>
  <c r="AN51" i="135"/>
  <c r="AO51" i="135"/>
  <c r="AL52" i="135"/>
  <c r="AM52" i="135"/>
  <c r="AN52" i="135"/>
  <c r="AO52" i="135"/>
  <c r="AL53" i="135"/>
  <c r="AM53" i="135"/>
  <c r="AN53" i="135"/>
  <c r="AO53" i="135"/>
  <c r="AL54" i="135"/>
  <c r="AM54" i="135"/>
  <c r="AN54" i="135"/>
  <c r="AO54" i="135"/>
  <c r="AL55" i="135"/>
  <c r="AM55" i="135"/>
  <c r="AN55" i="135"/>
  <c r="AO55" i="135"/>
  <c r="AL56" i="135"/>
  <c r="AM56" i="135"/>
  <c r="AN56" i="135"/>
  <c r="AO56" i="135"/>
  <c r="AL57" i="135"/>
  <c r="AM57" i="135"/>
  <c r="AN57" i="135"/>
  <c r="AO57" i="135"/>
  <c r="AL58" i="135"/>
  <c r="AM58" i="135"/>
  <c r="AN58" i="135"/>
  <c r="AO58" i="135"/>
  <c r="AL59" i="135"/>
  <c r="AM59" i="135"/>
  <c r="AN59" i="135"/>
  <c r="AO59" i="135"/>
  <c r="AL60" i="135"/>
  <c r="AM60" i="135"/>
  <c r="AN60" i="135"/>
  <c r="AO60" i="135"/>
  <c r="AL61" i="135"/>
  <c r="AM61" i="135"/>
  <c r="AN61" i="135"/>
  <c r="AO61" i="135"/>
  <c r="AL62" i="135"/>
  <c r="AM62" i="135"/>
  <c r="AN62" i="135"/>
  <c r="AO62" i="135"/>
  <c r="AL63" i="135"/>
  <c r="AM63" i="135"/>
  <c r="AN63" i="135"/>
  <c r="AO63" i="135"/>
  <c r="AL64" i="135"/>
  <c r="AM64" i="135"/>
  <c r="AN64" i="135"/>
  <c r="AO64" i="135"/>
  <c r="AL65" i="135"/>
  <c r="AM65" i="135"/>
  <c r="AN65" i="135"/>
  <c r="AO65" i="135"/>
  <c r="AL66" i="135"/>
  <c r="AM66" i="135"/>
  <c r="AN66" i="135"/>
  <c r="AO66" i="135"/>
  <c r="AL67" i="135"/>
  <c r="AM67" i="135"/>
  <c r="AN67" i="135"/>
  <c r="AO67" i="135"/>
  <c r="AL68" i="135"/>
  <c r="AM68" i="135"/>
  <c r="AN68" i="135"/>
  <c r="AO68" i="135"/>
  <c r="AL69" i="135"/>
  <c r="AM69" i="135"/>
  <c r="AN69" i="135"/>
  <c r="AO69" i="135"/>
  <c r="AL70" i="135"/>
  <c r="AM70" i="135"/>
  <c r="AN70" i="135"/>
  <c r="AO70" i="135"/>
  <c r="AL71" i="135"/>
  <c r="AM71" i="135"/>
  <c r="AN71" i="135"/>
  <c r="AO71" i="135"/>
  <c r="AL72" i="135"/>
  <c r="AM72" i="135"/>
  <c r="AN72" i="135"/>
  <c r="AO72" i="135"/>
  <c r="AL73" i="135"/>
  <c r="AM73" i="135"/>
  <c r="AN73" i="135"/>
  <c r="AO73" i="135"/>
  <c r="AL74" i="135"/>
  <c r="AM74" i="135"/>
  <c r="AN74" i="135"/>
  <c r="AO74" i="135"/>
  <c r="AL75" i="135"/>
  <c r="AM75" i="135"/>
  <c r="AN75" i="135"/>
  <c r="AO75" i="135"/>
  <c r="AL76" i="135"/>
  <c r="AM76" i="135"/>
  <c r="AN76" i="135"/>
  <c r="AO76" i="135"/>
  <c r="AL77" i="135"/>
  <c r="AM77" i="135"/>
  <c r="AN77" i="135"/>
  <c r="AO77" i="135"/>
  <c r="AL78" i="135"/>
  <c r="AM78" i="135"/>
  <c r="AN78" i="135"/>
  <c r="AO78" i="135"/>
  <c r="AL79" i="135"/>
  <c r="AM79" i="135"/>
  <c r="AN79" i="135"/>
  <c r="AO79" i="135"/>
  <c r="AL80" i="135"/>
  <c r="AM80" i="135"/>
  <c r="AN80" i="135"/>
  <c r="AO80" i="135"/>
  <c r="AL81" i="135"/>
  <c r="AM81" i="135"/>
  <c r="AN81" i="135"/>
  <c r="AO81" i="135"/>
  <c r="AL82" i="135"/>
  <c r="AM82" i="135"/>
  <c r="AN82" i="135"/>
  <c r="AO82" i="135"/>
  <c r="AL83" i="135"/>
  <c r="AM83" i="135"/>
  <c r="AN83" i="135"/>
  <c r="AO83" i="135"/>
  <c r="AL84" i="135"/>
  <c r="AM84" i="135"/>
  <c r="AN84" i="135"/>
  <c r="AO84" i="135"/>
  <c r="AL85" i="135"/>
  <c r="AM85" i="135"/>
  <c r="AN85" i="135"/>
  <c r="AO85" i="135"/>
  <c r="AL86" i="135"/>
  <c r="AM86" i="135"/>
  <c r="AN86" i="135"/>
  <c r="AO86" i="135"/>
  <c r="AL87" i="135"/>
  <c r="AM87" i="135"/>
  <c r="AN87" i="135"/>
  <c r="AO87" i="135"/>
  <c r="AL88" i="135"/>
  <c r="AM88" i="135"/>
  <c r="AN88" i="135"/>
  <c r="AO88" i="135"/>
  <c r="AL89" i="135"/>
  <c r="AM89" i="135"/>
  <c r="AN89" i="135"/>
  <c r="AO89" i="135"/>
  <c r="AL90" i="135"/>
  <c r="AM90" i="135"/>
  <c r="AN90" i="135"/>
  <c r="AO90" i="135"/>
  <c r="AL91" i="135"/>
  <c r="AM91" i="135"/>
  <c r="AN91" i="135"/>
  <c r="AO91" i="135"/>
  <c r="AL92" i="135"/>
  <c r="AM92" i="135"/>
  <c r="AN92" i="135"/>
  <c r="AO92" i="135"/>
  <c r="AL93" i="135"/>
  <c r="AM93" i="135"/>
  <c r="AN93" i="135"/>
  <c r="AO93" i="135"/>
  <c r="AL94" i="135"/>
  <c r="AM94" i="135"/>
  <c r="AN94" i="135"/>
  <c r="AO94" i="135"/>
  <c r="AL95" i="135"/>
  <c r="AM95" i="135"/>
  <c r="AN95" i="135"/>
  <c r="AO95" i="135"/>
  <c r="AL96" i="135"/>
  <c r="AM96" i="135"/>
  <c r="AN96" i="135"/>
  <c r="AO96" i="135"/>
  <c r="AL97" i="135"/>
  <c r="AM97" i="135"/>
  <c r="AN97" i="135"/>
  <c r="AO97" i="135"/>
  <c r="AL98" i="135"/>
  <c r="AM98" i="135"/>
  <c r="AN98" i="135"/>
  <c r="AO98" i="135"/>
  <c r="AL99" i="135"/>
  <c r="AM99" i="135"/>
  <c r="AN99" i="135"/>
  <c r="AO99" i="135"/>
  <c r="AL100" i="135"/>
  <c r="AM100" i="135"/>
  <c r="AN100" i="135"/>
  <c r="AO100" i="135"/>
  <c r="AL101" i="135"/>
  <c r="AM101" i="135"/>
  <c r="AN101" i="135"/>
  <c r="AO101" i="135"/>
  <c r="AL102" i="135"/>
  <c r="AM102" i="135"/>
  <c r="AN102" i="135"/>
  <c r="AO102" i="135"/>
  <c r="AL103" i="135"/>
  <c r="AM103" i="135"/>
  <c r="AN103" i="135"/>
  <c r="AO103" i="135"/>
  <c r="AL104" i="135"/>
  <c r="AM104" i="135"/>
  <c r="AN104" i="135"/>
  <c r="AO104" i="135"/>
  <c r="AL105" i="135"/>
  <c r="AM105" i="135"/>
  <c r="AN105" i="135"/>
  <c r="AO105" i="135"/>
  <c r="AL106" i="135"/>
  <c r="AM106" i="135"/>
  <c r="AN106" i="135"/>
  <c r="AO106" i="135"/>
  <c r="AL107" i="135"/>
  <c r="AM107" i="135"/>
  <c r="AN107" i="135"/>
  <c r="AO107" i="135"/>
  <c r="AL108" i="135"/>
  <c r="AM108" i="135"/>
  <c r="AN108" i="135"/>
  <c r="AO108" i="135"/>
  <c r="AL109" i="135"/>
  <c r="AM109" i="135"/>
  <c r="AN109" i="135"/>
  <c r="AO109" i="135"/>
  <c r="AL110" i="135"/>
  <c r="AM110" i="135"/>
  <c r="AN110" i="135"/>
  <c r="AO110" i="135"/>
  <c r="AL111" i="135"/>
  <c r="AM111" i="135"/>
  <c r="AN111" i="135"/>
  <c r="AO111" i="135"/>
  <c r="AL112" i="135"/>
  <c r="AM112" i="135"/>
  <c r="AN112" i="135"/>
  <c r="AO112" i="135"/>
  <c r="AL113" i="135"/>
  <c r="AM113" i="135"/>
  <c r="AN113" i="135"/>
  <c r="AO113" i="135"/>
  <c r="AL114" i="135"/>
  <c r="AM114" i="135"/>
  <c r="AN114" i="135"/>
  <c r="AO114" i="135"/>
  <c r="AL115" i="135"/>
  <c r="AM115" i="135"/>
  <c r="AN115" i="135"/>
  <c r="AO115" i="135"/>
  <c r="AL116" i="135"/>
  <c r="AM116" i="135"/>
  <c r="AN116" i="135"/>
  <c r="AO116" i="135"/>
  <c r="AL117" i="135"/>
  <c r="AM117" i="135"/>
  <c r="AN117" i="135"/>
  <c r="AO117" i="135"/>
  <c r="AL118" i="135"/>
  <c r="AM118" i="135"/>
  <c r="AN118" i="135"/>
  <c r="AO118" i="135"/>
  <c r="AL119" i="135"/>
  <c r="AM119" i="135"/>
  <c r="AN119" i="135"/>
  <c r="AO119" i="135"/>
  <c r="AL120" i="135"/>
  <c r="AM120" i="135"/>
  <c r="AN120" i="135"/>
  <c r="AO120" i="135"/>
  <c r="AL121" i="135"/>
  <c r="AM121" i="135"/>
  <c r="AN121" i="135"/>
  <c r="AO121" i="135"/>
  <c r="AL122" i="135"/>
  <c r="AM122" i="135"/>
  <c r="AN122" i="135"/>
  <c r="AO122" i="135"/>
  <c r="AL123" i="135"/>
  <c r="AM123" i="135"/>
  <c r="AN123" i="135"/>
  <c r="AO123" i="135"/>
  <c r="AL124" i="135"/>
  <c r="AM124" i="135"/>
  <c r="AN124" i="135"/>
  <c r="AO124" i="135"/>
  <c r="AL125" i="135"/>
  <c r="AM125" i="135"/>
  <c r="AN125" i="135"/>
  <c r="AO125" i="135"/>
  <c r="AL126" i="135"/>
  <c r="AM126" i="135"/>
  <c r="AN126" i="135"/>
  <c r="AO126" i="135"/>
  <c r="AL127" i="135"/>
  <c r="AM127" i="135"/>
  <c r="AN127" i="135"/>
  <c r="AO127" i="135"/>
  <c r="AL128" i="135"/>
  <c r="AM128" i="135"/>
  <c r="AN128" i="135"/>
  <c r="AO128" i="135"/>
  <c r="AL129" i="135"/>
  <c r="AM129" i="135"/>
  <c r="AN129" i="135"/>
  <c r="AO129" i="135"/>
  <c r="AL130" i="135"/>
  <c r="AM130" i="135"/>
  <c r="AN130" i="135"/>
  <c r="AO130" i="135"/>
  <c r="AL131" i="135"/>
  <c r="AM131" i="135"/>
  <c r="AN131" i="135"/>
  <c r="AO131" i="135"/>
  <c r="AL132" i="135"/>
  <c r="AM132" i="135"/>
  <c r="AN132" i="135"/>
  <c r="AO132" i="135"/>
  <c r="AL133" i="135"/>
  <c r="AM133" i="135"/>
  <c r="AN133" i="135"/>
  <c r="AO133" i="135"/>
  <c r="AL134" i="135"/>
  <c r="AM134" i="135"/>
  <c r="AN134" i="135"/>
  <c r="AO134" i="135"/>
  <c r="AL135" i="135"/>
  <c r="AM135" i="135"/>
  <c r="AN135" i="135"/>
  <c r="AO135" i="135"/>
  <c r="AL136" i="135"/>
  <c r="AM136" i="135"/>
  <c r="AN136" i="135"/>
  <c r="AO136" i="135"/>
  <c r="AL137" i="135"/>
  <c r="AM137" i="135"/>
  <c r="AN137" i="135"/>
  <c r="AO137" i="135"/>
  <c r="AL138" i="135"/>
  <c r="AM138" i="135"/>
  <c r="AN138" i="135"/>
  <c r="AO138" i="135"/>
  <c r="AL139" i="135"/>
  <c r="AM139" i="135"/>
  <c r="AN139" i="135"/>
  <c r="AO139" i="135"/>
  <c r="AL140" i="135"/>
  <c r="AM140" i="135"/>
  <c r="AN140" i="135"/>
  <c r="AO140" i="135"/>
  <c r="AL141" i="135"/>
  <c r="AM141" i="135"/>
  <c r="AN141" i="135"/>
  <c r="AO141" i="135"/>
  <c r="AL142" i="135"/>
  <c r="AM142" i="135"/>
  <c r="AN142" i="135"/>
  <c r="AO142" i="135"/>
  <c r="AL143" i="135"/>
  <c r="AM143" i="135"/>
  <c r="AN143" i="135"/>
  <c r="AO143" i="135"/>
  <c r="AL144" i="135"/>
  <c r="AM144" i="135"/>
  <c r="AN144" i="135"/>
  <c r="AO144" i="135"/>
  <c r="AL145" i="135"/>
  <c r="AM145" i="135"/>
  <c r="AN145" i="135"/>
  <c r="AO145" i="135"/>
  <c r="AL146" i="135"/>
  <c r="AM146" i="135"/>
  <c r="AN146" i="135"/>
  <c r="AO146" i="135"/>
  <c r="AL147" i="135"/>
  <c r="AM147" i="135"/>
  <c r="AN147" i="135"/>
  <c r="AO147" i="135"/>
  <c r="AM3" i="135"/>
  <c r="AN3" i="135"/>
  <c r="AO3" i="135"/>
  <c r="AL3" i="135"/>
  <c r="W161" i="4"/>
  <c r="W147" i="4"/>
  <c r="W116" i="4"/>
  <c r="AD4" i="135"/>
  <c r="AD5" i="135"/>
  <c r="AD6" i="135"/>
  <c r="W13" i="4" s="1"/>
  <c r="AD7" i="135"/>
  <c r="W14" i="4" s="1"/>
  <c r="AD8" i="135"/>
  <c r="W15" i="4" s="1"/>
  <c r="AD9" i="135"/>
  <c r="W16" i="4" s="1"/>
  <c r="AD10" i="135"/>
  <c r="W17" i="4" s="1"/>
  <c r="AD11" i="135"/>
  <c r="W18" i="4" s="1"/>
  <c r="AD12" i="135"/>
  <c r="W19" i="4" s="1"/>
  <c r="AD13" i="135"/>
  <c r="W20" i="4" s="1"/>
  <c r="AD14" i="135"/>
  <c r="W21" i="4" s="1"/>
  <c r="AD15" i="135"/>
  <c r="W22" i="4" s="1"/>
  <c r="AD16" i="135"/>
  <c r="W23" i="4" s="1"/>
  <c r="AD17" i="135"/>
  <c r="AD18" i="135"/>
  <c r="W26" i="4" s="1"/>
  <c r="AD19" i="135"/>
  <c r="W27" i="4" s="1"/>
  <c r="AD20" i="135"/>
  <c r="AD21" i="135"/>
  <c r="W29" i="4" s="1"/>
  <c r="AD22" i="135"/>
  <c r="W30" i="4" s="1"/>
  <c r="AD23" i="135"/>
  <c r="AD24" i="135"/>
  <c r="W33" i="4" s="1"/>
  <c r="AD25" i="135"/>
  <c r="W34" i="4" s="1"/>
  <c r="AD26" i="135"/>
  <c r="W35" i="4" s="1"/>
  <c r="AD27" i="135"/>
  <c r="AD28" i="135"/>
  <c r="W39" i="4" s="1"/>
  <c r="W37" i="4" s="1"/>
  <c r="AD29" i="135"/>
  <c r="W41" i="4" s="1"/>
  <c r="AD30" i="135"/>
  <c r="W42" i="4" s="1"/>
  <c r="AD31" i="135"/>
  <c r="W43" i="4" s="1"/>
  <c r="AD32" i="135"/>
  <c r="W44" i="4" s="1"/>
  <c r="AD33" i="135"/>
  <c r="W45" i="4" s="1"/>
  <c r="AD34" i="135"/>
  <c r="W46" i="4" s="1"/>
  <c r="AD35" i="135"/>
  <c r="W48" i="4" s="1"/>
  <c r="AD36" i="135"/>
  <c r="W49" i="4" s="1"/>
  <c r="AD37" i="135"/>
  <c r="W50" i="4" s="1"/>
  <c r="AD38" i="135"/>
  <c r="W51" i="4" s="1"/>
  <c r="AD39" i="135"/>
  <c r="W52" i="4" s="1"/>
  <c r="AD40" i="135"/>
  <c r="W54" i="4" s="1"/>
  <c r="AD41" i="135"/>
  <c r="AD42" i="135"/>
  <c r="W57" i="4" s="1"/>
  <c r="AD43" i="135"/>
  <c r="W58" i="4" s="1"/>
  <c r="AD44" i="135"/>
  <c r="AD45" i="135"/>
  <c r="W60" i="4" s="1"/>
  <c r="AD46" i="135"/>
  <c r="W61" i="4" s="1"/>
  <c r="AD47" i="135"/>
  <c r="AD48" i="135"/>
  <c r="W64" i="4" s="1"/>
  <c r="AD49" i="135"/>
  <c r="W65" i="4" s="1"/>
  <c r="AD50" i="135"/>
  <c r="W66" i="4" s="1"/>
  <c r="AD51" i="135"/>
  <c r="AD52" i="135"/>
  <c r="W70" i="4" s="1"/>
  <c r="W68" i="4" s="1"/>
  <c r="AD53" i="135"/>
  <c r="AD54" i="135"/>
  <c r="AD55" i="135"/>
  <c r="W74" i="4" s="1"/>
  <c r="AD56" i="135"/>
  <c r="W75" i="4" s="1"/>
  <c r="AD57" i="135"/>
  <c r="W76" i="4" s="1"/>
  <c r="AD58" i="135"/>
  <c r="W78" i="4" s="1"/>
  <c r="AD59" i="135"/>
  <c r="W79" i="4" s="1"/>
  <c r="AD60" i="135"/>
  <c r="AD61" i="135"/>
  <c r="AD62" i="135"/>
  <c r="AD63" i="135"/>
  <c r="W86" i="4" s="1"/>
  <c r="AD64" i="135"/>
  <c r="AD65" i="135"/>
  <c r="W90" i="4" s="1"/>
  <c r="AD66" i="135"/>
  <c r="AD67" i="135"/>
  <c r="W92" i="4" s="1"/>
  <c r="AD68" i="135"/>
  <c r="AD69" i="135"/>
  <c r="W94" i="4" s="1"/>
  <c r="AD70" i="135"/>
  <c r="AD71" i="135"/>
  <c r="AD72" i="135"/>
  <c r="AD73" i="135"/>
  <c r="W99" i="4" s="1"/>
  <c r="AD74" i="135"/>
  <c r="W100" i="4" s="1"/>
  <c r="AD75" i="135"/>
  <c r="AD76" i="135"/>
  <c r="W102" i="4" s="1"/>
  <c r="AD77" i="135"/>
  <c r="W103" i="4" s="1"/>
  <c r="AD78" i="135"/>
  <c r="W104" i="4" s="1"/>
  <c r="AD79" i="135"/>
  <c r="W105" i="4" s="1"/>
  <c r="AD80" i="135"/>
  <c r="W106" i="4" s="1"/>
  <c r="AD81" i="135"/>
  <c r="AD82" i="135"/>
  <c r="W108" i="4" s="1"/>
  <c r="AD83" i="135"/>
  <c r="W109" i="4" s="1"/>
  <c r="AD84" i="135"/>
  <c r="W110" i="4" s="1"/>
  <c r="AD85" i="135"/>
  <c r="W113" i="4" s="1"/>
  <c r="AD86" i="135"/>
  <c r="W115" i="4" s="1"/>
  <c r="AD87" i="135"/>
  <c r="AD88" i="135"/>
  <c r="W117" i="4" s="1"/>
  <c r="AD89" i="135"/>
  <c r="W118" i="4" s="1"/>
  <c r="AD90" i="135"/>
  <c r="W119" i="4" s="1"/>
  <c r="AD91" i="135"/>
  <c r="W120" i="4" s="1"/>
  <c r="AD92" i="135"/>
  <c r="W121" i="4" s="1"/>
  <c r="AD93" i="135"/>
  <c r="W122" i="4" s="1"/>
  <c r="AD94" i="135"/>
  <c r="W123" i="4" s="1"/>
  <c r="AD95" i="135"/>
  <c r="W124" i="4" s="1"/>
  <c r="AD96" i="135"/>
  <c r="W125" i="4" s="1"/>
  <c r="AD97" i="135"/>
  <c r="W126" i="4" s="1"/>
  <c r="AD98" i="135"/>
  <c r="W127" i="4" s="1"/>
  <c r="AD99" i="135"/>
  <c r="W128" i="4" s="1"/>
  <c r="AD100" i="135"/>
  <c r="W129" i="4" s="1"/>
  <c r="AD101" i="135"/>
  <c r="W130" i="4" s="1"/>
  <c r="AD102" i="135"/>
  <c r="W131" i="4" s="1"/>
  <c r="AD103" i="135"/>
  <c r="AD104" i="135"/>
  <c r="W134" i="4" s="1"/>
  <c r="AD105" i="135"/>
  <c r="W135" i="4" s="1"/>
  <c r="AD106" i="135"/>
  <c r="W136" i="4" s="1"/>
  <c r="AD107" i="135"/>
  <c r="W137" i="4" s="1"/>
  <c r="AD108" i="135"/>
  <c r="W138" i="4" s="1"/>
  <c r="AD109" i="135"/>
  <c r="W139" i="4" s="1"/>
  <c r="AD110" i="135"/>
  <c r="W140" i="4" s="1"/>
  <c r="AD111" i="135"/>
  <c r="W141" i="4" s="1"/>
  <c r="AD112" i="135"/>
  <c r="AD113" i="135"/>
  <c r="W158" i="4" s="1"/>
  <c r="W154" i="4" s="1"/>
  <c r="AD114" i="135"/>
  <c r="AD115" i="135"/>
  <c r="AD116" i="135"/>
  <c r="AD117" i="135"/>
  <c r="AD118" i="135"/>
  <c r="W177" i="4" s="1"/>
  <c r="AD119" i="135"/>
  <c r="W178" i="4" s="1"/>
  <c r="AD120" i="135"/>
  <c r="AD121" i="135"/>
  <c r="W179" i="4" s="1"/>
  <c r="AD122" i="135"/>
  <c r="AD123" i="135"/>
  <c r="AD124" i="135"/>
  <c r="AD3" i="135"/>
  <c r="P161" i="4"/>
  <c r="W36" i="37" l="1"/>
  <c r="W32" i="37" s="1"/>
  <c r="M104" i="4"/>
  <c r="W28" i="4"/>
  <c r="W25" i="4"/>
  <c r="M106" i="4"/>
  <c r="M99" i="4"/>
  <c r="N177" i="4"/>
  <c r="W11" i="37"/>
  <c r="M105" i="4"/>
  <c r="I177" i="4"/>
  <c r="M103" i="4"/>
  <c r="L177" i="4"/>
  <c r="L85" i="4"/>
  <c r="M102" i="4"/>
  <c r="M101" i="4"/>
  <c r="M100" i="4"/>
  <c r="W98" i="4"/>
  <c r="W32" i="4"/>
  <c r="W107" i="4"/>
  <c r="W63" i="4"/>
  <c r="W133" i="4"/>
  <c r="W85" i="4"/>
  <c r="W59" i="4"/>
  <c r="W73" i="4"/>
  <c r="W72" i="4" s="1"/>
  <c r="W12" i="4"/>
  <c r="W56" i="4"/>
  <c r="W146" i="4"/>
  <c r="V4" i="135"/>
  <c r="W4" i="135"/>
  <c r="X4" i="135"/>
  <c r="Y4" i="135"/>
  <c r="V5" i="135"/>
  <c r="W5" i="135"/>
  <c r="X5" i="135"/>
  <c r="Y5" i="135"/>
  <c r="V6" i="135"/>
  <c r="W6" i="135"/>
  <c r="X6" i="135"/>
  <c r="Y6" i="135"/>
  <c r="V7" i="135"/>
  <c r="W7" i="135"/>
  <c r="X7" i="135"/>
  <c r="Y7" i="135"/>
  <c r="V8" i="135"/>
  <c r="W8" i="135"/>
  <c r="X8" i="135"/>
  <c r="Y8" i="135"/>
  <c r="V9" i="135"/>
  <c r="W9" i="135"/>
  <c r="X9" i="135"/>
  <c r="Y9" i="135"/>
  <c r="V10" i="135"/>
  <c r="W10" i="135"/>
  <c r="X10" i="135"/>
  <c r="Y10" i="135"/>
  <c r="V11" i="135"/>
  <c r="W11" i="135"/>
  <c r="X11" i="135"/>
  <c r="Y11" i="135"/>
  <c r="V12" i="135"/>
  <c r="W12" i="135"/>
  <c r="X12" i="135"/>
  <c r="Y12" i="135"/>
  <c r="V13" i="135"/>
  <c r="W13" i="135"/>
  <c r="X13" i="135"/>
  <c r="Y13" i="135"/>
  <c r="V14" i="135"/>
  <c r="W14" i="135"/>
  <c r="X14" i="135"/>
  <c r="Y14" i="135"/>
  <c r="V15" i="135"/>
  <c r="W15" i="135"/>
  <c r="X15" i="135"/>
  <c r="Y15" i="135"/>
  <c r="V16" i="135"/>
  <c r="W16" i="135"/>
  <c r="X16" i="135"/>
  <c r="Y16" i="135"/>
  <c r="V17" i="135"/>
  <c r="W17" i="135"/>
  <c r="X17" i="135"/>
  <c r="Y17" i="135"/>
  <c r="V18" i="135"/>
  <c r="W18" i="135"/>
  <c r="X18" i="135"/>
  <c r="Y18" i="135"/>
  <c r="V19" i="135"/>
  <c r="W19" i="135"/>
  <c r="X19" i="135"/>
  <c r="Y19" i="135"/>
  <c r="V20" i="135"/>
  <c r="W20" i="135"/>
  <c r="X20" i="135"/>
  <c r="Y20" i="135"/>
  <c r="V21" i="135"/>
  <c r="W21" i="135"/>
  <c r="X21" i="135"/>
  <c r="Y21" i="135"/>
  <c r="V22" i="135"/>
  <c r="W22" i="135"/>
  <c r="X22" i="135"/>
  <c r="Y22" i="135"/>
  <c r="V23" i="135"/>
  <c r="W23" i="135"/>
  <c r="X23" i="135"/>
  <c r="Y23" i="135"/>
  <c r="V24" i="135"/>
  <c r="W24" i="135"/>
  <c r="X24" i="135"/>
  <c r="Y24" i="135"/>
  <c r="V25" i="135"/>
  <c r="W25" i="135"/>
  <c r="X25" i="135"/>
  <c r="Y25" i="135"/>
  <c r="V26" i="135"/>
  <c r="W26" i="135"/>
  <c r="X26" i="135"/>
  <c r="Y26" i="135"/>
  <c r="V27" i="135"/>
  <c r="W27" i="135"/>
  <c r="X27" i="135"/>
  <c r="Y27" i="135"/>
  <c r="V28" i="135"/>
  <c r="W28" i="135"/>
  <c r="X28" i="135"/>
  <c r="Y28" i="135"/>
  <c r="V29" i="135"/>
  <c r="W29" i="135"/>
  <c r="X29" i="135"/>
  <c r="Y29" i="135"/>
  <c r="V30" i="135"/>
  <c r="W30" i="135"/>
  <c r="X30" i="135"/>
  <c r="Y30" i="135"/>
  <c r="V31" i="135"/>
  <c r="W31" i="135"/>
  <c r="X31" i="135"/>
  <c r="Y31" i="135"/>
  <c r="V32" i="135"/>
  <c r="W32" i="135"/>
  <c r="X32" i="135"/>
  <c r="Y32" i="135"/>
  <c r="V33" i="135"/>
  <c r="W33" i="135"/>
  <c r="X33" i="135"/>
  <c r="Y33" i="135"/>
  <c r="V34" i="135"/>
  <c r="W34" i="135"/>
  <c r="X34" i="135"/>
  <c r="Y34" i="135"/>
  <c r="V35" i="135"/>
  <c r="W35" i="135"/>
  <c r="X35" i="135"/>
  <c r="Y35" i="135"/>
  <c r="V36" i="135"/>
  <c r="W36" i="135"/>
  <c r="X36" i="135"/>
  <c r="Y36" i="135"/>
  <c r="V37" i="135"/>
  <c r="W37" i="135"/>
  <c r="X37" i="135"/>
  <c r="Y37" i="135"/>
  <c r="V38" i="135"/>
  <c r="W38" i="135"/>
  <c r="X38" i="135"/>
  <c r="Y38" i="135"/>
  <c r="V39" i="135"/>
  <c r="W39" i="135"/>
  <c r="X39" i="135"/>
  <c r="Y39" i="135"/>
  <c r="V40" i="135"/>
  <c r="W40" i="135"/>
  <c r="X40" i="135"/>
  <c r="Y40" i="135"/>
  <c r="V41" i="135"/>
  <c r="W41" i="135"/>
  <c r="X41" i="135"/>
  <c r="Y41" i="135"/>
  <c r="V42" i="135"/>
  <c r="W42" i="135"/>
  <c r="X42" i="135"/>
  <c r="Y42" i="135"/>
  <c r="V43" i="135"/>
  <c r="W43" i="135"/>
  <c r="X43" i="135"/>
  <c r="Y43" i="135"/>
  <c r="V44" i="135"/>
  <c r="W44" i="135"/>
  <c r="X44" i="135"/>
  <c r="Y44" i="135"/>
  <c r="V45" i="135"/>
  <c r="W45" i="135"/>
  <c r="X45" i="135"/>
  <c r="Y45" i="135"/>
  <c r="V46" i="135"/>
  <c r="W46" i="135"/>
  <c r="X46" i="135"/>
  <c r="Y46" i="135"/>
  <c r="V47" i="135"/>
  <c r="W47" i="135"/>
  <c r="X47" i="135"/>
  <c r="Y47" i="135"/>
  <c r="V48" i="135"/>
  <c r="W48" i="135"/>
  <c r="X48" i="135"/>
  <c r="Y48" i="135"/>
  <c r="V49" i="135"/>
  <c r="W49" i="135"/>
  <c r="X49" i="135"/>
  <c r="Y49" i="135"/>
  <c r="V50" i="135"/>
  <c r="W50" i="135"/>
  <c r="X50" i="135"/>
  <c r="Y50" i="135"/>
  <c r="V51" i="135"/>
  <c r="W51" i="135"/>
  <c r="X51" i="135"/>
  <c r="Y51" i="135"/>
  <c r="V52" i="135"/>
  <c r="W52" i="135"/>
  <c r="X52" i="135"/>
  <c r="Y52" i="135"/>
  <c r="V53" i="135"/>
  <c r="W53" i="135"/>
  <c r="X53" i="135"/>
  <c r="Y53" i="135"/>
  <c r="V54" i="135"/>
  <c r="W54" i="135"/>
  <c r="X54" i="135"/>
  <c r="Y54" i="135"/>
  <c r="V55" i="135"/>
  <c r="W55" i="135"/>
  <c r="X55" i="135"/>
  <c r="Y55" i="135"/>
  <c r="V56" i="135"/>
  <c r="W56" i="135"/>
  <c r="X56" i="135"/>
  <c r="Y56" i="135"/>
  <c r="V57" i="135"/>
  <c r="W57" i="135"/>
  <c r="X57" i="135"/>
  <c r="Y57" i="135"/>
  <c r="V58" i="135"/>
  <c r="W58" i="135"/>
  <c r="X58" i="135"/>
  <c r="Y58" i="135"/>
  <c r="V59" i="135"/>
  <c r="W59" i="135"/>
  <c r="X59" i="135"/>
  <c r="Y59" i="135"/>
  <c r="V60" i="135"/>
  <c r="W60" i="135"/>
  <c r="X60" i="135"/>
  <c r="Y60" i="135"/>
  <c r="V61" i="135"/>
  <c r="W61" i="135"/>
  <c r="X61" i="135"/>
  <c r="Y61" i="135"/>
  <c r="V62" i="135"/>
  <c r="W62" i="135"/>
  <c r="X62" i="135"/>
  <c r="Y62" i="135"/>
  <c r="V63" i="135"/>
  <c r="W63" i="135"/>
  <c r="X63" i="135"/>
  <c r="Y63" i="135"/>
  <c r="V64" i="135"/>
  <c r="W64" i="135"/>
  <c r="X64" i="135"/>
  <c r="Y64" i="135"/>
  <c r="V65" i="135"/>
  <c r="W65" i="135"/>
  <c r="X65" i="135"/>
  <c r="Y65" i="135"/>
  <c r="V66" i="135"/>
  <c r="W66" i="135"/>
  <c r="X66" i="135"/>
  <c r="Y66" i="135"/>
  <c r="V67" i="135"/>
  <c r="W67" i="135"/>
  <c r="X67" i="135"/>
  <c r="Y67" i="135"/>
  <c r="V68" i="135"/>
  <c r="W68" i="135"/>
  <c r="X68" i="135"/>
  <c r="Y68" i="135"/>
  <c r="V69" i="135"/>
  <c r="W69" i="135"/>
  <c r="X69" i="135"/>
  <c r="Y69" i="135"/>
  <c r="V70" i="135"/>
  <c r="W70" i="135"/>
  <c r="X70" i="135"/>
  <c r="Y70" i="135"/>
  <c r="V71" i="135"/>
  <c r="W71" i="135"/>
  <c r="X71" i="135"/>
  <c r="Y71" i="135"/>
  <c r="V72" i="135"/>
  <c r="W72" i="135"/>
  <c r="X72" i="135"/>
  <c r="Y72" i="135"/>
  <c r="V73" i="135"/>
  <c r="W73" i="135"/>
  <c r="X73" i="135"/>
  <c r="Y73" i="135"/>
  <c r="V74" i="135"/>
  <c r="W74" i="135"/>
  <c r="X74" i="135"/>
  <c r="Y74" i="135"/>
  <c r="V75" i="135"/>
  <c r="W75" i="135"/>
  <c r="X75" i="135"/>
  <c r="Y75" i="135"/>
  <c r="V76" i="135"/>
  <c r="W76" i="135"/>
  <c r="X76" i="135"/>
  <c r="Y76" i="135"/>
  <c r="V77" i="135"/>
  <c r="W77" i="135"/>
  <c r="X77" i="135"/>
  <c r="Y77" i="135"/>
  <c r="V78" i="135"/>
  <c r="W78" i="135"/>
  <c r="X78" i="135"/>
  <c r="Y78" i="135"/>
  <c r="V79" i="135"/>
  <c r="W79" i="135"/>
  <c r="X79" i="135"/>
  <c r="Y79" i="135"/>
  <c r="V80" i="135"/>
  <c r="W80" i="135"/>
  <c r="X80" i="135"/>
  <c r="Y80" i="135"/>
  <c r="V81" i="135"/>
  <c r="W81" i="135"/>
  <c r="X81" i="135"/>
  <c r="Y81" i="135"/>
  <c r="V82" i="135"/>
  <c r="W82" i="135"/>
  <c r="X82" i="135"/>
  <c r="Y82" i="135"/>
  <c r="V83" i="135"/>
  <c r="W83" i="135"/>
  <c r="X83" i="135"/>
  <c r="Y83" i="135"/>
  <c r="V84" i="135"/>
  <c r="W84" i="135"/>
  <c r="X84" i="135"/>
  <c r="Y84" i="135"/>
  <c r="V85" i="135"/>
  <c r="W85" i="135"/>
  <c r="X85" i="135"/>
  <c r="Y85" i="135"/>
  <c r="V86" i="135"/>
  <c r="W86" i="135"/>
  <c r="X86" i="135"/>
  <c r="Y86" i="135"/>
  <c r="V87" i="135"/>
  <c r="W87" i="135"/>
  <c r="X87" i="135"/>
  <c r="Y87" i="135"/>
  <c r="V88" i="135"/>
  <c r="W88" i="135"/>
  <c r="X88" i="135"/>
  <c r="Y88" i="135"/>
  <c r="V89" i="135"/>
  <c r="W89" i="135"/>
  <c r="X89" i="135"/>
  <c r="Y89" i="135"/>
  <c r="V90" i="135"/>
  <c r="W90" i="135"/>
  <c r="X90" i="135"/>
  <c r="Y90" i="135"/>
  <c r="V91" i="135"/>
  <c r="W91" i="135"/>
  <c r="X91" i="135"/>
  <c r="Y91" i="135"/>
  <c r="V92" i="135"/>
  <c r="W92" i="135"/>
  <c r="X92" i="135"/>
  <c r="Y92" i="135"/>
  <c r="V93" i="135"/>
  <c r="W93" i="135"/>
  <c r="X93" i="135"/>
  <c r="Y93" i="135"/>
  <c r="V94" i="135"/>
  <c r="W94" i="135"/>
  <c r="X94" i="135"/>
  <c r="Y94" i="135"/>
  <c r="V95" i="135"/>
  <c r="W95" i="135"/>
  <c r="X95" i="135"/>
  <c r="Y95" i="135"/>
  <c r="V96" i="135"/>
  <c r="W96" i="135"/>
  <c r="X96" i="135"/>
  <c r="Y96" i="135"/>
  <c r="V97" i="135"/>
  <c r="W97" i="135"/>
  <c r="X97" i="135"/>
  <c r="Y97" i="135"/>
  <c r="V98" i="135"/>
  <c r="W98" i="135"/>
  <c r="X98" i="135"/>
  <c r="Y98" i="135"/>
  <c r="V99" i="135"/>
  <c r="W99" i="135"/>
  <c r="X99" i="135"/>
  <c r="Y99" i="135"/>
  <c r="V100" i="135"/>
  <c r="W100" i="135"/>
  <c r="X100" i="135"/>
  <c r="Y100" i="135"/>
  <c r="V101" i="135"/>
  <c r="W101" i="135"/>
  <c r="X101" i="135"/>
  <c r="Y101" i="135"/>
  <c r="V102" i="135"/>
  <c r="W102" i="135"/>
  <c r="X102" i="135"/>
  <c r="Y102" i="135"/>
  <c r="V103" i="135"/>
  <c r="W103" i="135"/>
  <c r="X103" i="135"/>
  <c r="Y103" i="135"/>
  <c r="V104" i="135"/>
  <c r="W104" i="135"/>
  <c r="X104" i="135"/>
  <c r="Y104" i="135"/>
  <c r="V105" i="135"/>
  <c r="W105" i="135"/>
  <c r="X105" i="135"/>
  <c r="Y105" i="135"/>
  <c r="V106" i="135"/>
  <c r="W106" i="135"/>
  <c r="X106" i="135"/>
  <c r="Y106" i="135"/>
  <c r="V107" i="135"/>
  <c r="W107" i="135"/>
  <c r="X107" i="135"/>
  <c r="Y107" i="135"/>
  <c r="V108" i="135"/>
  <c r="W108" i="135"/>
  <c r="X108" i="135"/>
  <c r="Y108" i="135"/>
  <c r="V109" i="135"/>
  <c r="W109" i="135"/>
  <c r="X109" i="135"/>
  <c r="Y109" i="135"/>
  <c r="V110" i="135"/>
  <c r="W110" i="135"/>
  <c r="X110" i="135"/>
  <c r="Y110" i="135"/>
  <c r="V111" i="135"/>
  <c r="W111" i="135"/>
  <c r="X111" i="135"/>
  <c r="Y111" i="135"/>
  <c r="V112" i="135"/>
  <c r="W112" i="135"/>
  <c r="X112" i="135"/>
  <c r="Y112" i="135"/>
  <c r="V113" i="135"/>
  <c r="W113" i="135"/>
  <c r="X113" i="135"/>
  <c r="Y113" i="135"/>
  <c r="V114" i="135"/>
  <c r="W114" i="135"/>
  <c r="X114" i="135"/>
  <c r="Y114" i="135"/>
  <c r="V115" i="135"/>
  <c r="W115" i="135"/>
  <c r="X115" i="135"/>
  <c r="Y115" i="135"/>
  <c r="V116" i="135"/>
  <c r="W116" i="135"/>
  <c r="X116" i="135"/>
  <c r="Y116" i="135"/>
  <c r="V117" i="135"/>
  <c r="W117" i="135"/>
  <c r="X117" i="135"/>
  <c r="Y117" i="135"/>
  <c r="V118" i="135"/>
  <c r="W118" i="135"/>
  <c r="X118" i="135"/>
  <c r="Y118" i="135"/>
  <c r="V119" i="135"/>
  <c r="W119" i="135"/>
  <c r="X119" i="135"/>
  <c r="Y119" i="135"/>
  <c r="V120" i="135"/>
  <c r="W120" i="135"/>
  <c r="X120" i="135"/>
  <c r="Y120" i="135"/>
  <c r="V121" i="135"/>
  <c r="W121" i="135"/>
  <c r="X121" i="135"/>
  <c r="Y121" i="135"/>
  <c r="V122" i="135"/>
  <c r="W122" i="135"/>
  <c r="X122" i="135"/>
  <c r="Y122" i="135"/>
  <c r="V123" i="135"/>
  <c r="W123" i="135"/>
  <c r="X123" i="135"/>
  <c r="Y123" i="135"/>
  <c r="V124" i="135"/>
  <c r="W124" i="135"/>
  <c r="X124" i="135"/>
  <c r="Y124" i="135"/>
  <c r="V125" i="135"/>
  <c r="W125" i="135"/>
  <c r="X125" i="135"/>
  <c r="Y125" i="135"/>
  <c r="V126" i="135"/>
  <c r="W126" i="135"/>
  <c r="X126" i="135"/>
  <c r="Y126" i="135"/>
  <c r="V127" i="135"/>
  <c r="W127" i="135"/>
  <c r="X127" i="135"/>
  <c r="Y127" i="135"/>
  <c r="V128" i="135"/>
  <c r="W128" i="135"/>
  <c r="X128" i="135"/>
  <c r="Y128" i="135"/>
  <c r="V129" i="135"/>
  <c r="W129" i="135"/>
  <c r="X129" i="135"/>
  <c r="Y129" i="135"/>
  <c r="V130" i="135"/>
  <c r="W130" i="135"/>
  <c r="X130" i="135"/>
  <c r="Y130" i="135"/>
  <c r="V131" i="135"/>
  <c r="W131" i="135"/>
  <c r="X131" i="135"/>
  <c r="Y131" i="135"/>
  <c r="V132" i="135"/>
  <c r="W132" i="135"/>
  <c r="X132" i="135"/>
  <c r="Y132" i="135"/>
  <c r="V133" i="135"/>
  <c r="W133" i="135"/>
  <c r="X133" i="135"/>
  <c r="Y133" i="135"/>
  <c r="V134" i="135"/>
  <c r="W134" i="135"/>
  <c r="X134" i="135"/>
  <c r="Y134" i="135"/>
  <c r="V135" i="135"/>
  <c r="W135" i="135"/>
  <c r="X135" i="135"/>
  <c r="Y135" i="135"/>
  <c r="V136" i="135"/>
  <c r="W136" i="135"/>
  <c r="X136" i="135"/>
  <c r="Y136" i="135"/>
  <c r="V137" i="135"/>
  <c r="W137" i="135"/>
  <c r="X137" i="135"/>
  <c r="Y137" i="135"/>
  <c r="V138" i="135"/>
  <c r="W138" i="135"/>
  <c r="X138" i="135"/>
  <c r="Y138" i="135"/>
  <c r="V139" i="135"/>
  <c r="W139" i="135"/>
  <c r="X139" i="135"/>
  <c r="Y139" i="135"/>
  <c r="V140" i="135"/>
  <c r="W140" i="135"/>
  <c r="X140" i="135"/>
  <c r="Y140" i="135"/>
  <c r="V141" i="135"/>
  <c r="W141" i="135"/>
  <c r="X141" i="135"/>
  <c r="Y141" i="135"/>
  <c r="V142" i="135"/>
  <c r="W142" i="135"/>
  <c r="X142" i="135"/>
  <c r="Y142" i="135"/>
  <c r="V143" i="135"/>
  <c r="W143" i="135"/>
  <c r="X143" i="135"/>
  <c r="Y143" i="135"/>
  <c r="V144" i="135"/>
  <c r="W144" i="135"/>
  <c r="X144" i="135"/>
  <c r="Y144" i="135"/>
  <c r="V145" i="135"/>
  <c r="W145" i="135"/>
  <c r="X145" i="135"/>
  <c r="Y145" i="135"/>
  <c r="V146" i="135"/>
  <c r="W146" i="135"/>
  <c r="X146" i="135"/>
  <c r="Y146" i="135"/>
  <c r="W3" i="135"/>
  <c r="X3" i="135"/>
  <c r="Y3" i="135"/>
  <c r="V3" i="135"/>
  <c r="N4" i="135"/>
  <c r="U11" i="4" s="1"/>
  <c r="N5" i="135"/>
  <c r="U12" i="4" s="1"/>
  <c r="N6" i="135"/>
  <c r="U13" i="4" s="1"/>
  <c r="N7" i="135"/>
  <c r="U14" i="4" s="1"/>
  <c r="N8" i="135"/>
  <c r="U15" i="4" s="1"/>
  <c r="N9" i="135"/>
  <c r="U16" i="4" s="1"/>
  <c r="N10" i="135"/>
  <c r="U17" i="4" s="1"/>
  <c r="N11" i="135"/>
  <c r="U18" i="4" s="1"/>
  <c r="N12" i="135"/>
  <c r="U19" i="4" s="1"/>
  <c r="N13" i="135"/>
  <c r="U20" i="4" s="1"/>
  <c r="N14" i="135"/>
  <c r="U22" i="4" s="1"/>
  <c r="N15" i="135"/>
  <c r="U23" i="4" s="1"/>
  <c r="N16" i="135"/>
  <c r="U25" i="4" s="1"/>
  <c r="N17" i="135"/>
  <c r="U26" i="4" s="1"/>
  <c r="N18" i="135"/>
  <c r="U27" i="4" s="1"/>
  <c r="N19" i="135"/>
  <c r="U32" i="4" s="1"/>
  <c r="N20" i="135"/>
  <c r="U33" i="4" s="1"/>
  <c r="N21" i="135"/>
  <c r="U34" i="4" s="1"/>
  <c r="N22" i="135"/>
  <c r="U35" i="4" s="1"/>
  <c r="N23" i="135"/>
  <c r="U41" i="4" s="1"/>
  <c r="N24" i="135"/>
  <c r="U42" i="4" s="1"/>
  <c r="N25" i="135"/>
  <c r="U43" i="4" s="1"/>
  <c r="N26" i="135"/>
  <c r="U44" i="4" s="1"/>
  <c r="N27" i="135"/>
  <c r="U45" i="4" s="1"/>
  <c r="N28" i="135"/>
  <c r="U46" i="4" s="1"/>
  <c r="N29" i="135"/>
  <c r="U48" i="4" s="1"/>
  <c r="N30" i="135"/>
  <c r="U49" i="4" s="1"/>
  <c r="N31" i="135"/>
  <c r="U50" i="4" s="1"/>
  <c r="N32" i="135"/>
  <c r="U54" i="4" s="1"/>
  <c r="N33" i="135"/>
  <c r="U56" i="4" s="1"/>
  <c r="N34" i="135"/>
  <c r="U57" i="4" s="1"/>
  <c r="N35" i="135"/>
  <c r="U58" i="4" s="1"/>
  <c r="N36" i="135"/>
  <c r="U63" i="4" s="1"/>
  <c r="N37" i="135"/>
  <c r="U64" i="4" s="1"/>
  <c r="N38" i="135"/>
  <c r="U65" i="4" s="1"/>
  <c r="N39" i="135"/>
  <c r="U66" i="4" s="1"/>
  <c r="N40" i="135"/>
  <c r="U72" i="4" s="1"/>
  <c r="N41" i="135"/>
  <c r="U73" i="4" s="1"/>
  <c r="N42" i="135"/>
  <c r="U74" i="4" s="1"/>
  <c r="N43" i="135"/>
  <c r="U75" i="4" s="1"/>
  <c r="N44" i="135"/>
  <c r="U76" i="4" s="1"/>
  <c r="N45" i="135"/>
  <c r="U78" i="4" s="1"/>
  <c r="N46" i="135"/>
  <c r="U79" i="4" s="1"/>
  <c r="N47" i="135"/>
  <c r="U81" i="4" s="1"/>
  <c r="N48" i="135"/>
  <c r="U82" i="4" s="1"/>
  <c r="N49" i="135"/>
  <c r="U85" i="4" s="1"/>
  <c r="N50" i="135"/>
  <c r="U86" i="4" s="1"/>
  <c r="N51" i="135"/>
  <c r="U89" i="4" s="1"/>
  <c r="N52" i="135"/>
  <c r="U92" i="4" s="1"/>
  <c r="N53" i="135"/>
  <c r="U94" i="4" s="1"/>
  <c r="N54" i="135"/>
  <c r="U96" i="4" s="1"/>
  <c r="N55" i="135"/>
  <c r="N56" i="135"/>
  <c r="U98" i="4" s="1"/>
  <c r="N57" i="135"/>
  <c r="U99" i="4" s="1"/>
  <c r="N58" i="135"/>
  <c r="U100" i="4" s="1"/>
  <c r="N59" i="135"/>
  <c r="U101" i="4" s="1"/>
  <c r="N60" i="135"/>
  <c r="U102" i="4" s="1"/>
  <c r="N61" i="135"/>
  <c r="U103" i="4" s="1"/>
  <c r="N62" i="135"/>
  <c r="U107" i="4" s="1"/>
  <c r="N63" i="135"/>
  <c r="U108" i="4" s="1"/>
  <c r="N64" i="135"/>
  <c r="U109" i="4" s="1"/>
  <c r="N65" i="135"/>
  <c r="N66" i="135"/>
  <c r="N67" i="135"/>
  <c r="U115" i="4" s="1"/>
  <c r="N68" i="135"/>
  <c r="N69" i="135"/>
  <c r="U117" i="4" s="1"/>
  <c r="N70" i="135"/>
  <c r="U118" i="4" s="1"/>
  <c r="N71" i="135"/>
  <c r="U119" i="4" s="1"/>
  <c r="N72" i="135"/>
  <c r="U120" i="4" s="1"/>
  <c r="N73" i="135"/>
  <c r="U121" i="4" s="1"/>
  <c r="N74" i="135"/>
  <c r="U122" i="4" s="1"/>
  <c r="N75" i="135"/>
  <c r="U123" i="4" s="1"/>
  <c r="N76" i="135"/>
  <c r="U124" i="4" s="1"/>
  <c r="N77" i="135"/>
  <c r="U125" i="4" s="1"/>
  <c r="N78" i="135"/>
  <c r="U126" i="4" s="1"/>
  <c r="N79" i="135"/>
  <c r="U127" i="4" s="1"/>
  <c r="N80" i="135"/>
  <c r="U128" i="4" s="1"/>
  <c r="N81" i="135"/>
  <c r="U129" i="4" s="1"/>
  <c r="N82" i="135"/>
  <c r="N83" i="135"/>
  <c r="N84" i="135"/>
  <c r="U133" i="4" s="1"/>
  <c r="N85" i="135"/>
  <c r="U134" i="4" s="1"/>
  <c r="N86" i="135"/>
  <c r="U136" i="4" s="1"/>
  <c r="N87" i="135"/>
  <c r="U138" i="4" s="1"/>
  <c r="N88" i="135"/>
  <c r="U139" i="4" s="1"/>
  <c r="N89" i="135"/>
  <c r="U140" i="4" s="1"/>
  <c r="N90" i="135"/>
  <c r="U146" i="4" s="1"/>
  <c r="N91" i="135"/>
  <c r="U154" i="4" s="1"/>
  <c r="N92" i="135"/>
  <c r="U158" i="4" s="1"/>
  <c r="N93" i="135"/>
  <c r="N94" i="135"/>
  <c r="U168" i="4" s="1"/>
  <c r="U167" i="4" s="1"/>
  <c r="N95" i="135"/>
  <c r="U177" i="4" s="1"/>
  <c r="N96" i="135"/>
  <c r="U181" i="4" s="1"/>
  <c r="N3" i="135"/>
  <c r="U10" i="4" s="1"/>
  <c r="N158" i="39"/>
  <c r="N150" i="39"/>
  <c r="R173" i="39"/>
  <c r="L173" i="39"/>
  <c r="L11" i="35"/>
  <c r="J12" i="35"/>
  <c r="AB4" i="133"/>
  <c r="AC4" i="133"/>
  <c r="AD4" i="133"/>
  <c r="AB5" i="133"/>
  <c r="AC5" i="133"/>
  <c r="AD5" i="133"/>
  <c r="AB6" i="133"/>
  <c r="AC6" i="133"/>
  <c r="AD6" i="133"/>
  <c r="AB7" i="133"/>
  <c r="AC7" i="133"/>
  <c r="AD7" i="133"/>
  <c r="AB8" i="133"/>
  <c r="AC8" i="133"/>
  <c r="AD8" i="133"/>
  <c r="AB9" i="133"/>
  <c r="AC9" i="133"/>
  <c r="AD9" i="133"/>
  <c r="AB10" i="133"/>
  <c r="AC10" i="133"/>
  <c r="AD10" i="133"/>
  <c r="AB11" i="133"/>
  <c r="AC11" i="133"/>
  <c r="AD11" i="133"/>
  <c r="AB12" i="133"/>
  <c r="AC12" i="133"/>
  <c r="AD12" i="133"/>
  <c r="AB13" i="133"/>
  <c r="AC13" i="133"/>
  <c r="AD13" i="133"/>
  <c r="AB14" i="133"/>
  <c r="AC14" i="133"/>
  <c r="AD14" i="133"/>
  <c r="AB15" i="133"/>
  <c r="AC15" i="133"/>
  <c r="AD15" i="133"/>
  <c r="AB16" i="133"/>
  <c r="AC16" i="133"/>
  <c r="AD16" i="133"/>
  <c r="AB17" i="133"/>
  <c r="AC17" i="133"/>
  <c r="AD17" i="133"/>
  <c r="AB18" i="133"/>
  <c r="AC18" i="133"/>
  <c r="AD18" i="133"/>
  <c r="AB19" i="133"/>
  <c r="AC19" i="133"/>
  <c r="AD19" i="133"/>
  <c r="AB20" i="133"/>
  <c r="AC20" i="133"/>
  <c r="AD20" i="133"/>
  <c r="AB21" i="133"/>
  <c r="AC21" i="133"/>
  <c r="AD21" i="133"/>
  <c r="AB22" i="133"/>
  <c r="AC22" i="133"/>
  <c r="AD22" i="133"/>
  <c r="AB23" i="133"/>
  <c r="AC23" i="133"/>
  <c r="AD23" i="133"/>
  <c r="AB24" i="133"/>
  <c r="AC24" i="133"/>
  <c r="AD24" i="133"/>
  <c r="AB25" i="133"/>
  <c r="AC25" i="133"/>
  <c r="AD25" i="133"/>
  <c r="AB26" i="133"/>
  <c r="AC26" i="133"/>
  <c r="AD26" i="133"/>
  <c r="AB27" i="133"/>
  <c r="AC27" i="133"/>
  <c r="AD27" i="133"/>
  <c r="AB28" i="133"/>
  <c r="AC28" i="133"/>
  <c r="AD28" i="133"/>
  <c r="AB29" i="133"/>
  <c r="AC29" i="133"/>
  <c r="AD29" i="133"/>
  <c r="AB30" i="133"/>
  <c r="AC30" i="133"/>
  <c r="AD30" i="133"/>
  <c r="AB31" i="133"/>
  <c r="AC31" i="133"/>
  <c r="AD31" i="133"/>
  <c r="AB32" i="133"/>
  <c r="AC32" i="133"/>
  <c r="AD32" i="133"/>
  <c r="AB33" i="133"/>
  <c r="AC33" i="133"/>
  <c r="AD33" i="133"/>
  <c r="AB34" i="133"/>
  <c r="AC34" i="133"/>
  <c r="AD34" i="133"/>
  <c r="AB35" i="133"/>
  <c r="AC35" i="133"/>
  <c r="L270" i="39" s="1"/>
  <c r="AD35" i="133"/>
  <c r="AB36" i="133"/>
  <c r="AC36" i="133"/>
  <c r="AD36" i="133"/>
  <c r="AB37" i="133"/>
  <c r="AC37" i="133"/>
  <c r="AD37" i="133"/>
  <c r="AB38" i="133"/>
  <c r="AC38" i="133"/>
  <c r="AD38" i="133"/>
  <c r="AB39" i="133"/>
  <c r="AC39" i="133"/>
  <c r="AD39" i="133"/>
  <c r="AB40" i="133"/>
  <c r="AC40" i="133"/>
  <c r="AD40" i="133"/>
  <c r="AB41" i="133"/>
  <c r="AC41" i="133"/>
  <c r="AD41" i="133"/>
  <c r="AC3" i="133"/>
  <c r="AD3" i="133"/>
  <c r="AB3" i="133"/>
  <c r="I173" i="39" s="1"/>
  <c r="U14" i="35"/>
  <c r="U33" i="35"/>
  <c r="R4" i="133"/>
  <c r="R5" i="133"/>
  <c r="R6" i="133"/>
  <c r="R7" i="133"/>
  <c r="R8" i="133"/>
  <c r="R9" i="133"/>
  <c r="R10" i="133"/>
  <c r="U25" i="35" s="1"/>
  <c r="R11" i="133"/>
  <c r="U23" i="35" s="1"/>
  <c r="R12" i="133"/>
  <c r="R13" i="133"/>
  <c r="U27" i="35" s="1"/>
  <c r="U26" i="35" s="1"/>
  <c r="R14" i="133"/>
  <c r="R15" i="133"/>
  <c r="U31" i="35" s="1"/>
  <c r="R16" i="133"/>
  <c r="U35" i="35" s="1"/>
  <c r="R17" i="133"/>
  <c r="R18" i="133"/>
  <c r="R19" i="133"/>
  <c r="U43" i="35" s="1"/>
  <c r="U41" i="35" s="1"/>
  <c r="U40" i="35" s="1"/>
  <c r="U39" i="35" s="1"/>
  <c r="R20" i="133"/>
  <c r="R3" i="133"/>
  <c r="J11" i="35" l="1"/>
  <c r="L41" i="35"/>
  <c r="I20" i="35"/>
  <c r="O12" i="35"/>
  <c r="M173" i="39"/>
  <c r="I11" i="35"/>
  <c r="N11" i="35" s="1"/>
  <c r="M12" i="35"/>
  <c r="W11" i="4"/>
  <c r="W10" i="4" s="1"/>
  <c r="W9" i="4" s="1"/>
  <c r="U9" i="4"/>
  <c r="K12" i="35"/>
  <c r="J173" i="39"/>
  <c r="U20" i="35"/>
  <c r="U30" i="35"/>
  <c r="K11" i="35" l="1"/>
  <c r="N173" i="39"/>
  <c r="O173" i="39" s="1"/>
  <c r="U13" i="35"/>
  <c r="U10" i="35" s="1"/>
  <c r="U9" i="35" s="1"/>
  <c r="O11" i="35"/>
  <c r="M11" i="35"/>
  <c r="K173" i="39"/>
  <c r="I25" i="37"/>
  <c r="I27" i="37"/>
  <c r="I33" i="37"/>
  <c r="AF4" i="132"/>
  <c r="AG4" i="132"/>
  <c r="AH4" i="132"/>
  <c r="AF5" i="132"/>
  <c r="AG5" i="132"/>
  <c r="AH5" i="132"/>
  <c r="AF6" i="132"/>
  <c r="AG6" i="132"/>
  <c r="AH6" i="132"/>
  <c r="AF7" i="132"/>
  <c r="AG7" i="132"/>
  <c r="AH7" i="132"/>
  <c r="AF8" i="132"/>
  <c r="AG8" i="132"/>
  <c r="AH8" i="132"/>
  <c r="AF9" i="132"/>
  <c r="AG9" i="132"/>
  <c r="AH9" i="132"/>
  <c r="AF10" i="132"/>
  <c r="AG10" i="132"/>
  <c r="AH10" i="132"/>
  <c r="AF11" i="132"/>
  <c r="AG11" i="132"/>
  <c r="AH11" i="132"/>
  <c r="AF12" i="132"/>
  <c r="AG12" i="132"/>
  <c r="AH12" i="132"/>
  <c r="AF13" i="132"/>
  <c r="AG13" i="132"/>
  <c r="AH13" i="132"/>
  <c r="AF14" i="132"/>
  <c r="AG14" i="132"/>
  <c r="AH14" i="132"/>
  <c r="AF15" i="132"/>
  <c r="AG15" i="132"/>
  <c r="AH15" i="132"/>
  <c r="AF16" i="132"/>
  <c r="AG16" i="132"/>
  <c r="AH16" i="132"/>
  <c r="AF17" i="132"/>
  <c r="AG17" i="132"/>
  <c r="AH17" i="132"/>
  <c r="AF18" i="132"/>
  <c r="I23" i="37" s="1"/>
  <c r="AG18" i="132"/>
  <c r="AH18" i="132"/>
  <c r="AF19" i="132"/>
  <c r="I29" i="37" s="1"/>
  <c r="AG19" i="132"/>
  <c r="AH19" i="132"/>
  <c r="AF20" i="132"/>
  <c r="AG20" i="132"/>
  <c r="AH20" i="132"/>
  <c r="AF21" i="132"/>
  <c r="AG21" i="132"/>
  <c r="AH21" i="132"/>
  <c r="AF22" i="132"/>
  <c r="AG22" i="132"/>
  <c r="AH22" i="132"/>
  <c r="AF23" i="132"/>
  <c r="AG23" i="132"/>
  <c r="AH23" i="132"/>
  <c r="AF24" i="132"/>
  <c r="AG24" i="132"/>
  <c r="AH24" i="132"/>
  <c r="AF25" i="132"/>
  <c r="AG25" i="132"/>
  <c r="AH25" i="132"/>
  <c r="AF26" i="132"/>
  <c r="AG26" i="132"/>
  <c r="AH26" i="132"/>
  <c r="AF27" i="132"/>
  <c r="AG27" i="132"/>
  <c r="AH27" i="132"/>
  <c r="AF28" i="132"/>
  <c r="AG28" i="132"/>
  <c r="AH28" i="132"/>
  <c r="AF29" i="132"/>
  <c r="AG29" i="132"/>
  <c r="AH29" i="132"/>
  <c r="AF30" i="132"/>
  <c r="AG30" i="132"/>
  <c r="AH30" i="132"/>
  <c r="AF31" i="132"/>
  <c r="AG31" i="132"/>
  <c r="AH31" i="132"/>
  <c r="AF32" i="132"/>
  <c r="AG32" i="132"/>
  <c r="AH32" i="132"/>
  <c r="AF33" i="132"/>
  <c r="AG33" i="132"/>
  <c r="AH33" i="132"/>
  <c r="AF34" i="132"/>
  <c r="AG34" i="132"/>
  <c r="AH34" i="132"/>
  <c r="AF35" i="132"/>
  <c r="AG35" i="132"/>
  <c r="AH35" i="132"/>
  <c r="AF36" i="132"/>
  <c r="AG36" i="132"/>
  <c r="AH36" i="132"/>
  <c r="AF37" i="132"/>
  <c r="AG37" i="132"/>
  <c r="AH37" i="132"/>
  <c r="AF38" i="132"/>
  <c r="AG38" i="132"/>
  <c r="AH38" i="132"/>
  <c r="AF39" i="132"/>
  <c r="AG39" i="132"/>
  <c r="AH39" i="132"/>
  <c r="AF40" i="132"/>
  <c r="AG40" i="132"/>
  <c r="AH40" i="132"/>
  <c r="AF41" i="132"/>
  <c r="AG41" i="132"/>
  <c r="AH41" i="132"/>
  <c r="AF42" i="132"/>
  <c r="AG42" i="132"/>
  <c r="AH42" i="132"/>
  <c r="AF43" i="132"/>
  <c r="I52" i="37" s="1"/>
  <c r="AG43" i="132"/>
  <c r="AH43" i="132"/>
  <c r="AF44" i="132"/>
  <c r="AG44" i="132"/>
  <c r="AH44" i="132"/>
  <c r="AG3" i="132"/>
  <c r="AH3" i="132"/>
  <c r="AF3" i="132"/>
  <c r="U33" i="37"/>
  <c r="U4" i="132"/>
  <c r="V4" i="132"/>
  <c r="W4" i="132"/>
  <c r="U15" i="37" s="1"/>
  <c r="U5" i="132"/>
  <c r="V5" i="132"/>
  <c r="W5" i="132"/>
  <c r="U17" i="37" s="1"/>
  <c r="U6" i="132"/>
  <c r="V6" i="132"/>
  <c r="W6" i="132"/>
  <c r="U18" i="37" s="1"/>
  <c r="U7" i="132"/>
  <c r="V7" i="132"/>
  <c r="W7" i="132"/>
  <c r="U21" i="37" s="1"/>
  <c r="U8" i="132"/>
  <c r="V8" i="132"/>
  <c r="W8" i="132"/>
  <c r="U9" i="132"/>
  <c r="V9" i="132"/>
  <c r="W9" i="132"/>
  <c r="U19" i="37" s="1"/>
  <c r="U10" i="132"/>
  <c r="V10" i="132"/>
  <c r="W10" i="132"/>
  <c r="U30" i="37" s="1"/>
  <c r="U29" i="37" s="1"/>
  <c r="U11" i="132"/>
  <c r="V11" i="132"/>
  <c r="W11" i="132"/>
  <c r="U39" i="37" s="1"/>
  <c r="U12" i="132"/>
  <c r="V12" i="132"/>
  <c r="W12" i="132"/>
  <c r="U40" i="37" s="1"/>
  <c r="U13" i="132"/>
  <c r="V13" i="132"/>
  <c r="W13" i="132"/>
  <c r="U41" i="37" s="1"/>
  <c r="U14" i="132"/>
  <c r="V14" i="132"/>
  <c r="W14" i="132"/>
  <c r="U43" i="37" s="1"/>
  <c r="U15" i="132"/>
  <c r="V15" i="132"/>
  <c r="W15" i="132"/>
  <c r="U44" i="37" s="1"/>
  <c r="U16" i="132"/>
  <c r="V16" i="132"/>
  <c r="W16" i="132"/>
  <c r="U45" i="37" s="1"/>
  <c r="U17" i="132"/>
  <c r="V17" i="132"/>
  <c r="W17" i="132"/>
  <c r="U46" i="37" s="1"/>
  <c r="U18" i="132"/>
  <c r="V18" i="132"/>
  <c r="W18" i="132"/>
  <c r="U48" i="37" s="1"/>
  <c r="U19" i="132"/>
  <c r="V19" i="132"/>
  <c r="W19" i="132"/>
  <c r="U20" i="132"/>
  <c r="V20" i="132"/>
  <c r="V3" i="132"/>
  <c r="W3" i="132"/>
  <c r="U3" i="132"/>
  <c r="V15" i="37"/>
  <c r="V18" i="37"/>
  <c r="Z3" i="131"/>
  <c r="AA3" i="131"/>
  <c r="Z4" i="131"/>
  <c r="AA4" i="131"/>
  <c r="Y4" i="131"/>
  <c r="Y3" i="131"/>
  <c r="I37" i="37" l="1"/>
  <c r="H63" i="37" s="1"/>
  <c r="I42" i="37"/>
  <c r="H69" i="37" s="1"/>
  <c r="I16" i="37"/>
  <c r="I14" i="37" s="1"/>
  <c r="I12" i="37" s="1"/>
  <c r="U42" i="37"/>
  <c r="U16" i="37"/>
  <c r="U14" i="37" s="1"/>
  <c r="U12" i="37" s="1"/>
  <c r="W20" i="132"/>
  <c r="U37" i="37"/>
  <c r="U36" i="37" s="1"/>
  <c r="U32" i="37" s="1"/>
  <c r="Q3" i="131"/>
  <c r="R3" i="131"/>
  <c r="P3" i="131"/>
  <c r="I36" i="37" l="1"/>
  <c r="I32" i="37" s="1"/>
  <c r="U11" i="37"/>
  <c r="F86" i="4"/>
  <c r="F99" i="4"/>
  <c r="F100" i="4"/>
  <c r="I11" i="37" l="1"/>
  <c r="F88" i="37"/>
  <c r="F85" i="37"/>
  <c r="F84" i="37"/>
  <c r="F83" i="37"/>
  <c r="F82" i="37"/>
  <c r="F81" i="37"/>
  <c r="F80" i="37"/>
  <c r="F76" i="37"/>
  <c r="F75" i="37"/>
  <c r="F74" i="37"/>
  <c r="F77" i="37"/>
  <c r="S293" i="39" l="1"/>
  <c r="G201" i="39"/>
  <c r="N226" i="39" l="1"/>
  <c r="N225" i="39"/>
  <c r="N224" i="39"/>
  <c r="N223" i="39"/>
  <c r="N222" i="39"/>
  <c r="N221" i="39"/>
  <c r="N220" i="39"/>
  <c r="N219" i="39"/>
  <c r="N218" i="39"/>
  <c r="N217" i="39"/>
  <c r="N216" i="39"/>
  <c r="N215" i="39"/>
  <c r="N214" i="39"/>
  <c r="N213" i="39"/>
  <c r="N212" i="39"/>
  <c r="L279" i="39"/>
  <c r="L234" i="39"/>
  <c r="L226" i="39"/>
  <c r="L225" i="39"/>
  <c r="L224" i="39"/>
  <c r="L223" i="39"/>
  <c r="L222" i="39"/>
  <c r="L221" i="39"/>
  <c r="L219" i="39"/>
  <c r="L218" i="39"/>
  <c r="L217" i="39"/>
  <c r="L216" i="39"/>
  <c r="L215" i="39"/>
  <c r="L214" i="39"/>
  <c r="L213" i="39"/>
  <c r="L212" i="39"/>
  <c r="L169" i="39"/>
  <c r="L168" i="39"/>
  <c r="L164" i="39"/>
  <c r="L161" i="39"/>
  <c r="J169" i="39"/>
  <c r="J168" i="39"/>
  <c r="J164" i="39"/>
  <c r="J161" i="39"/>
  <c r="I234" i="39"/>
  <c r="I227" i="39"/>
  <c r="I226" i="39"/>
  <c r="I225" i="39"/>
  <c r="I224" i="39"/>
  <c r="I223" i="39"/>
  <c r="I222" i="39"/>
  <c r="I221" i="39"/>
  <c r="I220" i="39"/>
  <c r="I219" i="39"/>
  <c r="I218" i="39"/>
  <c r="I169" i="39"/>
  <c r="I168" i="39"/>
  <c r="I164" i="39"/>
  <c r="I161" i="39"/>
  <c r="H279" i="39"/>
  <c r="I217" i="39"/>
  <c r="I216" i="39"/>
  <c r="I215" i="39"/>
  <c r="I214" i="39"/>
  <c r="I213" i="39"/>
  <c r="I212" i="39"/>
  <c r="H226" i="39"/>
  <c r="H225" i="39"/>
  <c r="H224" i="39"/>
  <c r="H223" i="39"/>
  <c r="H222" i="39"/>
  <c r="H221" i="39"/>
  <c r="H220" i="39"/>
  <c r="H219" i="39"/>
  <c r="H218" i="39"/>
  <c r="H216" i="39"/>
  <c r="H215" i="39"/>
  <c r="H214" i="39"/>
  <c r="H213" i="39"/>
  <c r="H212" i="39"/>
  <c r="P54" i="39" l="1"/>
  <c r="F54" i="39"/>
  <c r="F23" i="39"/>
  <c r="P23" i="39"/>
  <c r="M147" i="39"/>
  <c r="M148" i="39"/>
  <c r="M151" i="39"/>
  <c r="M152" i="39"/>
  <c r="M154" i="39"/>
  <c r="M181" i="39"/>
  <c r="M185" i="39"/>
  <c r="M197" i="39"/>
  <c r="M198" i="39"/>
  <c r="M208" i="39"/>
  <c r="M228" i="39"/>
  <c r="M231" i="39"/>
  <c r="M232" i="39"/>
  <c r="M233" i="39"/>
  <c r="M262" i="39"/>
  <c r="M263" i="39"/>
  <c r="M264" i="39"/>
  <c r="M265" i="39"/>
  <c r="K147" i="39"/>
  <c r="K148" i="39"/>
  <c r="K151" i="39"/>
  <c r="K152" i="39"/>
  <c r="K154" i="39"/>
  <c r="K181" i="39"/>
  <c r="K185" i="39"/>
  <c r="K197" i="39"/>
  <c r="K198" i="39"/>
  <c r="K208" i="39"/>
  <c r="K228" i="39"/>
  <c r="K231" i="39"/>
  <c r="K232" i="39"/>
  <c r="K233" i="39"/>
  <c r="K262" i="39"/>
  <c r="K263" i="39"/>
  <c r="K264" i="39"/>
  <c r="K265" i="39"/>
  <c r="O147" i="39"/>
  <c r="O148" i="39"/>
  <c r="O151" i="39"/>
  <c r="O152" i="39"/>
  <c r="O181" i="39"/>
  <c r="O185" i="39"/>
  <c r="O197" i="39"/>
  <c r="O198" i="39"/>
  <c r="O208" i="39"/>
  <c r="O228" i="39"/>
  <c r="O231" i="39"/>
  <c r="O232" i="39"/>
  <c r="O233" i="39"/>
  <c r="O262" i="39"/>
  <c r="O263" i="39"/>
  <c r="O264" i="39"/>
  <c r="O265" i="39"/>
  <c r="R62" i="39"/>
  <c r="R77" i="39"/>
  <c r="R80" i="39"/>
  <c r="R88" i="39"/>
  <c r="R178" i="39"/>
  <c r="R200" i="39"/>
  <c r="R265" i="39"/>
  <c r="R267" i="39"/>
  <c r="K165" i="4" l="1"/>
  <c r="K157" i="4"/>
  <c r="K159" i="4"/>
  <c r="K84" i="4"/>
  <c r="K77" i="4"/>
  <c r="Q23" i="4"/>
  <c r="Q24" i="4"/>
  <c r="M31" i="4"/>
  <c r="O31" i="4"/>
  <c r="N54" i="39"/>
  <c r="M62" i="4"/>
  <c r="O62" i="4"/>
  <c r="M80" i="4"/>
  <c r="O80" i="4"/>
  <c r="M83" i="4"/>
  <c r="O83" i="4"/>
  <c r="P83" i="4"/>
  <c r="M84" i="4"/>
  <c r="O84" i="4"/>
  <c r="M87" i="4"/>
  <c r="O87" i="4"/>
  <c r="M89" i="4"/>
  <c r="O89" i="4"/>
  <c r="M91" i="4"/>
  <c r="O91" i="4"/>
  <c r="M95" i="4"/>
  <c r="O95" i="4"/>
  <c r="M112" i="4"/>
  <c r="O112" i="4"/>
  <c r="M114" i="4"/>
  <c r="O114" i="4"/>
  <c r="M132" i="4"/>
  <c r="O132" i="4"/>
  <c r="M147" i="4"/>
  <c r="O147" i="4"/>
  <c r="M148" i="4"/>
  <c r="O148" i="4"/>
  <c r="M151" i="4"/>
  <c r="O151" i="4"/>
  <c r="O153" i="4"/>
  <c r="O154" i="4"/>
  <c r="M155" i="4"/>
  <c r="N154" i="4"/>
  <c r="O155" i="4"/>
  <c r="L184" i="39"/>
  <c r="M158" i="4"/>
  <c r="O158" i="4"/>
  <c r="M153" i="4"/>
  <c r="M154" i="4"/>
  <c r="L167" i="4"/>
  <c r="N201" i="39"/>
  <c r="O173" i="4"/>
  <c r="M174" i="4"/>
  <c r="O174" i="4"/>
  <c r="O176" i="4"/>
  <c r="O177" i="4"/>
  <c r="O179" i="4"/>
  <c r="M180" i="4"/>
  <c r="O180" i="4"/>
  <c r="M181" i="4"/>
  <c r="O181" i="4"/>
  <c r="M182" i="4"/>
  <c r="O182" i="4"/>
  <c r="S79" i="4"/>
  <c r="I201" i="39"/>
  <c r="I200" i="39"/>
  <c r="O172" i="4"/>
  <c r="M141" i="4"/>
  <c r="O122" i="4"/>
  <c r="O130" i="4"/>
  <c r="O120" i="4"/>
  <c r="M97" i="4"/>
  <c r="O93" i="4"/>
  <c r="O90" i="4"/>
  <c r="O82" i="4"/>
  <c r="O81" i="4"/>
  <c r="H172" i="4"/>
  <c r="I67" i="39"/>
  <c r="O68" i="4"/>
  <c r="O72" i="4"/>
  <c r="O74" i="4"/>
  <c r="I54" i="39"/>
  <c r="M35" i="4"/>
  <c r="O38" i="4"/>
  <c r="O42" i="4"/>
  <c r="O44" i="4"/>
  <c r="O46" i="4"/>
  <c r="O50" i="4"/>
  <c r="O52" i="4"/>
  <c r="I23" i="39"/>
  <c r="I279" i="39"/>
  <c r="M165" i="4"/>
  <c r="M79" i="4"/>
  <c r="O13" i="4"/>
  <c r="F4" i="135"/>
  <c r="G4" i="135"/>
  <c r="H4" i="135"/>
  <c r="I4" i="135"/>
  <c r="F5" i="135"/>
  <c r="G5" i="135"/>
  <c r="H5" i="135"/>
  <c r="I5" i="135"/>
  <c r="F6" i="135"/>
  <c r="H13" i="4" s="1"/>
  <c r="G6" i="135"/>
  <c r="H6" i="135"/>
  <c r="I6" i="135"/>
  <c r="S13" i="4" s="1"/>
  <c r="J13" i="4" s="1"/>
  <c r="F7" i="135"/>
  <c r="H14" i="4" s="1"/>
  <c r="G7" i="135"/>
  <c r="H7" i="135"/>
  <c r="I7" i="135"/>
  <c r="S14" i="4" s="1"/>
  <c r="J14" i="4" s="1"/>
  <c r="F8" i="135"/>
  <c r="H15" i="4" s="1"/>
  <c r="G8" i="135"/>
  <c r="H8" i="135"/>
  <c r="I8" i="135"/>
  <c r="S15" i="4" s="1"/>
  <c r="J15" i="4" s="1"/>
  <c r="F9" i="135"/>
  <c r="H16" i="4" s="1"/>
  <c r="G9" i="135"/>
  <c r="H9" i="135"/>
  <c r="I9" i="135"/>
  <c r="S16" i="4" s="1"/>
  <c r="J16" i="4" s="1"/>
  <c r="F10" i="135"/>
  <c r="H17" i="4" s="1"/>
  <c r="G10" i="135"/>
  <c r="H10" i="135"/>
  <c r="I10" i="135"/>
  <c r="S17" i="4" s="1"/>
  <c r="J17" i="4" s="1"/>
  <c r="F11" i="135"/>
  <c r="H18" i="4" s="1"/>
  <c r="G11" i="135"/>
  <c r="H11" i="135"/>
  <c r="I11" i="135"/>
  <c r="S18" i="4" s="1"/>
  <c r="F12" i="135"/>
  <c r="H19" i="4" s="1"/>
  <c r="G12" i="135"/>
  <c r="H12" i="135"/>
  <c r="I12" i="135"/>
  <c r="S19" i="4" s="1"/>
  <c r="F13" i="135"/>
  <c r="H20" i="4" s="1"/>
  <c r="G13" i="135"/>
  <c r="H13" i="135"/>
  <c r="I13" i="135"/>
  <c r="S20" i="4" s="1"/>
  <c r="F14" i="135"/>
  <c r="H21" i="4" s="1"/>
  <c r="G14" i="135"/>
  <c r="H14" i="135"/>
  <c r="I14" i="135"/>
  <c r="S21" i="4" s="1"/>
  <c r="F15" i="135"/>
  <c r="H22" i="4" s="1"/>
  <c r="G15" i="135"/>
  <c r="H15" i="135"/>
  <c r="I15" i="135"/>
  <c r="S22" i="4" s="1"/>
  <c r="F16" i="135"/>
  <c r="H23" i="4" s="1"/>
  <c r="H23" i="39" s="1"/>
  <c r="G16" i="135"/>
  <c r="H16" i="135"/>
  <c r="I16" i="135"/>
  <c r="S23" i="4" s="1"/>
  <c r="F17" i="135"/>
  <c r="H24" i="4" s="1"/>
  <c r="G17" i="135"/>
  <c r="H17" i="135"/>
  <c r="I17" i="135"/>
  <c r="S24" i="4" s="1"/>
  <c r="F18" i="135"/>
  <c r="H25" i="4" s="1"/>
  <c r="G18" i="135"/>
  <c r="H18" i="135"/>
  <c r="I18" i="135"/>
  <c r="S25" i="4" s="1"/>
  <c r="F19" i="135"/>
  <c r="H26" i="4" s="1"/>
  <c r="G19" i="135"/>
  <c r="H19" i="135"/>
  <c r="I19" i="135"/>
  <c r="S26" i="4" s="1"/>
  <c r="F20" i="135"/>
  <c r="H27" i="4" s="1"/>
  <c r="G20" i="135"/>
  <c r="H20" i="135"/>
  <c r="I20" i="135"/>
  <c r="S27" i="4" s="1"/>
  <c r="F21" i="135"/>
  <c r="H28" i="4" s="1"/>
  <c r="G21" i="135"/>
  <c r="H21" i="135"/>
  <c r="I21" i="135"/>
  <c r="S28" i="4" s="1"/>
  <c r="F22" i="135"/>
  <c r="H29" i="4" s="1"/>
  <c r="G22" i="135"/>
  <c r="H22" i="135"/>
  <c r="I22" i="135"/>
  <c r="S29" i="4" s="1"/>
  <c r="F23" i="135"/>
  <c r="H30" i="4" s="1"/>
  <c r="G23" i="135"/>
  <c r="H23" i="135"/>
  <c r="I23" i="135"/>
  <c r="S30" i="4" s="1"/>
  <c r="F24" i="135"/>
  <c r="G24" i="135"/>
  <c r="H24" i="135"/>
  <c r="I24" i="135"/>
  <c r="S32" i="4" s="1"/>
  <c r="F25" i="135"/>
  <c r="H33" i="4" s="1"/>
  <c r="G25" i="135"/>
  <c r="H25" i="135"/>
  <c r="I25" i="135"/>
  <c r="S33" i="4" s="1"/>
  <c r="F26" i="135"/>
  <c r="H34" i="4" s="1"/>
  <c r="G26" i="135"/>
  <c r="H26" i="135"/>
  <c r="I26" i="135"/>
  <c r="S34" i="4" s="1"/>
  <c r="F27" i="135"/>
  <c r="H35" i="4" s="1"/>
  <c r="G27" i="135"/>
  <c r="H27" i="135"/>
  <c r="I27" i="135"/>
  <c r="S35" i="4" s="1"/>
  <c r="F28" i="135"/>
  <c r="H36" i="4" s="1"/>
  <c r="G28" i="135"/>
  <c r="H28" i="135"/>
  <c r="I28" i="135"/>
  <c r="S36" i="4" s="1"/>
  <c r="F29" i="135"/>
  <c r="H37" i="4" s="1"/>
  <c r="G29" i="135"/>
  <c r="H29" i="135"/>
  <c r="I29" i="135"/>
  <c r="F30" i="135"/>
  <c r="H38" i="4" s="1"/>
  <c r="G30" i="135"/>
  <c r="H30" i="135"/>
  <c r="I30" i="135"/>
  <c r="S38" i="4" s="1"/>
  <c r="F31" i="135"/>
  <c r="H39" i="4" s="1"/>
  <c r="G31" i="135"/>
  <c r="H31" i="135"/>
  <c r="I31" i="135"/>
  <c r="S39" i="4" s="1"/>
  <c r="F32" i="135"/>
  <c r="H40" i="4" s="1"/>
  <c r="G32" i="135"/>
  <c r="H32" i="135"/>
  <c r="I32" i="135"/>
  <c r="S40" i="4" s="1"/>
  <c r="F33" i="135"/>
  <c r="H41" i="4" s="1"/>
  <c r="G33" i="135"/>
  <c r="H33" i="135"/>
  <c r="I33" i="135"/>
  <c r="F34" i="135"/>
  <c r="H42" i="4" s="1"/>
  <c r="G34" i="135"/>
  <c r="H34" i="135"/>
  <c r="I34" i="135"/>
  <c r="F35" i="135"/>
  <c r="H43" i="4" s="1"/>
  <c r="G35" i="135"/>
  <c r="H35" i="135"/>
  <c r="I35" i="135"/>
  <c r="S43" i="4" s="1"/>
  <c r="F36" i="135"/>
  <c r="H44" i="4" s="1"/>
  <c r="G36" i="135"/>
  <c r="H36" i="135"/>
  <c r="I36" i="135"/>
  <c r="S44" i="4" s="1"/>
  <c r="F37" i="135"/>
  <c r="H45" i="4" s="1"/>
  <c r="G37" i="135"/>
  <c r="H37" i="135"/>
  <c r="I37" i="135"/>
  <c r="S45" i="4" s="1"/>
  <c r="F38" i="135"/>
  <c r="H46" i="4" s="1"/>
  <c r="G38" i="135"/>
  <c r="H38" i="135"/>
  <c r="I38" i="135"/>
  <c r="S46" i="4" s="1"/>
  <c r="F39" i="135"/>
  <c r="H47" i="4" s="1"/>
  <c r="G39" i="135"/>
  <c r="H39" i="135"/>
  <c r="I39" i="135"/>
  <c r="S47" i="4" s="1"/>
  <c r="F40" i="135"/>
  <c r="H48" i="4" s="1"/>
  <c r="G40" i="135"/>
  <c r="H40" i="135"/>
  <c r="I40" i="135"/>
  <c r="S48" i="4" s="1"/>
  <c r="F41" i="135"/>
  <c r="H49" i="4" s="1"/>
  <c r="G41" i="135"/>
  <c r="H41" i="135"/>
  <c r="I41" i="135"/>
  <c r="S49" i="4" s="1"/>
  <c r="F42" i="135"/>
  <c r="H50" i="4" s="1"/>
  <c r="G42" i="135"/>
  <c r="H42" i="135"/>
  <c r="I42" i="135"/>
  <c r="S50" i="4" s="1"/>
  <c r="F43" i="135"/>
  <c r="H51" i="4" s="1"/>
  <c r="G43" i="135"/>
  <c r="H43" i="135"/>
  <c r="I43" i="135"/>
  <c r="S51" i="4" s="1"/>
  <c r="F44" i="135"/>
  <c r="H52" i="4" s="1"/>
  <c r="G44" i="135"/>
  <c r="H44" i="135"/>
  <c r="I44" i="135"/>
  <c r="S52" i="4" s="1"/>
  <c r="F45" i="135"/>
  <c r="H53" i="4" s="1"/>
  <c r="G45" i="135"/>
  <c r="H45" i="135"/>
  <c r="I45" i="135"/>
  <c r="S53" i="4" s="1"/>
  <c r="F46" i="135"/>
  <c r="H54" i="4" s="1"/>
  <c r="H54" i="39" s="1"/>
  <c r="G46" i="135"/>
  <c r="H46" i="135"/>
  <c r="I46" i="135"/>
  <c r="S54" i="4" s="1"/>
  <c r="F47" i="135"/>
  <c r="H55" i="4" s="1"/>
  <c r="G47" i="135"/>
  <c r="H47" i="135"/>
  <c r="I47" i="135"/>
  <c r="S55" i="4" s="1"/>
  <c r="F48" i="135"/>
  <c r="H56" i="4" s="1"/>
  <c r="G48" i="135"/>
  <c r="H48" i="135"/>
  <c r="I48" i="135"/>
  <c r="S56" i="4" s="1"/>
  <c r="F49" i="135"/>
  <c r="H57" i="4" s="1"/>
  <c r="G49" i="135"/>
  <c r="H49" i="135"/>
  <c r="I49" i="135"/>
  <c r="S57" i="4" s="1"/>
  <c r="F50" i="135"/>
  <c r="H58" i="4" s="1"/>
  <c r="G50" i="135"/>
  <c r="H50" i="135"/>
  <c r="I50" i="135"/>
  <c r="S58" i="4" s="1"/>
  <c r="F51" i="135"/>
  <c r="H59" i="4" s="1"/>
  <c r="G51" i="135"/>
  <c r="H51" i="135"/>
  <c r="I51" i="135"/>
  <c r="S59" i="4" s="1"/>
  <c r="F52" i="135"/>
  <c r="H60" i="4" s="1"/>
  <c r="G52" i="135"/>
  <c r="H52" i="135"/>
  <c r="I52" i="135"/>
  <c r="S60" i="4" s="1"/>
  <c r="F53" i="135"/>
  <c r="H61" i="4" s="1"/>
  <c r="G53" i="135"/>
  <c r="H53" i="135"/>
  <c r="I53" i="135"/>
  <c r="S61" i="4" s="1"/>
  <c r="F54" i="135"/>
  <c r="G54" i="135"/>
  <c r="H54" i="135"/>
  <c r="I54" i="135"/>
  <c r="F55" i="135"/>
  <c r="H64" i="4" s="1"/>
  <c r="G55" i="135"/>
  <c r="H55" i="135"/>
  <c r="I55" i="135"/>
  <c r="S64" i="4" s="1"/>
  <c r="F56" i="135"/>
  <c r="H65" i="4" s="1"/>
  <c r="G56" i="135"/>
  <c r="H56" i="135"/>
  <c r="I56" i="135"/>
  <c r="S65" i="4" s="1"/>
  <c r="F57" i="135"/>
  <c r="H66" i="4" s="1"/>
  <c r="G57" i="135"/>
  <c r="H57" i="135"/>
  <c r="I57" i="135"/>
  <c r="S66" i="4" s="1"/>
  <c r="F58" i="135"/>
  <c r="H67" i="4" s="1"/>
  <c r="H67" i="39" s="1"/>
  <c r="G58" i="135"/>
  <c r="H58" i="135"/>
  <c r="I58" i="135"/>
  <c r="S67" i="4" s="1"/>
  <c r="F59" i="135"/>
  <c r="H68" i="4" s="1"/>
  <c r="G59" i="135"/>
  <c r="H59" i="135"/>
  <c r="I59" i="135"/>
  <c r="F60" i="135"/>
  <c r="H69" i="4" s="1"/>
  <c r="G60" i="135"/>
  <c r="H60" i="135"/>
  <c r="I60" i="135"/>
  <c r="S69" i="4" s="1"/>
  <c r="F61" i="135"/>
  <c r="H70" i="4" s="1"/>
  <c r="G61" i="135"/>
  <c r="H61" i="135"/>
  <c r="I61" i="135"/>
  <c r="S70" i="4" s="1"/>
  <c r="F62" i="135"/>
  <c r="H71" i="4" s="1"/>
  <c r="G62" i="135"/>
  <c r="H62" i="135"/>
  <c r="I62" i="135"/>
  <c r="S71" i="4" s="1"/>
  <c r="S68" i="4" s="1"/>
  <c r="F63" i="135"/>
  <c r="H72" i="4" s="1"/>
  <c r="G63" i="135"/>
  <c r="H63" i="135"/>
  <c r="I63" i="135"/>
  <c r="F64" i="135"/>
  <c r="H73" i="4" s="1"/>
  <c r="G64" i="135"/>
  <c r="H64" i="135"/>
  <c r="I64" i="135"/>
  <c r="F65" i="135"/>
  <c r="H74" i="4" s="1"/>
  <c r="G65" i="135"/>
  <c r="H65" i="135"/>
  <c r="I65" i="135"/>
  <c r="S74" i="4" s="1"/>
  <c r="F66" i="135"/>
  <c r="H75" i="4" s="1"/>
  <c r="G66" i="135"/>
  <c r="H66" i="135"/>
  <c r="I66" i="135"/>
  <c r="S75" i="4" s="1"/>
  <c r="F67" i="135"/>
  <c r="H76" i="4" s="1"/>
  <c r="G67" i="135"/>
  <c r="H67" i="135"/>
  <c r="I67" i="135"/>
  <c r="S76" i="4" s="1"/>
  <c r="F68" i="135"/>
  <c r="G68" i="135"/>
  <c r="H68" i="135"/>
  <c r="I68" i="135"/>
  <c r="F69" i="135"/>
  <c r="G69" i="135"/>
  <c r="H69" i="135"/>
  <c r="I69" i="135"/>
  <c r="F70" i="135"/>
  <c r="H81" i="4" s="1"/>
  <c r="G70" i="135"/>
  <c r="H70" i="135"/>
  <c r="I70" i="135"/>
  <c r="F71" i="135"/>
  <c r="H82" i="4" s="1"/>
  <c r="G71" i="135"/>
  <c r="H71" i="135"/>
  <c r="I71" i="135"/>
  <c r="F72" i="135"/>
  <c r="G72" i="135"/>
  <c r="H72" i="135"/>
  <c r="I72" i="135"/>
  <c r="F73" i="135"/>
  <c r="H86" i="4" s="1"/>
  <c r="G73" i="135"/>
  <c r="H73" i="135"/>
  <c r="I73" i="135"/>
  <c r="S86" i="4" s="1"/>
  <c r="F74" i="135"/>
  <c r="G74" i="135"/>
  <c r="H74" i="135"/>
  <c r="I74" i="135"/>
  <c r="F75" i="135"/>
  <c r="G75" i="135"/>
  <c r="H75" i="135"/>
  <c r="I75" i="135"/>
  <c r="F76" i="135"/>
  <c r="H90" i="4" s="1"/>
  <c r="G76" i="135"/>
  <c r="H76" i="135"/>
  <c r="I76" i="135"/>
  <c r="F77" i="135"/>
  <c r="H92" i="4" s="1"/>
  <c r="G77" i="135"/>
  <c r="H77" i="135"/>
  <c r="I77" i="135"/>
  <c r="F78" i="135"/>
  <c r="H93" i="4" s="1"/>
  <c r="G78" i="135"/>
  <c r="H78" i="135"/>
  <c r="I78" i="135"/>
  <c r="F79" i="135"/>
  <c r="H94" i="4" s="1"/>
  <c r="G79" i="135"/>
  <c r="H79" i="135"/>
  <c r="I79" i="135"/>
  <c r="S94" i="4" s="1"/>
  <c r="F80" i="135"/>
  <c r="H96" i="4" s="1"/>
  <c r="G80" i="135"/>
  <c r="H80" i="135"/>
  <c r="I80" i="135"/>
  <c r="S96" i="4" s="1"/>
  <c r="F81" i="135"/>
  <c r="H97" i="4" s="1"/>
  <c r="G81" i="135"/>
  <c r="H81" i="135"/>
  <c r="I81" i="135"/>
  <c r="S97" i="4" s="1"/>
  <c r="F82" i="135"/>
  <c r="H98" i="4" s="1"/>
  <c r="G82" i="135"/>
  <c r="H82" i="135"/>
  <c r="I82" i="135"/>
  <c r="F83" i="135"/>
  <c r="H99" i="4" s="1"/>
  <c r="G83" i="135"/>
  <c r="H83" i="135"/>
  <c r="I83" i="135"/>
  <c r="S99" i="4" s="1"/>
  <c r="F84" i="135"/>
  <c r="H100" i="4" s="1"/>
  <c r="G84" i="135"/>
  <c r="H84" i="135"/>
  <c r="I84" i="135"/>
  <c r="S100" i="4" s="1"/>
  <c r="F85" i="135"/>
  <c r="H101" i="4" s="1"/>
  <c r="G85" i="135"/>
  <c r="H85" i="135"/>
  <c r="I85" i="135"/>
  <c r="S101" i="4" s="1"/>
  <c r="F86" i="135"/>
  <c r="H102" i="4" s="1"/>
  <c r="G86" i="135"/>
  <c r="H86" i="135"/>
  <c r="I86" i="135"/>
  <c r="S102" i="4" s="1"/>
  <c r="F87" i="135"/>
  <c r="H103" i="4" s="1"/>
  <c r="G87" i="135"/>
  <c r="H87" i="135"/>
  <c r="I87" i="135"/>
  <c r="S103" i="4" s="1"/>
  <c r="F88" i="135"/>
  <c r="H104" i="4" s="1"/>
  <c r="G88" i="135"/>
  <c r="H88" i="135"/>
  <c r="I88" i="135"/>
  <c r="S104" i="4" s="1"/>
  <c r="F89" i="135"/>
  <c r="H105" i="4" s="1"/>
  <c r="G89" i="135"/>
  <c r="H89" i="135"/>
  <c r="I89" i="135"/>
  <c r="S105" i="4" s="1"/>
  <c r="F90" i="135"/>
  <c r="H106" i="4" s="1"/>
  <c r="G90" i="135"/>
  <c r="H90" i="135"/>
  <c r="I90" i="135"/>
  <c r="S106" i="4" s="1"/>
  <c r="F91" i="135"/>
  <c r="H107" i="4" s="1"/>
  <c r="G91" i="135"/>
  <c r="H91" i="135"/>
  <c r="I91" i="135"/>
  <c r="S107" i="4" s="1"/>
  <c r="F92" i="135"/>
  <c r="H108" i="4" s="1"/>
  <c r="G92" i="135"/>
  <c r="H92" i="135"/>
  <c r="I92" i="135"/>
  <c r="S108" i="4" s="1"/>
  <c r="F93" i="135"/>
  <c r="H109" i="4" s="1"/>
  <c r="G93" i="135"/>
  <c r="H93" i="135"/>
  <c r="I93" i="135"/>
  <c r="S109" i="4" s="1"/>
  <c r="F94" i="135"/>
  <c r="H110" i="4" s="1"/>
  <c r="G94" i="135"/>
  <c r="H94" i="135"/>
  <c r="I94" i="135"/>
  <c r="S110" i="4" s="1"/>
  <c r="F95" i="135"/>
  <c r="H111" i="4" s="1"/>
  <c r="G95" i="135"/>
  <c r="H95" i="135"/>
  <c r="I95" i="135"/>
  <c r="S111" i="4" s="1"/>
  <c r="F96" i="135"/>
  <c r="H113" i="4" s="1"/>
  <c r="G96" i="135"/>
  <c r="H96" i="135"/>
  <c r="I96" i="135"/>
  <c r="S113" i="4" s="1"/>
  <c r="F97" i="135"/>
  <c r="G97" i="135"/>
  <c r="H97" i="135"/>
  <c r="I97" i="135"/>
  <c r="F98" i="135"/>
  <c r="H116" i="4" s="1"/>
  <c r="G98" i="135"/>
  <c r="H98" i="135"/>
  <c r="I98" i="135"/>
  <c r="S116" i="4" s="1"/>
  <c r="F99" i="135"/>
  <c r="H117" i="4" s="1"/>
  <c r="G99" i="135"/>
  <c r="H99" i="135"/>
  <c r="I99" i="135"/>
  <c r="S117" i="4" s="1"/>
  <c r="F100" i="135"/>
  <c r="H118" i="4" s="1"/>
  <c r="G100" i="135"/>
  <c r="H100" i="135"/>
  <c r="I100" i="135"/>
  <c r="S118" i="4" s="1"/>
  <c r="F101" i="135"/>
  <c r="H119" i="4" s="1"/>
  <c r="G101" i="135"/>
  <c r="H101" i="135"/>
  <c r="I101" i="135"/>
  <c r="S119" i="4" s="1"/>
  <c r="F102" i="135"/>
  <c r="H120" i="4" s="1"/>
  <c r="G102" i="135"/>
  <c r="H102" i="135"/>
  <c r="I102" i="135"/>
  <c r="S120" i="4" s="1"/>
  <c r="F103" i="135"/>
  <c r="G103" i="135"/>
  <c r="H103" i="135"/>
  <c r="I103" i="135"/>
  <c r="F104" i="135"/>
  <c r="H121" i="4" s="1"/>
  <c r="G104" i="135"/>
  <c r="H104" i="135"/>
  <c r="I104" i="135"/>
  <c r="S121" i="4" s="1"/>
  <c r="F105" i="135"/>
  <c r="H122" i="4" s="1"/>
  <c r="G105" i="135"/>
  <c r="H105" i="135"/>
  <c r="I105" i="135"/>
  <c r="S122" i="4" s="1"/>
  <c r="F106" i="135"/>
  <c r="H123" i="4" s="1"/>
  <c r="G106" i="135"/>
  <c r="H106" i="135"/>
  <c r="I106" i="135"/>
  <c r="S123" i="4" s="1"/>
  <c r="F107" i="135"/>
  <c r="H124" i="4" s="1"/>
  <c r="G107" i="135"/>
  <c r="H107" i="135"/>
  <c r="I107" i="135"/>
  <c r="S124" i="4" s="1"/>
  <c r="F108" i="135"/>
  <c r="H125" i="4" s="1"/>
  <c r="G108" i="135"/>
  <c r="H108" i="135"/>
  <c r="I108" i="135"/>
  <c r="S125" i="4" s="1"/>
  <c r="F109" i="135"/>
  <c r="H126" i="4" s="1"/>
  <c r="G109" i="135"/>
  <c r="H109" i="135"/>
  <c r="I109" i="135"/>
  <c r="S126" i="4" s="1"/>
  <c r="F110" i="135"/>
  <c r="H127" i="4" s="1"/>
  <c r="G110" i="135"/>
  <c r="H110" i="135"/>
  <c r="I110" i="135"/>
  <c r="S127" i="4" s="1"/>
  <c r="F111" i="135"/>
  <c r="H128" i="4" s="1"/>
  <c r="G111" i="135"/>
  <c r="H111" i="135"/>
  <c r="I111" i="135"/>
  <c r="S128" i="4" s="1"/>
  <c r="F112" i="135"/>
  <c r="H129" i="4" s="1"/>
  <c r="G112" i="135"/>
  <c r="H112" i="135"/>
  <c r="I112" i="135"/>
  <c r="S129" i="4" s="1"/>
  <c r="F113" i="135"/>
  <c r="H130" i="4" s="1"/>
  <c r="G113" i="135"/>
  <c r="H113" i="135"/>
  <c r="I113" i="135"/>
  <c r="S130" i="4" s="1"/>
  <c r="F114" i="135"/>
  <c r="H131" i="4" s="1"/>
  <c r="G114" i="135"/>
  <c r="H114" i="135"/>
  <c r="I114" i="135"/>
  <c r="S131" i="4" s="1"/>
  <c r="F115" i="135"/>
  <c r="G115" i="135"/>
  <c r="H115" i="135"/>
  <c r="I115" i="135"/>
  <c r="S133" i="4" s="1"/>
  <c r="F116" i="135"/>
  <c r="H134" i="4" s="1"/>
  <c r="G116" i="135"/>
  <c r="H116" i="135"/>
  <c r="I116" i="135"/>
  <c r="S134" i="4" s="1"/>
  <c r="F117" i="135"/>
  <c r="H135" i="4" s="1"/>
  <c r="G117" i="135"/>
  <c r="H117" i="135"/>
  <c r="I117" i="135"/>
  <c r="S135" i="4" s="1"/>
  <c r="F118" i="135"/>
  <c r="H136" i="4" s="1"/>
  <c r="G118" i="135"/>
  <c r="H118" i="135"/>
  <c r="I118" i="135"/>
  <c r="S136" i="4" s="1"/>
  <c r="F119" i="135"/>
  <c r="H137" i="4" s="1"/>
  <c r="G119" i="135"/>
  <c r="H119" i="135"/>
  <c r="I119" i="135"/>
  <c r="S137" i="4" s="1"/>
  <c r="F120" i="135"/>
  <c r="H138" i="4" s="1"/>
  <c r="G120" i="135"/>
  <c r="H120" i="135"/>
  <c r="I120" i="135"/>
  <c r="S138" i="4" s="1"/>
  <c r="F121" i="135"/>
  <c r="H139" i="4" s="1"/>
  <c r="G121" i="135"/>
  <c r="H121" i="135"/>
  <c r="I121" i="135"/>
  <c r="S139" i="4" s="1"/>
  <c r="F122" i="135"/>
  <c r="H140" i="4" s="1"/>
  <c r="G122" i="135"/>
  <c r="H122" i="135"/>
  <c r="I122" i="135"/>
  <c r="S140" i="4" s="1"/>
  <c r="F123" i="135"/>
  <c r="H141" i="4" s="1"/>
  <c r="G123" i="135"/>
  <c r="H123" i="135"/>
  <c r="I123" i="135"/>
  <c r="S141" i="4" s="1"/>
  <c r="F124" i="135"/>
  <c r="H142" i="4" s="1"/>
  <c r="G124" i="135"/>
  <c r="H124" i="135"/>
  <c r="I124" i="135"/>
  <c r="S142" i="4" s="1"/>
  <c r="F125" i="135"/>
  <c r="H143" i="4" s="1"/>
  <c r="G125" i="135"/>
  <c r="H125" i="135"/>
  <c r="I125" i="135"/>
  <c r="S143" i="4" s="1"/>
  <c r="F126" i="135"/>
  <c r="H144" i="4" s="1"/>
  <c r="G126" i="135"/>
  <c r="H126" i="135"/>
  <c r="I126" i="135"/>
  <c r="S144" i="4" s="1"/>
  <c r="F127" i="135"/>
  <c r="G127" i="135"/>
  <c r="H127" i="135"/>
  <c r="I127" i="135"/>
  <c r="F128" i="135"/>
  <c r="G128" i="135"/>
  <c r="H128" i="135"/>
  <c r="I128" i="135"/>
  <c r="F129" i="135"/>
  <c r="H155" i="4" s="1"/>
  <c r="G129" i="135"/>
  <c r="H129" i="135"/>
  <c r="I129" i="135"/>
  <c r="F130" i="135"/>
  <c r="H158" i="4" s="1"/>
  <c r="G130" i="135"/>
  <c r="H130" i="135"/>
  <c r="I130" i="135"/>
  <c r="S158" i="4" s="1"/>
  <c r="S154" i="4" s="1"/>
  <c r="S146" i="4" s="1"/>
  <c r="F131" i="135"/>
  <c r="G131" i="135"/>
  <c r="H131" i="135"/>
  <c r="I131" i="135"/>
  <c r="F132" i="135"/>
  <c r="H168" i="4" s="1"/>
  <c r="H167" i="4" s="1"/>
  <c r="G132" i="135"/>
  <c r="H132" i="135"/>
  <c r="I132" i="135"/>
  <c r="S168" i="4" s="1"/>
  <c r="S167" i="4" s="1"/>
  <c r="F133" i="135"/>
  <c r="G133" i="135"/>
  <c r="H133" i="135"/>
  <c r="I133" i="135"/>
  <c r="F134" i="135"/>
  <c r="G134" i="135"/>
  <c r="H134" i="135"/>
  <c r="I134" i="135"/>
  <c r="F135" i="135"/>
  <c r="H169" i="4" s="1"/>
  <c r="G135" i="135"/>
  <c r="H135" i="135"/>
  <c r="I135" i="135"/>
  <c r="F136" i="135"/>
  <c r="H170" i="4" s="1"/>
  <c r="H200" i="39" s="1"/>
  <c r="G136" i="135"/>
  <c r="H136" i="135"/>
  <c r="I136" i="135"/>
  <c r="F137" i="135"/>
  <c r="H171" i="4" s="1"/>
  <c r="H201" i="39" s="1"/>
  <c r="G137" i="135"/>
  <c r="H137" i="135"/>
  <c r="I137" i="135"/>
  <c r="F138" i="135"/>
  <c r="H175" i="4" s="1"/>
  <c r="H174" i="4" s="1"/>
  <c r="G138" i="135"/>
  <c r="H138" i="135"/>
  <c r="I138" i="135"/>
  <c r="F139" i="135"/>
  <c r="G139" i="135"/>
  <c r="H139" i="135"/>
  <c r="I139" i="135"/>
  <c r="F140" i="135"/>
  <c r="G140" i="135"/>
  <c r="H140" i="135"/>
  <c r="I140" i="135"/>
  <c r="F141" i="135"/>
  <c r="H178" i="4" s="1"/>
  <c r="G141" i="135"/>
  <c r="H141" i="135"/>
  <c r="I141" i="135"/>
  <c r="F142" i="135"/>
  <c r="G142" i="135"/>
  <c r="H142" i="135"/>
  <c r="I142" i="135"/>
  <c r="F143" i="135"/>
  <c r="H179" i="4" s="1"/>
  <c r="G143" i="135"/>
  <c r="H143" i="135"/>
  <c r="I143" i="135"/>
  <c r="S179" i="4" s="1"/>
  <c r="F144" i="135"/>
  <c r="G144" i="135"/>
  <c r="H144" i="135"/>
  <c r="I144" i="135"/>
  <c r="F145" i="135"/>
  <c r="G145" i="135"/>
  <c r="H145" i="135"/>
  <c r="I145" i="135"/>
  <c r="F146" i="135"/>
  <c r="H181" i="4" s="1"/>
  <c r="G146" i="135"/>
  <c r="H146" i="135"/>
  <c r="I146" i="135"/>
  <c r="S181" i="4" s="1"/>
  <c r="F147" i="135"/>
  <c r="G147" i="135"/>
  <c r="H147" i="135"/>
  <c r="I147" i="135"/>
  <c r="G3" i="135"/>
  <c r="H3" i="135"/>
  <c r="I3" i="135"/>
  <c r="F3" i="135"/>
  <c r="L26" i="35"/>
  <c r="L180" i="39" s="1"/>
  <c r="L47" i="35"/>
  <c r="J18" i="35"/>
  <c r="J17" i="35"/>
  <c r="J16" i="35"/>
  <c r="S41" i="35"/>
  <c r="S40" i="35" s="1"/>
  <c r="S39" i="35" s="1"/>
  <c r="S37" i="35"/>
  <c r="S28" i="35"/>
  <c r="S26" i="35"/>
  <c r="T14" i="35"/>
  <c r="S19" i="35"/>
  <c r="J19" i="35" s="1"/>
  <c r="I4" i="133"/>
  <c r="H15" i="35" s="1"/>
  <c r="J4" i="133"/>
  <c r="K4" i="133"/>
  <c r="I5" i="133"/>
  <c r="H17" i="35" s="1"/>
  <c r="J5" i="133"/>
  <c r="K5" i="133"/>
  <c r="I6" i="133"/>
  <c r="H16" i="35" s="1"/>
  <c r="J6" i="133"/>
  <c r="K6" i="133"/>
  <c r="I7" i="133"/>
  <c r="H19" i="35" s="1"/>
  <c r="J7" i="133"/>
  <c r="K7" i="133"/>
  <c r="I8" i="133"/>
  <c r="H18" i="35" s="1"/>
  <c r="J8" i="133"/>
  <c r="K8" i="133"/>
  <c r="I9" i="133"/>
  <c r="J9" i="133"/>
  <c r="K9" i="133"/>
  <c r="I10" i="133"/>
  <c r="H21" i="35" s="1"/>
  <c r="J10" i="133"/>
  <c r="K10" i="133"/>
  <c r="I11" i="133"/>
  <c r="H22" i="35" s="1"/>
  <c r="J11" i="133"/>
  <c r="K11" i="133"/>
  <c r="I12" i="133"/>
  <c r="H23" i="35" s="1"/>
  <c r="J12" i="133"/>
  <c r="K12" i="133"/>
  <c r="I13" i="133"/>
  <c r="H25" i="35" s="1"/>
  <c r="J13" i="133"/>
  <c r="K13" i="133"/>
  <c r="I14" i="133"/>
  <c r="J14" i="133"/>
  <c r="K14" i="133"/>
  <c r="S23" i="35" s="1"/>
  <c r="I15" i="133"/>
  <c r="J15" i="133"/>
  <c r="K15" i="133"/>
  <c r="S21" i="35" s="1"/>
  <c r="I16" i="133"/>
  <c r="J16" i="133"/>
  <c r="K16" i="133"/>
  <c r="I17" i="133"/>
  <c r="J17" i="133"/>
  <c r="K17" i="133"/>
  <c r="S25" i="35" s="1"/>
  <c r="I18" i="133"/>
  <c r="H27" i="35" s="1"/>
  <c r="J18" i="133"/>
  <c r="K18" i="133"/>
  <c r="I19" i="133"/>
  <c r="J19" i="133"/>
  <c r="K19" i="133"/>
  <c r="I20" i="133"/>
  <c r="H33" i="35" s="1"/>
  <c r="J20" i="133"/>
  <c r="K20" i="133"/>
  <c r="I21" i="133"/>
  <c r="H32" i="35" s="1"/>
  <c r="J21" i="133"/>
  <c r="K21" i="133"/>
  <c r="I22" i="133"/>
  <c r="H34" i="35" s="1"/>
  <c r="J22" i="133"/>
  <c r="K22" i="133"/>
  <c r="I23" i="133"/>
  <c r="H35" i="35" s="1"/>
  <c r="J23" i="133"/>
  <c r="K23" i="133"/>
  <c r="I24" i="133"/>
  <c r="H31" i="35" s="1"/>
  <c r="J24" i="133"/>
  <c r="K24" i="133"/>
  <c r="I25" i="133"/>
  <c r="H36" i="35" s="1"/>
  <c r="J25" i="133"/>
  <c r="K25" i="133"/>
  <c r="I26" i="133"/>
  <c r="J26" i="133"/>
  <c r="K26" i="133"/>
  <c r="I27" i="133"/>
  <c r="J27" i="133"/>
  <c r="K27" i="133"/>
  <c r="I28" i="133"/>
  <c r="J28" i="133"/>
  <c r="K28" i="133"/>
  <c r="S35" i="35" s="1"/>
  <c r="S30" i="35" s="1"/>
  <c r="I29" i="133"/>
  <c r="H42" i="35" s="1"/>
  <c r="H269" i="39" s="1"/>
  <c r="J29" i="133"/>
  <c r="K29" i="133"/>
  <c r="I30" i="133"/>
  <c r="H43" i="35" s="1"/>
  <c r="H270" i="39" s="1"/>
  <c r="J30" i="133"/>
  <c r="K30" i="133"/>
  <c r="I31" i="133"/>
  <c r="J31" i="133"/>
  <c r="K31" i="133"/>
  <c r="I32" i="133"/>
  <c r="H44" i="35" s="1"/>
  <c r="H271" i="39" s="1"/>
  <c r="J32" i="133"/>
  <c r="K32" i="133"/>
  <c r="I33" i="133"/>
  <c r="H45" i="35" s="1"/>
  <c r="H272" i="39" s="1"/>
  <c r="J33" i="133"/>
  <c r="K33" i="133"/>
  <c r="I34" i="133"/>
  <c r="H46" i="35" s="1"/>
  <c r="H273" i="39" s="1"/>
  <c r="J34" i="133"/>
  <c r="K34" i="133"/>
  <c r="I35" i="133"/>
  <c r="H48" i="35" s="1"/>
  <c r="H47" i="35" s="1"/>
  <c r="J35" i="133"/>
  <c r="K35" i="133"/>
  <c r="I36" i="133"/>
  <c r="J36" i="133"/>
  <c r="K36" i="133"/>
  <c r="S48" i="35" s="1"/>
  <c r="S47" i="35" s="1"/>
  <c r="J3" i="133"/>
  <c r="K3" i="133"/>
  <c r="I3" i="133"/>
  <c r="H12" i="35" s="1"/>
  <c r="T25" i="35"/>
  <c r="R49" i="35"/>
  <c r="R20" i="35"/>
  <c r="R40" i="35"/>
  <c r="R30" i="35"/>
  <c r="R10" i="35"/>
  <c r="Q17" i="35"/>
  <c r="Q18" i="35"/>
  <c r="Q19" i="35"/>
  <c r="Q46" i="35"/>
  <c r="Q44" i="35"/>
  <c r="Q38" i="35"/>
  <c r="R38" i="35" s="1"/>
  <c r="Q36" i="35"/>
  <c r="Q34" i="35"/>
  <c r="Q32" i="35"/>
  <c r="Q29" i="35"/>
  <c r="Q24" i="35"/>
  <c r="R24" i="35" s="1"/>
  <c r="H11" i="35" l="1"/>
  <c r="H173" i="39"/>
  <c r="L169" i="4"/>
  <c r="R24" i="4"/>
  <c r="R23" i="4"/>
  <c r="K16" i="4"/>
  <c r="S63" i="4"/>
  <c r="O56" i="4"/>
  <c r="O99" i="4"/>
  <c r="M142" i="4"/>
  <c r="O94" i="4"/>
  <c r="O98" i="4"/>
  <c r="H154" i="4"/>
  <c r="H146" i="4" s="1"/>
  <c r="M78" i="4"/>
  <c r="M127" i="4"/>
  <c r="M118" i="4"/>
  <c r="M33" i="4"/>
  <c r="O136" i="4"/>
  <c r="O55" i="4"/>
  <c r="O104" i="4"/>
  <c r="O100" i="4"/>
  <c r="O96" i="4"/>
  <c r="O92" i="4"/>
  <c r="O48" i="4"/>
  <c r="O40" i="4"/>
  <c r="O139" i="4"/>
  <c r="O125" i="4"/>
  <c r="M123" i="4"/>
  <c r="O121" i="4"/>
  <c r="M173" i="4"/>
  <c r="M131" i="4"/>
  <c r="O19" i="4"/>
  <c r="O60" i="4"/>
  <c r="O108" i="4"/>
  <c r="H115" i="4"/>
  <c r="O135" i="4"/>
  <c r="M150" i="4"/>
  <c r="M119" i="4"/>
  <c r="M115" i="4"/>
  <c r="O103" i="4"/>
  <c r="M48" i="4"/>
  <c r="M40" i="4"/>
  <c r="M36" i="4"/>
  <c r="M126" i="4"/>
  <c r="M107" i="4"/>
  <c r="O175" i="4"/>
  <c r="O137" i="4"/>
  <c r="O129" i="4"/>
  <c r="O76" i="4"/>
  <c r="M178" i="4"/>
  <c r="O144" i="4"/>
  <c r="O113" i="4"/>
  <c r="M90" i="4"/>
  <c r="O124" i="4"/>
  <c r="O101" i="4"/>
  <c r="O70" i="4"/>
  <c r="O61" i="4"/>
  <c r="M124" i="4"/>
  <c r="O116" i="4"/>
  <c r="M93" i="4"/>
  <c r="O163" i="4"/>
  <c r="M143" i="4"/>
  <c r="M136" i="4"/>
  <c r="M129" i="4"/>
  <c r="O119" i="4"/>
  <c r="M116" i="4"/>
  <c r="M113" i="4"/>
  <c r="O106" i="4"/>
  <c r="M96" i="4"/>
  <c r="O58" i="4"/>
  <c r="O51" i="4"/>
  <c r="O47" i="4"/>
  <c r="O43" i="4"/>
  <c r="O39" i="4"/>
  <c r="M32" i="4"/>
  <c r="M19" i="4"/>
  <c r="O15" i="4"/>
  <c r="N168" i="4"/>
  <c r="O152" i="4"/>
  <c r="O142" i="4"/>
  <c r="O131" i="4"/>
  <c r="O128" i="4"/>
  <c r="M125" i="4"/>
  <c r="M74" i="4"/>
  <c r="O138" i="4"/>
  <c r="M128" i="4"/>
  <c r="M122" i="4"/>
  <c r="O105" i="4"/>
  <c r="M92" i="4"/>
  <c r="O73" i="4"/>
  <c r="M70" i="4"/>
  <c r="M66" i="4"/>
  <c r="O57" i="4"/>
  <c r="M138" i="4"/>
  <c r="O127" i="4"/>
  <c r="M109" i="4"/>
  <c r="O69" i="4"/>
  <c r="M61" i="4"/>
  <c r="M50" i="4"/>
  <c r="M46" i="4"/>
  <c r="M42" i="4"/>
  <c r="M38" i="4"/>
  <c r="M34" i="4"/>
  <c r="M28" i="4"/>
  <c r="O21" i="4"/>
  <c r="O17" i="4"/>
  <c r="S85" i="4"/>
  <c r="K14" i="4"/>
  <c r="O143" i="4"/>
  <c r="M179" i="4"/>
  <c r="O164" i="4"/>
  <c r="O162" i="4"/>
  <c r="M98" i="4"/>
  <c r="O53" i="4"/>
  <c r="O49" i="4"/>
  <c r="O45" i="4"/>
  <c r="O41" i="4"/>
  <c r="O37" i="4"/>
  <c r="M21" i="4"/>
  <c r="M163" i="4"/>
  <c r="M161" i="4"/>
  <c r="M146" i="4" s="1"/>
  <c r="O140" i="4"/>
  <c r="O133" i="4"/>
  <c r="M130" i="4"/>
  <c r="O126" i="4"/>
  <c r="M121" i="4"/>
  <c r="O117" i="4"/>
  <c r="O97" i="4"/>
  <c r="O79" i="4"/>
  <c r="O75" i="4"/>
  <c r="K13" i="4"/>
  <c r="O166" i="4"/>
  <c r="M144" i="4"/>
  <c r="M140" i="4"/>
  <c r="O123" i="4"/>
  <c r="M117" i="4"/>
  <c r="O107" i="4"/>
  <c r="O71" i="4"/>
  <c r="O59" i="4"/>
  <c r="O36" i="4"/>
  <c r="O26" i="4"/>
  <c r="M54" i="4"/>
  <c r="M54" i="39" s="1"/>
  <c r="L54" i="39"/>
  <c r="O23" i="4"/>
  <c r="N23" i="39"/>
  <c r="O23" i="39" s="1"/>
  <c r="H12" i="4"/>
  <c r="S37" i="4"/>
  <c r="M72" i="4"/>
  <c r="I12" i="4"/>
  <c r="K15" i="4"/>
  <c r="S98" i="4"/>
  <c r="S177" i="4"/>
  <c r="M176" i="4"/>
  <c r="O145" i="4"/>
  <c r="M134" i="4"/>
  <c r="M75" i="4"/>
  <c r="M73" i="4"/>
  <c r="M71" i="4"/>
  <c r="M69" i="4"/>
  <c r="O66" i="4"/>
  <c r="M57" i="4"/>
  <c r="O29" i="4"/>
  <c r="M11" i="4"/>
  <c r="M26" i="4"/>
  <c r="M23" i="4"/>
  <c r="L23" i="39"/>
  <c r="M23" i="39" s="1"/>
  <c r="M52" i="4"/>
  <c r="M44" i="4"/>
  <c r="M29" i="4"/>
  <c r="M170" i="4"/>
  <c r="M59" i="4"/>
  <c r="M17" i="4"/>
  <c r="M15" i="4"/>
  <c r="S42" i="4"/>
  <c r="M167" i="4"/>
  <c r="M133" i="4"/>
  <c r="O115" i="4"/>
  <c r="O110" i="4"/>
  <c r="M81" i="4"/>
  <c r="O65" i="4"/>
  <c r="M56" i="4"/>
  <c r="O35" i="4"/>
  <c r="O33" i="4"/>
  <c r="O28" i="4"/>
  <c r="O25" i="4"/>
  <c r="M13" i="4"/>
  <c r="M25" i="4"/>
  <c r="O169" i="4"/>
  <c r="O150" i="4"/>
  <c r="O141" i="4"/>
  <c r="O118" i="4"/>
  <c r="O102" i="4"/>
  <c r="O86" i="4"/>
  <c r="O78" i="4"/>
  <c r="M58" i="4"/>
  <c r="M53" i="4"/>
  <c r="M51" i="4"/>
  <c r="M49" i="4"/>
  <c r="M47" i="4"/>
  <c r="M45" i="4"/>
  <c r="M43" i="4"/>
  <c r="M41" i="4"/>
  <c r="M39" i="4"/>
  <c r="M37" i="4"/>
  <c r="O30" i="4"/>
  <c r="O22" i="4"/>
  <c r="O20" i="4"/>
  <c r="O18" i="4"/>
  <c r="O16" i="4"/>
  <c r="O14" i="4"/>
  <c r="H63" i="4"/>
  <c r="M108" i="4"/>
  <c r="M76" i="4"/>
  <c r="M65" i="4"/>
  <c r="K17" i="4"/>
  <c r="N67" i="39"/>
  <c r="M67" i="39"/>
  <c r="S73" i="4"/>
  <c r="S72" i="4" s="1"/>
  <c r="O167" i="4"/>
  <c r="M164" i="4"/>
  <c r="M139" i="4"/>
  <c r="M137" i="4"/>
  <c r="M135" i="4"/>
  <c r="M55" i="4"/>
  <c r="M30" i="4"/>
  <c r="O27" i="4"/>
  <c r="O24" i="4"/>
  <c r="M22" i="4"/>
  <c r="M20" i="4"/>
  <c r="M18" i="4"/>
  <c r="M16" i="4"/>
  <c r="M14" i="4"/>
  <c r="M68" i="4"/>
  <c r="I154" i="4"/>
  <c r="H177" i="4"/>
  <c r="O178" i="4"/>
  <c r="M168" i="4"/>
  <c r="L154" i="4"/>
  <c r="M152" i="4"/>
  <c r="O134" i="4"/>
  <c r="M120" i="4"/>
  <c r="O109" i="4"/>
  <c r="M82" i="4"/>
  <c r="M64" i="4"/>
  <c r="M60" i="4"/>
  <c r="O54" i="4"/>
  <c r="O54" i="39" s="1"/>
  <c r="O34" i="4"/>
  <c r="O32" i="4"/>
  <c r="M27" i="4"/>
  <c r="M24" i="4"/>
  <c r="O11" i="4"/>
  <c r="H268" i="39"/>
  <c r="I26" i="35"/>
  <c r="N26" i="35" s="1"/>
  <c r="H20" i="35"/>
  <c r="Q23" i="39"/>
  <c r="R23" i="39" s="1"/>
  <c r="M166" i="4"/>
  <c r="N146" i="4"/>
  <c r="L63" i="4"/>
  <c r="N85" i="4"/>
  <c r="N63" i="4"/>
  <c r="M86" i="4"/>
  <c r="O64" i="4"/>
  <c r="S115" i="4"/>
  <c r="S12" i="4"/>
  <c r="I63" i="4"/>
  <c r="I85" i="4"/>
  <c r="H85" i="4"/>
  <c r="H133" i="4"/>
  <c r="H32" i="4"/>
  <c r="S20" i="35"/>
  <c r="S14" i="35"/>
  <c r="M162" i="4" l="1"/>
  <c r="S41" i="4"/>
  <c r="M63" i="4"/>
  <c r="N169" i="4"/>
  <c r="I146" i="4"/>
  <c r="M12" i="4"/>
  <c r="L146" i="4"/>
  <c r="O165" i="4"/>
  <c r="N167" i="4"/>
  <c r="O168" i="4"/>
  <c r="M169" i="4"/>
  <c r="S11" i="4"/>
  <c r="O12" i="4"/>
  <c r="M177" i="4"/>
  <c r="M175" i="4" s="1"/>
  <c r="M149" i="4"/>
  <c r="O149" i="4"/>
  <c r="M85" i="4"/>
  <c r="S78" i="4"/>
  <c r="S13" i="35"/>
  <c r="S10" i="35" s="1"/>
  <c r="S9" i="35" s="1"/>
  <c r="H11" i="4"/>
  <c r="O63" i="4"/>
  <c r="O85" i="4"/>
  <c r="R13" i="37"/>
  <c r="R54" i="37"/>
  <c r="O31" i="37"/>
  <c r="M13" i="37"/>
  <c r="M26" i="37"/>
  <c r="M28" i="37"/>
  <c r="M31" i="37"/>
  <c r="M35" i="37"/>
  <c r="M54" i="37"/>
  <c r="K13" i="37"/>
  <c r="K31" i="37"/>
  <c r="K35" i="37"/>
  <c r="K54" i="37"/>
  <c r="J41" i="37"/>
  <c r="J44" i="37"/>
  <c r="J45" i="37"/>
  <c r="J46" i="37"/>
  <c r="J47" i="37"/>
  <c r="J49" i="37"/>
  <c r="J26" i="37"/>
  <c r="J24" i="37"/>
  <c r="I77" i="37" l="1"/>
  <c r="J238" i="39"/>
  <c r="K26" i="37"/>
  <c r="S10" i="4"/>
  <c r="S9" i="4" s="1"/>
  <c r="O161" i="4"/>
  <c r="O146" i="4" s="1"/>
  <c r="I9" i="4"/>
  <c r="M39" i="37"/>
  <c r="H10" i="4"/>
  <c r="M38" i="37"/>
  <c r="N13" i="37"/>
  <c r="O13" i="37" s="1"/>
  <c r="S33" i="37"/>
  <c r="S29" i="37"/>
  <c r="S27" i="37"/>
  <c r="S25" i="37"/>
  <c r="S23" i="37"/>
  <c r="T15" i="37"/>
  <c r="R28" i="37"/>
  <c r="P208" i="39"/>
  <c r="H44" i="115"/>
  <c r="Q41" i="37"/>
  <c r="R41" i="37" s="1"/>
  <c r="Q31" i="37"/>
  <c r="Q49" i="37"/>
  <c r="Q38" i="37"/>
  <c r="Q50" i="37"/>
  <c r="Q35" i="37"/>
  <c r="R35" i="37" s="1"/>
  <c r="Q34" i="37"/>
  <c r="R34" i="37" s="1"/>
  <c r="Q30" i="37"/>
  <c r="Q24" i="37"/>
  <c r="Q22" i="37"/>
  <c r="I4" i="132"/>
  <c r="J4" i="132"/>
  <c r="K4" i="132"/>
  <c r="I5" i="132"/>
  <c r="H17" i="37" s="1"/>
  <c r="J5" i="132"/>
  <c r="K5" i="132"/>
  <c r="S17" i="37" s="1"/>
  <c r="J17" i="37" s="1"/>
  <c r="I6" i="132"/>
  <c r="J6" i="132"/>
  <c r="K6" i="132"/>
  <c r="S22" i="37" s="1"/>
  <c r="J22" i="37" s="1"/>
  <c r="I7" i="132"/>
  <c r="H21" i="37" s="1"/>
  <c r="J7" i="132"/>
  <c r="K7" i="132"/>
  <c r="S21" i="37" s="1"/>
  <c r="J21" i="37" s="1"/>
  <c r="I8" i="132"/>
  <c r="H18" i="37" s="1"/>
  <c r="J8" i="132"/>
  <c r="K8" i="132"/>
  <c r="I9" i="132"/>
  <c r="H19" i="37" s="1"/>
  <c r="J9" i="132"/>
  <c r="K9" i="132"/>
  <c r="I10" i="132"/>
  <c r="H20" i="37" s="1"/>
  <c r="J10" i="132"/>
  <c r="K10" i="132"/>
  <c r="S20" i="37" s="1"/>
  <c r="J20" i="37" s="1"/>
  <c r="I11" i="132"/>
  <c r="J11" i="132"/>
  <c r="K11" i="132"/>
  <c r="I12" i="132"/>
  <c r="J12" i="132"/>
  <c r="K12" i="132"/>
  <c r="S19" i="37" s="1"/>
  <c r="J19" i="37" s="1"/>
  <c r="I13" i="132"/>
  <c r="J13" i="132"/>
  <c r="K13" i="132"/>
  <c r="I14" i="132"/>
  <c r="J14" i="132"/>
  <c r="K14" i="132"/>
  <c r="S18" i="37" s="1"/>
  <c r="J18" i="37" s="1"/>
  <c r="I15" i="132"/>
  <c r="J15" i="132"/>
  <c r="K15" i="132"/>
  <c r="I16" i="132"/>
  <c r="M30" i="37" s="1"/>
  <c r="J16" i="132"/>
  <c r="K16" i="132"/>
  <c r="I17" i="132"/>
  <c r="J17" i="132"/>
  <c r="K17" i="132"/>
  <c r="I18" i="132"/>
  <c r="J18" i="132"/>
  <c r="K18" i="132"/>
  <c r="I19" i="132"/>
  <c r="J19" i="132"/>
  <c r="M41" i="37" s="1"/>
  <c r="K19" i="132"/>
  <c r="S39" i="37" s="1"/>
  <c r="I20" i="132"/>
  <c r="J20" i="132"/>
  <c r="K20" i="132"/>
  <c r="I21" i="132"/>
  <c r="J21" i="132"/>
  <c r="M40" i="37" s="1"/>
  <c r="K21" i="132"/>
  <c r="S40" i="37" s="1"/>
  <c r="J40" i="37" s="1"/>
  <c r="I22" i="132"/>
  <c r="J22" i="132"/>
  <c r="K22" i="132"/>
  <c r="I23" i="132"/>
  <c r="H80" i="37" s="1"/>
  <c r="J23" i="132"/>
  <c r="K23" i="132"/>
  <c r="I24" i="132"/>
  <c r="J24" i="132"/>
  <c r="L42" i="37" s="1"/>
  <c r="K24" i="132"/>
  <c r="S43" i="37" s="1"/>
  <c r="I25" i="132"/>
  <c r="J25" i="132"/>
  <c r="K25" i="132"/>
  <c r="I26" i="132"/>
  <c r="J26" i="132"/>
  <c r="M34" i="37" s="1"/>
  <c r="K26" i="132"/>
  <c r="I27" i="132"/>
  <c r="J27" i="132"/>
  <c r="K27" i="132"/>
  <c r="I28" i="132"/>
  <c r="J28" i="132"/>
  <c r="K28" i="132"/>
  <c r="I29" i="132"/>
  <c r="J29" i="132"/>
  <c r="K29" i="132"/>
  <c r="I30" i="132"/>
  <c r="J30" i="132"/>
  <c r="K30" i="132"/>
  <c r="S48" i="37" s="1"/>
  <c r="J48" i="37" s="1"/>
  <c r="I31" i="132"/>
  <c r="J31" i="132"/>
  <c r="K31" i="132"/>
  <c r="I32" i="132"/>
  <c r="J32" i="132"/>
  <c r="K32" i="132"/>
  <c r="I33" i="132"/>
  <c r="J33" i="132"/>
  <c r="K33" i="132"/>
  <c r="I34" i="132"/>
  <c r="J34" i="132"/>
  <c r="K34" i="132"/>
  <c r="I35" i="132"/>
  <c r="J35" i="132"/>
  <c r="L278" i="39" s="1"/>
  <c r="K35" i="132"/>
  <c r="S53" i="37" s="1"/>
  <c r="J53" i="37" s="1"/>
  <c r="J3" i="132"/>
  <c r="K3" i="132"/>
  <c r="S15" i="37" s="1"/>
  <c r="J15" i="37" s="1"/>
  <c r="I3" i="132"/>
  <c r="H15" i="37" s="1"/>
  <c r="D3" i="114"/>
  <c r="L35" i="54"/>
  <c r="Q30" i="54"/>
  <c r="Q172" i="39" s="1"/>
  <c r="Q12" i="54"/>
  <c r="P67" i="54"/>
  <c r="P68" i="54"/>
  <c r="Q60" i="54"/>
  <c r="Q59" i="54"/>
  <c r="Q37" i="54"/>
  <c r="Q213" i="39" s="1"/>
  <c r="Q38" i="54"/>
  <c r="Q214" i="39" s="1"/>
  <c r="Q39" i="54"/>
  <c r="Q215" i="39" s="1"/>
  <c r="Q40" i="54"/>
  <c r="Q216" i="39" s="1"/>
  <c r="Q41" i="54"/>
  <c r="Q217" i="39" s="1"/>
  <c r="Q36" i="54"/>
  <c r="Q212" i="39" s="1"/>
  <c r="Q33" i="54"/>
  <c r="Q31" i="54"/>
  <c r="Q29" i="54"/>
  <c r="Q171" i="39" s="1"/>
  <c r="Q28" i="54"/>
  <c r="Q170" i="39" s="1"/>
  <c r="Q27" i="54"/>
  <c r="Q26" i="54"/>
  <c r="Q168" i="39" s="1"/>
  <c r="Q25" i="54"/>
  <c r="Q167" i="39" s="1"/>
  <c r="Q24" i="54"/>
  <c r="Q166" i="39" s="1"/>
  <c r="Q23" i="54"/>
  <c r="Q165" i="39" s="1"/>
  <c r="Q22" i="54"/>
  <c r="Q164" i="39" s="1"/>
  <c r="Q21" i="54"/>
  <c r="Q163" i="39" s="1"/>
  <c r="Q20" i="54"/>
  <c r="Q162" i="39" s="1"/>
  <c r="Q19" i="54"/>
  <c r="Q161" i="39" s="1"/>
  <c r="Q18" i="54"/>
  <c r="Q160" i="39" s="1"/>
  <c r="Q17" i="54"/>
  <c r="Q159" i="39" s="1"/>
  <c r="Q16" i="54"/>
  <c r="Q15" i="54"/>
  <c r="Q157" i="39" s="1"/>
  <c r="Q14" i="54"/>
  <c r="Q13" i="54"/>
  <c r="P70" i="54"/>
  <c r="P279" i="39" s="1"/>
  <c r="P63" i="54"/>
  <c r="P56" i="54"/>
  <c r="P55" i="54"/>
  <c r="P54" i="54"/>
  <c r="P52" i="54"/>
  <c r="P228" i="39" s="1"/>
  <c r="P51" i="54"/>
  <c r="P227" i="39" s="1"/>
  <c r="P50" i="54"/>
  <c r="P226" i="39" s="1"/>
  <c r="P49" i="54"/>
  <c r="P225" i="39" s="1"/>
  <c r="P48" i="54"/>
  <c r="P224" i="39" s="1"/>
  <c r="P47" i="54"/>
  <c r="P223" i="39" s="1"/>
  <c r="P46" i="54"/>
  <c r="P222" i="39" s="1"/>
  <c r="P45" i="54"/>
  <c r="P221" i="39" s="1"/>
  <c r="P44" i="54"/>
  <c r="P220" i="39" s="1"/>
  <c r="P43" i="54"/>
  <c r="P219" i="39" s="1"/>
  <c r="P42" i="54"/>
  <c r="P218" i="39" s="1"/>
  <c r="P41" i="54"/>
  <c r="P217" i="39" s="1"/>
  <c r="P40" i="54"/>
  <c r="P216" i="39" s="1"/>
  <c r="P39" i="54"/>
  <c r="P215" i="39" s="1"/>
  <c r="P38" i="54"/>
  <c r="P214" i="39" s="1"/>
  <c r="P37" i="54"/>
  <c r="P213" i="39" s="1"/>
  <c r="P36" i="54"/>
  <c r="P212" i="39" s="1"/>
  <c r="P33" i="54"/>
  <c r="P31" i="54"/>
  <c r="P30" i="54"/>
  <c r="P172" i="39" s="1"/>
  <c r="P29" i="54"/>
  <c r="P171" i="39" s="1"/>
  <c r="P28" i="54"/>
  <c r="P170" i="39" s="1"/>
  <c r="P27" i="54"/>
  <c r="P26" i="54"/>
  <c r="P168" i="39" s="1"/>
  <c r="P25" i="54"/>
  <c r="P167" i="39" s="1"/>
  <c r="P24" i="54"/>
  <c r="P166" i="39" s="1"/>
  <c r="P23" i="54"/>
  <c r="P165" i="39" s="1"/>
  <c r="P22" i="54"/>
  <c r="P164" i="39" s="1"/>
  <c r="P21" i="54"/>
  <c r="P163" i="39" s="1"/>
  <c r="P20" i="54"/>
  <c r="P162" i="39" s="1"/>
  <c r="P19" i="54"/>
  <c r="P161" i="39" s="1"/>
  <c r="P18" i="54"/>
  <c r="P160" i="39" s="1"/>
  <c r="P17" i="54"/>
  <c r="P159" i="39" s="1"/>
  <c r="P16" i="54"/>
  <c r="P15" i="54"/>
  <c r="P157" i="39" s="1"/>
  <c r="P14" i="54"/>
  <c r="P13" i="54"/>
  <c r="P12" i="54"/>
  <c r="H3" i="131"/>
  <c r="I3" i="131"/>
  <c r="H4" i="131"/>
  <c r="I4" i="131"/>
  <c r="G4" i="131"/>
  <c r="H60" i="54" s="1"/>
  <c r="G3" i="131"/>
  <c r="K18" i="37" l="1"/>
  <c r="H38" i="37"/>
  <c r="H30" i="37"/>
  <c r="M50" i="37"/>
  <c r="J36" i="132"/>
  <c r="H51" i="37"/>
  <c r="M51" i="37"/>
  <c r="H44" i="37"/>
  <c r="H22" i="37"/>
  <c r="H16" i="37" s="1"/>
  <c r="M43" i="37"/>
  <c r="H50" i="37"/>
  <c r="H39" i="37"/>
  <c r="K38" i="37"/>
  <c r="H85" i="37"/>
  <c r="H48" i="37"/>
  <c r="H40" i="37"/>
  <c r="H46" i="37"/>
  <c r="I36" i="132"/>
  <c r="H53" i="37"/>
  <c r="H52" i="37" s="1"/>
  <c r="I278" i="39"/>
  <c r="H45" i="37"/>
  <c r="H41" i="37"/>
  <c r="L37" i="37"/>
  <c r="L36" i="37" s="1"/>
  <c r="K36" i="132"/>
  <c r="H49" i="37"/>
  <c r="M24" i="37"/>
  <c r="H24" i="37"/>
  <c r="H43" i="37"/>
  <c r="K41" i="37"/>
  <c r="H47" i="37"/>
  <c r="R31" i="37"/>
  <c r="Q208" i="39"/>
  <c r="K21" i="37"/>
  <c r="K17" i="37"/>
  <c r="K22" i="37"/>
  <c r="K20" i="37"/>
  <c r="M15" i="37"/>
  <c r="K15" i="37"/>
  <c r="M18" i="37"/>
  <c r="N20" i="37"/>
  <c r="O20" i="37" s="1"/>
  <c r="M20" i="37"/>
  <c r="J43" i="37"/>
  <c r="S42" i="37"/>
  <c r="J42" i="37" s="1"/>
  <c r="N17" i="37"/>
  <c r="O17" i="37" s="1"/>
  <c r="M17" i="37"/>
  <c r="N22" i="37"/>
  <c r="O22" i="37" s="1"/>
  <c r="M22" i="37"/>
  <c r="S37" i="37"/>
  <c r="M19" i="37"/>
  <c r="K19" i="37"/>
  <c r="M21" i="37"/>
  <c r="Q23" i="37"/>
  <c r="I76" i="37"/>
  <c r="K40" i="37"/>
  <c r="J39" i="37"/>
  <c r="N19" i="37"/>
  <c r="O19" i="37" s="1"/>
  <c r="N21" i="37"/>
  <c r="O21" i="37" s="1"/>
  <c r="N18" i="37"/>
  <c r="O18" i="37" s="1"/>
  <c r="N15" i="37"/>
  <c r="S16" i="37"/>
  <c r="J16" i="37" s="1"/>
  <c r="S52" i="37"/>
  <c r="J52" i="37" s="1"/>
  <c r="Q11" i="54"/>
  <c r="Q10" i="54" s="1"/>
  <c r="K43" i="37" l="1"/>
  <c r="K39" i="37"/>
  <c r="H37" i="37"/>
  <c r="H61" i="37" s="1"/>
  <c r="O15" i="37"/>
  <c r="N182" i="39"/>
  <c r="H84" i="37"/>
  <c r="M47" i="37"/>
  <c r="K47" i="37"/>
  <c r="H83" i="37"/>
  <c r="K46" i="37"/>
  <c r="M46" i="37"/>
  <c r="H42" i="37"/>
  <c r="H67" i="37" s="1"/>
  <c r="H82" i="37"/>
  <c r="M45" i="37"/>
  <c r="K45" i="37"/>
  <c r="I196" i="39"/>
  <c r="K24" i="37"/>
  <c r="M48" i="37"/>
  <c r="M49" i="37"/>
  <c r="K49" i="37"/>
  <c r="M53" i="37"/>
  <c r="H81" i="37"/>
  <c r="K44" i="37"/>
  <c r="M44" i="37"/>
  <c r="K48" i="37"/>
  <c r="M37" i="37"/>
  <c r="M36" i="37"/>
  <c r="K53" i="37"/>
  <c r="S36" i="37"/>
  <c r="I75" i="37"/>
  <c r="J37" i="37"/>
  <c r="K37" i="37" s="1"/>
  <c r="S14" i="37"/>
  <c r="S12" i="37" s="1"/>
  <c r="O29" i="54"/>
  <c r="O30" i="54"/>
  <c r="O31" i="54"/>
  <c r="O28" i="54"/>
  <c r="K42" i="37" l="1"/>
  <c r="H36" i="37"/>
  <c r="H32" i="37" s="1"/>
  <c r="H86" i="37"/>
  <c r="M42" i="37"/>
  <c r="I192" i="39"/>
  <c r="F178" i="39"/>
  <c r="K192" i="39" l="1"/>
  <c r="F62" i="4"/>
  <c r="F62" i="39"/>
  <c r="P55" i="39"/>
  <c r="F55" i="4"/>
  <c r="F55" i="39"/>
  <c r="P31" i="39"/>
  <c r="F31" i="4"/>
  <c r="F31" i="39"/>
  <c r="P24" i="39"/>
  <c r="F24" i="39"/>
  <c r="F24" i="4"/>
  <c r="F156" i="4" l="1"/>
  <c r="G198" i="39"/>
  <c r="G197" i="39"/>
  <c r="F185" i="39"/>
  <c r="N190" i="39" l="1"/>
  <c r="N202" i="39"/>
  <c r="I275" i="39"/>
  <c r="I276" i="39"/>
  <c r="L275" i="39"/>
  <c r="L276" i="39"/>
  <c r="L178" i="39"/>
  <c r="I132" i="39"/>
  <c r="N55" i="39"/>
  <c r="HH4" i="117"/>
  <c r="HH5" i="117"/>
  <c r="HH6" i="117"/>
  <c r="HH7" i="117"/>
  <c r="HH8" i="117"/>
  <c r="HH9" i="117"/>
  <c r="HH10" i="117"/>
  <c r="HH11" i="117"/>
  <c r="HH12" i="117"/>
  <c r="HH13" i="117"/>
  <c r="HH14" i="117"/>
  <c r="HH15" i="117"/>
  <c r="HH16" i="117"/>
  <c r="HH17" i="117"/>
  <c r="HH18" i="117"/>
  <c r="HH19" i="117"/>
  <c r="HH20" i="117"/>
  <c r="HH21" i="117"/>
  <c r="HH22" i="117"/>
  <c r="HH23" i="117"/>
  <c r="HH24" i="117"/>
  <c r="HH25" i="117"/>
  <c r="HH26" i="117"/>
  <c r="HH27" i="117"/>
  <c r="HH28" i="117"/>
  <c r="HH29" i="117"/>
  <c r="HH30" i="117"/>
  <c r="HH31" i="117"/>
  <c r="HH32" i="117"/>
  <c r="HH33" i="117"/>
  <c r="HH34" i="117"/>
  <c r="HH35" i="117"/>
  <c r="HH36" i="117"/>
  <c r="HH37" i="117"/>
  <c r="HH38" i="117"/>
  <c r="HH39" i="117"/>
  <c r="HH40" i="117"/>
  <c r="HH41" i="117"/>
  <c r="HH42" i="117"/>
  <c r="HH43" i="117"/>
  <c r="HH44" i="117"/>
  <c r="HH45" i="117"/>
  <c r="HH46" i="117"/>
  <c r="HH47" i="117"/>
  <c r="HH48" i="117"/>
  <c r="HH49" i="117"/>
  <c r="HH50" i="117"/>
  <c r="HH51" i="117"/>
  <c r="HH52" i="117"/>
  <c r="HH53" i="117"/>
  <c r="HH54" i="117"/>
  <c r="HH55" i="117"/>
  <c r="HH56" i="117"/>
  <c r="HH57" i="117"/>
  <c r="HH58" i="117"/>
  <c r="HH59" i="117"/>
  <c r="HH60" i="117"/>
  <c r="HH61" i="117"/>
  <c r="HH62" i="117"/>
  <c r="HH63" i="117"/>
  <c r="HH64" i="117"/>
  <c r="HH65" i="117"/>
  <c r="HH66" i="117"/>
  <c r="HH67" i="117"/>
  <c r="HH68" i="117"/>
  <c r="HH69" i="117"/>
  <c r="HH70" i="117"/>
  <c r="HH71" i="117"/>
  <c r="HH72" i="117"/>
  <c r="HH73" i="117"/>
  <c r="HH74" i="117"/>
  <c r="HH75" i="117"/>
  <c r="HH76" i="117"/>
  <c r="HH77" i="117"/>
  <c r="HH78" i="117"/>
  <c r="HH79" i="117"/>
  <c r="HH80" i="117"/>
  <c r="HH81" i="117"/>
  <c r="HH82" i="117"/>
  <c r="HH83" i="117"/>
  <c r="HH84" i="117"/>
  <c r="HH85" i="117"/>
  <c r="HH86" i="117"/>
  <c r="HH87" i="117"/>
  <c r="HH88" i="117"/>
  <c r="HH89" i="117"/>
  <c r="HH90" i="117"/>
  <c r="HH91" i="117"/>
  <c r="HH92" i="117"/>
  <c r="HH93" i="117"/>
  <c r="HH94" i="117"/>
  <c r="HH95" i="117"/>
  <c r="HH96" i="117"/>
  <c r="HH97" i="117"/>
  <c r="HH98" i="117"/>
  <c r="HH99" i="117"/>
  <c r="HH100" i="117"/>
  <c r="HH101" i="117"/>
  <c r="HH102" i="117"/>
  <c r="HH103" i="117"/>
  <c r="HH104" i="117"/>
  <c r="HH105" i="117"/>
  <c r="HH106" i="117"/>
  <c r="HH107" i="117"/>
  <c r="HH108" i="117"/>
  <c r="HH109" i="117"/>
  <c r="HH110" i="117"/>
  <c r="HH111" i="117"/>
  <c r="HH112" i="117"/>
  <c r="HH113" i="117"/>
  <c r="HH114" i="117"/>
  <c r="HH115" i="117"/>
  <c r="HH116" i="117"/>
  <c r="HH117" i="117"/>
  <c r="HH118" i="117"/>
  <c r="HH119" i="117"/>
  <c r="HH120" i="117"/>
  <c r="HH121" i="117"/>
  <c r="HH122" i="117"/>
  <c r="HH123" i="117"/>
  <c r="HH124" i="117"/>
  <c r="HH125" i="117"/>
  <c r="HH126" i="117"/>
  <c r="HH127" i="117"/>
  <c r="HH128" i="117"/>
  <c r="HH129" i="117"/>
  <c r="HH130" i="117"/>
  <c r="HH131" i="117"/>
  <c r="HH132" i="117"/>
  <c r="HH133" i="117"/>
  <c r="HH134" i="117"/>
  <c r="HH135" i="117"/>
  <c r="HH136" i="117"/>
  <c r="N149" i="39" s="1"/>
  <c r="HH137" i="117"/>
  <c r="HH138" i="117"/>
  <c r="HH139" i="117"/>
  <c r="N178" i="39" s="1"/>
  <c r="HH140" i="117"/>
  <c r="HH141" i="117"/>
  <c r="HH142" i="117"/>
  <c r="HH143" i="117"/>
  <c r="HH144" i="117"/>
  <c r="N191" i="39" s="1"/>
  <c r="HH145" i="117"/>
  <c r="N193" i="39" s="1"/>
  <c r="HH146" i="117"/>
  <c r="N194" i="39" s="1"/>
  <c r="HH147" i="117"/>
  <c r="HH148" i="117"/>
  <c r="HH149" i="117"/>
  <c r="HH150" i="117"/>
  <c r="N200" i="39" s="1"/>
  <c r="O200" i="39" s="1"/>
  <c r="HH151" i="117"/>
  <c r="HH152" i="117"/>
  <c r="HH153" i="117"/>
  <c r="N203" i="39" s="1"/>
  <c r="HH154" i="117"/>
  <c r="HH155" i="117"/>
  <c r="HH156" i="117"/>
  <c r="HH157" i="117"/>
  <c r="HH158" i="117"/>
  <c r="HH159" i="117"/>
  <c r="HH160" i="117"/>
  <c r="HH161" i="117"/>
  <c r="HH162" i="117"/>
  <c r="HH163" i="117"/>
  <c r="HH164" i="117"/>
  <c r="HH165" i="117"/>
  <c r="N279" i="39" s="1"/>
  <c r="HH3" i="117"/>
  <c r="HH2" i="117"/>
  <c r="N24" i="39"/>
  <c r="HG4" i="117"/>
  <c r="HI4" i="117"/>
  <c r="HJ4" i="117"/>
  <c r="HK4" i="117"/>
  <c r="HG5" i="117"/>
  <c r="HI5" i="117"/>
  <c r="HJ5" i="117"/>
  <c r="HK5" i="117"/>
  <c r="HG6" i="117"/>
  <c r="HI6" i="117"/>
  <c r="HJ6" i="117"/>
  <c r="HK6" i="117"/>
  <c r="HG7" i="117"/>
  <c r="HI7" i="117"/>
  <c r="HJ7" i="117"/>
  <c r="HK7" i="117"/>
  <c r="HG8" i="117"/>
  <c r="HI8" i="117"/>
  <c r="HJ8" i="117"/>
  <c r="HK8" i="117"/>
  <c r="HG9" i="117"/>
  <c r="HI9" i="117"/>
  <c r="HJ9" i="117"/>
  <c r="HK9" i="117"/>
  <c r="HG10" i="117"/>
  <c r="HI10" i="117"/>
  <c r="HJ10" i="117"/>
  <c r="HK10" i="117"/>
  <c r="HG11" i="117"/>
  <c r="HI11" i="117"/>
  <c r="HJ11" i="117"/>
  <c r="HK11" i="117"/>
  <c r="HG12" i="117"/>
  <c r="HI12" i="117"/>
  <c r="HJ12" i="117"/>
  <c r="HK12" i="117"/>
  <c r="HG13" i="117"/>
  <c r="HI13" i="117"/>
  <c r="HJ13" i="117"/>
  <c r="HK13" i="117"/>
  <c r="HG14" i="117"/>
  <c r="HI14" i="117"/>
  <c r="HJ14" i="117"/>
  <c r="HK14" i="117"/>
  <c r="HG15" i="117"/>
  <c r="HI15" i="117"/>
  <c r="HJ15" i="117"/>
  <c r="HK15" i="117"/>
  <c r="HG16" i="117"/>
  <c r="I24" i="39" s="1"/>
  <c r="HI16" i="117"/>
  <c r="HJ16" i="117"/>
  <c r="HK16" i="117"/>
  <c r="HG17" i="117"/>
  <c r="HI17" i="117"/>
  <c r="HJ17" i="117"/>
  <c r="HK17" i="117"/>
  <c r="HG18" i="117"/>
  <c r="HI18" i="117"/>
  <c r="HJ18" i="117"/>
  <c r="HK18" i="117"/>
  <c r="HG19" i="117"/>
  <c r="HI19" i="117"/>
  <c r="HJ19" i="117"/>
  <c r="HK19" i="117"/>
  <c r="HG20" i="117"/>
  <c r="HI20" i="117"/>
  <c r="HJ20" i="117"/>
  <c r="HK20" i="117"/>
  <c r="HG21" i="117"/>
  <c r="HI21" i="117"/>
  <c r="HJ21" i="117"/>
  <c r="HK21" i="117"/>
  <c r="HG22" i="117"/>
  <c r="HI22" i="117"/>
  <c r="HJ22" i="117"/>
  <c r="HK22" i="117"/>
  <c r="HG23" i="117"/>
  <c r="I31" i="39" s="1"/>
  <c r="HI23" i="117"/>
  <c r="HJ23" i="117"/>
  <c r="HK23" i="117"/>
  <c r="HG24" i="117"/>
  <c r="HI24" i="117"/>
  <c r="HJ24" i="117"/>
  <c r="HK24" i="117"/>
  <c r="HG25" i="117"/>
  <c r="HI25" i="117"/>
  <c r="HJ25" i="117"/>
  <c r="HK25" i="117"/>
  <c r="HG26" i="117"/>
  <c r="HI26" i="117"/>
  <c r="HJ26" i="117"/>
  <c r="HK26" i="117"/>
  <c r="HG27" i="117"/>
  <c r="HI27" i="117"/>
  <c r="HJ27" i="117"/>
  <c r="HK27" i="117"/>
  <c r="HG28" i="117"/>
  <c r="HI28" i="117"/>
  <c r="HJ28" i="117"/>
  <c r="HK28" i="117"/>
  <c r="HG29" i="117"/>
  <c r="HI29" i="117"/>
  <c r="HJ29" i="117"/>
  <c r="HK29" i="117"/>
  <c r="HG30" i="117"/>
  <c r="HI30" i="117"/>
  <c r="HJ30" i="117"/>
  <c r="HK30" i="117"/>
  <c r="HG31" i="117"/>
  <c r="HI31" i="117"/>
  <c r="HJ31" i="117"/>
  <c r="HK31" i="117"/>
  <c r="HG32" i="117"/>
  <c r="HI32" i="117"/>
  <c r="HJ32" i="117"/>
  <c r="HK32" i="117"/>
  <c r="HG33" i="117"/>
  <c r="HI33" i="117"/>
  <c r="HJ33" i="117"/>
  <c r="HK33" i="117"/>
  <c r="HG34" i="117"/>
  <c r="HI34" i="117"/>
  <c r="HJ34" i="117"/>
  <c r="HK34" i="117"/>
  <c r="HG35" i="117"/>
  <c r="HI35" i="117"/>
  <c r="HJ35" i="117"/>
  <c r="HK35" i="117"/>
  <c r="HG36" i="117"/>
  <c r="HI36" i="117"/>
  <c r="HJ36" i="117"/>
  <c r="HK36" i="117"/>
  <c r="HG37" i="117"/>
  <c r="HI37" i="117"/>
  <c r="HJ37" i="117"/>
  <c r="HK37" i="117"/>
  <c r="HG38" i="117"/>
  <c r="HI38" i="117"/>
  <c r="HJ38" i="117"/>
  <c r="HK38" i="117"/>
  <c r="HG39" i="117"/>
  <c r="HI39" i="117"/>
  <c r="HJ39" i="117"/>
  <c r="HK39" i="117"/>
  <c r="HG40" i="117"/>
  <c r="HI40" i="117"/>
  <c r="HJ40" i="117"/>
  <c r="HK40" i="117"/>
  <c r="HG41" i="117"/>
  <c r="HI41" i="117"/>
  <c r="HJ41" i="117"/>
  <c r="HK41" i="117"/>
  <c r="HG42" i="117"/>
  <c r="HI42" i="117"/>
  <c r="HJ42" i="117"/>
  <c r="HK42" i="117"/>
  <c r="HG43" i="117"/>
  <c r="HI43" i="117"/>
  <c r="HJ43" i="117"/>
  <c r="HK43" i="117"/>
  <c r="HG44" i="117"/>
  <c r="HI44" i="117"/>
  <c r="HJ44" i="117"/>
  <c r="HK44" i="117"/>
  <c r="HG45" i="117"/>
  <c r="HI45" i="117"/>
  <c r="HJ45" i="117"/>
  <c r="HK45" i="117"/>
  <c r="HG46" i="117"/>
  <c r="I55" i="39" s="1"/>
  <c r="HI46" i="117"/>
  <c r="HJ46" i="117"/>
  <c r="HK46" i="117"/>
  <c r="HG47" i="117"/>
  <c r="HI47" i="117"/>
  <c r="HJ47" i="117"/>
  <c r="HK47" i="117"/>
  <c r="HG48" i="117"/>
  <c r="HI48" i="117"/>
  <c r="HJ48" i="117"/>
  <c r="HK48" i="117"/>
  <c r="HG49" i="117"/>
  <c r="HI49" i="117"/>
  <c r="HJ49" i="117"/>
  <c r="HK49" i="117"/>
  <c r="HG50" i="117"/>
  <c r="HI50" i="117"/>
  <c r="HJ50" i="117"/>
  <c r="HK50" i="117"/>
  <c r="HG51" i="117"/>
  <c r="HI51" i="117"/>
  <c r="HJ51" i="117"/>
  <c r="HK51" i="117"/>
  <c r="HG52" i="117"/>
  <c r="HI52" i="117"/>
  <c r="HJ52" i="117"/>
  <c r="HK52" i="117"/>
  <c r="HG53" i="117"/>
  <c r="I62" i="39" s="1"/>
  <c r="HI53" i="117"/>
  <c r="HJ53" i="117"/>
  <c r="HK53" i="117"/>
  <c r="HG54" i="117"/>
  <c r="HI54" i="117"/>
  <c r="HJ54" i="117"/>
  <c r="HK54" i="117"/>
  <c r="HG55" i="117"/>
  <c r="HI55" i="117"/>
  <c r="HJ55" i="117"/>
  <c r="HK55" i="117"/>
  <c r="HG56" i="117"/>
  <c r="HI56" i="117"/>
  <c r="HJ56" i="117"/>
  <c r="HK56" i="117"/>
  <c r="HG57" i="117"/>
  <c r="HI57" i="117"/>
  <c r="HJ57" i="117"/>
  <c r="HK57" i="117"/>
  <c r="HG58" i="117"/>
  <c r="HI58" i="117"/>
  <c r="HJ58" i="117"/>
  <c r="HK58" i="117"/>
  <c r="HG59" i="117"/>
  <c r="HI59" i="117"/>
  <c r="HJ59" i="117"/>
  <c r="HK59" i="117"/>
  <c r="HG60" i="117"/>
  <c r="HI60" i="117"/>
  <c r="HJ60" i="117"/>
  <c r="HK60" i="117"/>
  <c r="HG61" i="117"/>
  <c r="HI61" i="117"/>
  <c r="HJ61" i="117"/>
  <c r="HK61" i="117"/>
  <c r="HG62" i="117"/>
  <c r="HI62" i="117"/>
  <c r="HJ62" i="117"/>
  <c r="HK62" i="117"/>
  <c r="HG63" i="117"/>
  <c r="HI63" i="117"/>
  <c r="HJ63" i="117"/>
  <c r="HK63" i="117"/>
  <c r="HG64" i="117"/>
  <c r="HI64" i="117"/>
  <c r="HJ64" i="117"/>
  <c r="HK64" i="117"/>
  <c r="HG65" i="117"/>
  <c r="HI65" i="117"/>
  <c r="HJ65" i="117"/>
  <c r="HK65" i="117"/>
  <c r="HG66" i="117"/>
  <c r="HI66" i="117"/>
  <c r="HJ66" i="117"/>
  <c r="HK66" i="117"/>
  <c r="HG67" i="117"/>
  <c r="HI67" i="117"/>
  <c r="HJ67" i="117"/>
  <c r="HK67" i="117"/>
  <c r="HG68" i="117"/>
  <c r="HI68" i="117"/>
  <c r="HJ68" i="117"/>
  <c r="HK68" i="117"/>
  <c r="HG69" i="117"/>
  <c r="HI69" i="117"/>
  <c r="HJ69" i="117"/>
  <c r="HK69" i="117"/>
  <c r="HG70" i="117"/>
  <c r="HI70" i="117"/>
  <c r="HJ70" i="117"/>
  <c r="HK70" i="117"/>
  <c r="HG71" i="117"/>
  <c r="HI71" i="117"/>
  <c r="HJ71" i="117"/>
  <c r="HK71" i="117"/>
  <c r="HG72" i="117"/>
  <c r="HI72" i="117"/>
  <c r="HJ72" i="117"/>
  <c r="HK72" i="117"/>
  <c r="HG73" i="117"/>
  <c r="HI73" i="117"/>
  <c r="HJ73" i="117"/>
  <c r="HK73" i="117"/>
  <c r="HG74" i="117"/>
  <c r="HI74" i="117"/>
  <c r="HJ74" i="117"/>
  <c r="HK74" i="117"/>
  <c r="HG75" i="117"/>
  <c r="HI75" i="117"/>
  <c r="HJ75" i="117"/>
  <c r="HK75" i="117"/>
  <c r="HG76" i="117"/>
  <c r="HI76" i="117"/>
  <c r="HJ76" i="117"/>
  <c r="HK76" i="117"/>
  <c r="HG77" i="117"/>
  <c r="HI77" i="117"/>
  <c r="HJ77" i="117"/>
  <c r="HK77" i="117"/>
  <c r="HG78" i="117"/>
  <c r="HI78" i="117"/>
  <c r="HJ78" i="117"/>
  <c r="HK78" i="117"/>
  <c r="HG79" i="117"/>
  <c r="HI79" i="117"/>
  <c r="HJ79" i="117"/>
  <c r="HK79" i="117"/>
  <c r="HG80" i="117"/>
  <c r="HI80" i="117"/>
  <c r="HJ80" i="117"/>
  <c r="HK80" i="117"/>
  <c r="HG81" i="117"/>
  <c r="HI81" i="117"/>
  <c r="HJ81" i="117"/>
  <c r="HK81" i="117"/>
  <c r="HG82" i="117"/>
  <c r="HI82" i="117"/>
  <c r="HJ82" i="117"/>
  <c r="HK82" i="117"/>
  <c r="HG83" i="117"/>
  <c r="HI83" i="117"/>
  <c r="HJ83" i="117"/>
  <c r="HK83" i="117"/>
  <c r="HG84" i="117"/>
  <c r="HI84" i="117"/>
  <c r="HJ84" i="117"/>
  <c r="HK84" i="117"/>
  <c r="HG85" i="117"/>
  <c r="HI85" i="117"/>
  <c r="HJ85" i="117"/>
  <c r="HK85" i="117"/>
  <c r="HG86" i="117"/>
  <c r="HI86" i="117"/>
  <c r="HJ86" i="117"/>
  <c r="HK86" i="117"/>
  <c r="HG87" i="117"/>
  <c r="HI87" i="117"/>
  <c r="HJ87" i="117"/>
  <c r="HK87" i="117"/>
  <c r="HG88" i="117"/>
  <c r="HI88" i="117"/>
  <c r="HJ88" i="117"/>
  <c r="HK88" i="117"/>
  <c r="HG89" i="117"/>
  <c r="HI89" i="117"/>
  <c r="HJ89" i="117"/>
  <c r="HK89" i="117"/>
  <c r="HG90" i="117"/>
  <c r="HI90" i="117"/>
  <c r="HJ90" i="117"/>
  <c r="HK90" i="117"/>
  <c r="HG91" i="117"/>
  <c r="HI91" i="117"/>
  <c r="HJ91" i="117"/>
  <c r="HK91" i="117"/>
  <c r="HG92" i="117"/>
  <c r="HI92" i="117"/>
  <c r="HJ92" i="117"/>
  <c r="HK92" i="117"/>
  <c r="HG93" i="117"/>
  <c r="HI93" i="117"/>
  <c r="HJ93" i="117"/>
  <c r="HK93" i="117"/>
  <c r="HG94" i="117"/>
  <c r="HI94" i="117"/>
  <c r="HJ94" i="117"/>
  <c r="HK94" i="117"/>
  <c r="HG95" i="117"/>
  <c r="HI95" i="117"/>
  <c r="HJ95" i="117"/>
  <c r="HK95" i="117"/>
  <c r="HG96" i="117"/>
  <c r="HI96" i="117"/>
  <c r="HJ96" i="117"/>
  <c r="HK96" i="117"/>
  <c r="HG97" i="117"/>
  <c r="HI97" i="117"/>
  <c r="HJ97" i="117"/>
  <c r="HK97" i="117"/>
  <c r="HG98" i="117"/>
  <c r="HI98" i="117"/>
  <c r="HJ98" i="117"/>
  <c r="HK98" i="117"/>
  <c r="HG99" i="117"/>
  <c r="HI99" i="117"/>
  <c r="HJ99" i="117"/>
  <c r="HK99" i="117"/>
  <c r="HG100" i="117"/>
  <c r="HI100" i="117"/>
  <c r="HJ100" i="117"/>
  <c r="HK100" i="117"/>
  <c r="HG101" i="117"/>
  <c r="HI101" i="117"/>
  <c r="L110" i="39" s="1"/>
  <c r="HJ101" i="117"/>
  <c r="HK101" i="117"/>
  <c r="HG102" i="117"/>
  <c r="HI102" i="117"/>
  <c r="HJ102" i="117"/>
  <c r="HK102" i="117"/>
  <c r="HG103" i="117"/>
  <c r="HI103" i="117"/>
  <c r="HJ103" i="117"/>
  <c r="HK103" i="117"/>
  <c r="HG104" i="117"/>
  <c r="HI104" i="117"/>
  <c r="HJ104" i="117"/>
  <c r="HK104" i="117"/>
  <c r="HG105" i="117"/>
  <c r="HI105" i="117"/>
  <c r="HJ105" i="117"/>
  <c r="HK105" i="117"/>
  <c r="HG106" i="117"/>
  <c r="HI106" i="117"/>
  <c r="HJ106" i="117"/>
  <c r="HK106" i="117"/>
  <c r="HG107" i="117"/>
  <c r="HI107" i="117"/>
  <c r="HJ107" i="117"/>
  <c r="HK107" i="117"/>
  <c r="HG108" i="117"/>
  <c r="HI108" i="117"/>
  <c r="HJ108" i="117"/>
  <c r="HK108" i="117"/>
  <c r="HG109" i="117"/>
  <c r="HI109" i="117"/>
  <c r="HJ109" i="117"/>
  <c r="HK109" i="117"/>
  <c r="HG110" i="117"/>
  <c r="HI110" i="117"/>
  <c r="HJ110" i="117"/>
  <c r="HK110" i="117"/>
  <c r="HG111" i="117"/>
  <c r="HI111" i="117"/>
  <c r="HJ111" i="117"/>
  <c r="HK111" i="117"/>
  <c r="HG112" i="117"/>
  <c r="HI112" i="117"/>
  <c r="HJ112" i="117"/>
  <c r="HK112" i="117"/>
  <c r="HG113" i="117"/>
  <c r="HI113" i="117"/>
  <c r="HJ113" i="117"/>
  <c r="HK113" i="117"/>
  <c r="HG114" i="117"/>
  <c r="HI114" i="117"/>
  <c r="HJ114" i="117"/>
  <c r="HK114" i="117"/>
  <c r="HG115" i="117"/>
  <c r="HI115" i="117"/>
  <c r="HJ115" i="117"/>
  <c r="HK115" i="117"/>
  <c r="HG116" i="117"/>
  <c r="HI116" i="117"/>
  <c r="HJ116" i="117"/>
  <c r="HK116" i="117"/>
  <c r="HG117" i="117"/>
  <c r="HI117" i="117"/>
  <c r="HJ117" i="117"/>
  <c r="HK117" i="117"/>
  <c r="HG118" i="117"/>
  <c r="HI118" i="117"/>
  <c r="HJ118" i="117"/>
  <c r="HK118" i="117"/>
  <c r="HG119" i="117"/>
  <c r="HI119" i="117"/>
  <c r="HJ119" i="117"/>
  <c r="HK119" i="117"/>
  <c r="HG120" i="117"/>
  <c r="HI120" i="117"/>
  <c r="HJ120" i="117"/>
  <c r="HK120" i="117"/>
  <c r="HG121" i="117"/>
  <c r="HI121" i="117"/>
  <c r="HJ121" i="117"/>
  <c r="HK121" i="117"/>
  <c r="HG122" i="117"/>
  <c r="HI122" i="117"/>
  <c r="HJ122" i="117"/>
  <c r="HK122" i="117"/>
  <c r="HG123" i="117"/>
  <c r="HI123" i="117"/>
  <c r="HJ123" i="117"/>
  <c r="HK123" i="117"/>
  <c r="HG124" i="117"/>
  <c r="HI124" i="117"/>
  <c r="HJ124" i="117"/>
  <c r="HK124" i="117"/>
  <c r="HG125" i="117"/>
  <c r="HI125" i="117"/>
  <c r="HJ125" i="117"/>
  <c r="HK125" i="117"/>
  <c r="HG126" i="117"/>
  <c r="HI126" i="117"/>
  <c r="HJ126" i="117"/>
  <c r="HK126" i="117"/>
  <c r="HG127" i="117"/>
  <c r="HI127" i="117"/>
  <c r="HJ127" i="117"/>
  <c r="HK127" i="117"/>
  <c r="HG128" i="117"/>
  <c r="HI128" i="117"/>
  <c r="HJ128" i="117"/>
  <c r="HK128" i="117"/>
  <c r="HG129" i="117"/>
  <c r="HI129" i="117"/>
  <c r="HJ129" i="117"/>
  <c r="HK129" i="117"/>
  <c r="HG130" i="117"/>
  <c r="HI130" i="117"/>
  <c r="HJ130" i="117"/>
  <c r="HK130" i="117"/>
  <c r="HG131" i="117"/>
  <c r="HI131" i="117"/>
  <c r="HJ131" i="117"/>
  <c r="HK131" i="117"/>
  <c r="HG132" i="117"/>
  <c r="HI132" i="117"/>
  <c r="HJ132" i="117"/>
  <c r="HK132" i="117"/>
  <c r="HG133" i="117"/>
  <c r="HI133" i="117"/>
  <c r="HJ133" i="117"/>
  <c r="HK133" i="117"/>
  <c r="HG134" i="117"/>
  <c r="HI134" i="117"/>
  <c r="HJ134" i="117"/>
  <c r="HK134" i="117"/>
  <c r="HG135" i="117"/>
  <c r="HI135" i="117"/>
  <c r="HJ135" i="117"/>
  <c r="HK135" i="117"/>
  <c r="HG136" i="117"/>
  <c r="I149" i="39" s="1"/>
  <c r="HI136" i="117"/>
  <c r="L149" i="39" s="1"/>
  <c r="HJ136" i="117"/>
  <c r="HK136" i="117"/>
  <c r="HG137" i="117"/>
  <c r="HI137" i="117"/>
  <c r="HJ137" i="117"/>
  <c r="HK137" i="117"/>
  <c r="HG138" i="117"/>
  <c r="HI138" i="117"/>
  <c r="HJ138" i="117"/>
  <c r="HK138" i="117"/>
  <c r="HG139" i="117"/>
  <c r="I178" i="39" s="1"/>
  <c r="HI139" i="117"/>
  <c r="HJ139" i="117"/>
  <c r="HK139" i="117"/>
  <c r="HG140" i="117"/>
  <c r="HI140" i="117"/>
  <c r="HJ140" i="117"/>
  <c r="HK140" i="117"/>
  <c r="HG141" i="117"/>
  <c r="HI141" i="117"/>
  <c r="HJ141" i="117"/>
  <c r="HK141" i="117"/>
  <c r="HG142" i="117"/>
  <c r="HI142" i="117"/>
  <c r="HJ142" i="117"/>
  <c r="HK142" i="117"/>
  <c r="HG143" i="117"/>
  <c r="I190" i="39" s="1"/>
  <c r="HI143" i="117"/>
  <c r="L190" i="39" s="1"/>
  <c r="HJ143" i="117"/>
  <c r="HK143" i="117"/>
  <c r="HG144" i="117"/>
  <c r="I191" i="39" s="1"/>
  <c r="HI144" i="117"/>
  <c r="L191" i="39" s="1"/>
  <c r="HJ144" i="117"/>
  <c r="HK144" i="117"/>
  <c r="HG145" i="117"/>
  <c r="HI145" i="117"/>
  <c r="HJ145" i="117"/>
  <c r="HK145" i="117"/>
  <c r="HG146" i="117"/>
  <c r="I194" i="39" s="1"/>
  <c r="HI146" i="117"/>
  <c r="L194" i="39" s="1"/>
  <c r="HJ146" i="117"/>
  <c r="HK146" i="117"/>
  <c r="HG147" i="117"/>
  <c r="HI147" i="117"/>
  <c r="HJ147" i="117"/>
  <c r="HK147" i="117"/>
  <c r="HG148" i="117"/>
  <c r="HI148" i="117"/>
  <c r="HJ148" i="117"/>
  <c r="HK148" i="117"/>
  <c r="HG149" i="117"/>
  <c r="HI149" i="117"/>
  <c r="HJ149" i="117"/>
  <c r="HK149" i="117"/>
  <c r="HG150" i="117"/>
  <c r="HI150" i="117"/>
  <c r="L200" i="39" s="1"/>
  <c r="M200" i="39" s="1"/>
  <c r="HJ150" i="117"/>
  <c r="HK150" i="117"/>
  <c r="HG151" i="117"/>
  <c r="I202" i="39" s="1"/>
  <c r="HI151" i="117"/>
  <c r="HJ151" i="117"/>
  <c r="HK151" i="117"/>
  <c r="HG152" i="117"/>
  <c r="HI152" i="117"/>
  <c r="L202" i="39" s="1"/>
  <c r="HJ152" i="117"/>
  <c r="HK152" i="117"/>
  <c r="HG153" i="117"/>
  <c r="I203" i="39" s="1"/>
  <c r="HI153" i="117"/>
  <c r="HJ153" i="117"/>
  <c r="HK153" i="117"/>
  <c r="HG154" i="117"/>
  <c r="HI154" i="117"/>
  <c r="HJ154" i="117"/>
  <c r="HK154" i="117"/>
  <c r="HG155" i="117"/>
  <c r="HI155" i="117"/>
  <c r="HJ155" i="117"/>
  <c r="HK155" i="117"/>
  <c r="HG156" i="117"/>
  <c r="HI156" i="117"/>
  <c r="HJ156" i="117"/>
  <c r="HK156" i="117"/>
  <c r="HG157" i="117"/>
  <c r="HI157" i="117"/>
  <c r="HJ157" i="117"/>
  <c r="HK157" i="117"/>
  <c r="HG158" i="117"/>
  <c r="HI158" i="117"/>
  <c r="HJ158" i="117"/>
  <c r="HK158" i="117"/>
  <c r="HG159" i="117"/>
  <c r="HI159" i="117"/>
  <c r="HJ159" i="117"/>
  <c r="HK159" i="117"/>
  <c r="HG160" i="117"/>
  <c r="HI160" i="117"/>
  <c r="HJ160" i="117"/>
  <c r="HK160" i="117"/>
  <c r="HG161" i="117"/>
  <c r="HI161" i="117"/>
  <c r="HJ161" i="117"/>
  <c r="HK161" i="117"/>
  <c r="HG162" i="117"/>
  <c r="I277" i="39" s="1"/>
  <c r="HI162" i="117"/>
  <c r="L277" i="39" s="1"/>
  <c r="HJ162" i="117"/>
  <c r="HK162" i="117"/>
  <c r="HG163" i="117"/>
  <c r="HI163" i="117"/>
  <c r="HJ163" i="117"/>
  <c r="HK163" i="117"/>
  <c r="HG164" i="117"/>
  <c r="HI164" i="117"/>
  <c r="HJ164" i="117"/>
  <c r="HK164" i="117"/>
  <c r="HG165" i="117"/>
  <c r="K279" i="39" s="1"/>
  <c r="HI165" i="117"/>
  <c r="HJ165" i="117"/>
  <c r="HK165" i="117"/>
  <c r="HI3" i="117"/>
  <c r="HJ3" i="117"/>
  <c r="HK3" i="117"/>
  <c r="HG3" i="117"/>
  <c r="GX4" i="117"/>
  <c r="AH11" i="4" s="1"/>
  <c r="GX5" i="117"/>
  <c r="GX6" i="117"/>
  <c r="AH13" i="4" s="1"/>
  <c r="GX7" i="117"/>
  <c r="AH14" i="4" s="1"/>
  <c r="GX8" i="117"/>
  <c r="AH15" i="4" s="1"/>
  <c r="GX9" i="117"/>
  <c r="GX10" i="117"/>
  <c r="AH17" i="4" s="1"/>
  <c r="GX11" i="117"/>
  <c r="AH18" i="4" s="1"/>
  <c r="GX12" i="117"/>
  <c r="AH19" i="4" s="1"/>
  <c r="GX13" i="117"/>
  <c r="GX14" i="117"/>
  <c r="AH21" i="4" s="1"/>
  <c r="GX15" i="117"/>
  <c r="AH22" i="4" s="1"/>
  <c r="GX16" i="117"/>
  <c r="AH24" i="4" s="1"/>
  <c r="GX17" i="117"/>
  <c r="AH25" i="4" s="1"/>
  <c r="GX18" i="117"/>
  <c r="AH26" i="4" s="1"/>
  <c r="GX19" i="117"/>
  <c r="AH27" i="4" s="1"/>
  <c r="GX20" i="117"/>
  <c r="AH28" i="4" s="1"/>
  <c r="GX21" i="117"/>
  <c r="GX22" i="117"/>
  <c r="AH30" i="4" s="1"/>
  <c r="GX23" i="117"/>
  <c r="AH31" i="4" s="1"/>
  <c r="GX24" i="117"/>
  <c r="GX25" i="117"/>
  <c r="AH33" i="4" s="1"/>
  <c r="GX26" i="117"/>
  <c r="AH35" i="4" s="1"/>
  <c r="GX27" i="117"/>
  <c r="AH37" i="4" s="1"/>
  <c r="GX28" i="117"/>
  <c r="AH38" i="4" s="1"/>
  <c r="GX29" i="117"/>
  <c r="GX30" i="117"/>
  <c r="GX31" i="117"/>
  <c r="AH42" i="4" s="1"/>
  <c r="GX32" i="117"/>
  <c r="AH43" i="4" s="1"/>
  <c r="GX33" i="117"/>
  <c r="AH44" i="4" s="1"/>
  <c r="GX34" i="117"/>
  <c r="AH45" i="4" s="1"/>
  <c r="GX35" i="117"/>
  <c r="AH46" i="4" s="1"/>
  <c r="GX36" i="117"/>
  <c r="AH48" i="4" s="1"/>
  <c r="GX37" i="117"/>
  <c r="GX38" i="117"/>
  <c r="GX39" i="117"/>
  <c r="GX40" i="117"/>
  <c r="GX41" i="117"/>
  <c r="AH55" i="4" s="1"/>
  <c r="GX42" i="117"/>
  <c r="AH56" i="4" s="1"/>
  <c r="GX43" i="117"/>
  <c r="AH57" i="4" s="1"/>
  <c r="GX44" i="117"/>
  <c r="AH58" i="4" s="1"/>
  <c r="GX45" i="117"/>
  <c r="GX46" i="117"/>
  <c r="GX47" i="117"/>
  <c r="GX48" i="117"/>
  <c r="AH62" i="4" s="1"/>
  <c r="GX49" i="117"/>
  <c r="GX50" i="117"/>
  <c r="AH64" i="4" s="1"/>
  <c r="GX51" i="117"/>
  <c r="AH65" i="4" s="1"/>
  <c r="GX52" i="117"/>
  <c r="AH66" i="4" s="1"/>
  <c r="GX53" i="117"/>
  <c r="GX54" i="117"/>
  <c r="GX55" i="117"/>
  <c r="AH71" i="4" s="1"/>
  <c r="GX56" i="117"/>
  <c r="AH72" i="4" s="1"/>
  <c r="GX57" i="117"/>
  <c r="GX58" i="117"/>
  <c r="GX59" i="117"/>
  <c r="AH75" i="4" s="1"/>
  <c r="GX60" i="117"/>
  <c r="AH76" i="4" s="1"/>
  <c r="GX61" i="117"/>
  <c r="GX62" i="117"/>
  <c r="GX63" i="117"/>
  <c r="GX64" i="117"/>
  <c r="AH85" i="4" s="1"/>
  <c r="GX65" i="117"/>
  <c r="AH86" i="4" s="1"/>
  <c r="GX66" i="117"/>
  <c r="GX67" i="117"/>
  <c r="AH89" i="4" s="1"/>
  <c r="GX68" i="117"/>
  <c r="AH90" i="4" s="1"/>
  <c r="GX69" i="117"/>
  <c r="GX70" i="117"/>
  <c r="GX71" i="117"/>
  <c r="AH94" i="4" s="1"/>
  <c r="GX72" i="117"/>
  <c r="AH95" i="4" s="1"/>
  <c r="GX73" i="117"/>
  <c r="GX74" i="117"/>
  <c r="GX75" i="117"/>
  <c r="AH98" i="4" s="1"/>
  <c r="GX76" i="117"/>
  <c r="AH99" i="4" s="1"/>
  <c r="GX77" i="117"/>
  <c r="GX78" i="117"/>
  <c r="GX79" i="117"/>
  <c r="AH102" i="4" s="1"/>
  <c r="GX80" i="117"/>
  <c r="AH103" i="4" s="1"/>
  <c r="GX81" i="117"/>
  <c r="GX82" i="117"/>
  <c r="GX83" i="117"/>
  <c r="AH108" i="4" s="1"/>
  <c r="GX84" i="117"/>
  <c r="AH109" i="4" s="1"/>
  <c r="GX85" i="117"/>
  <c r="GX86" i="117"/>
  <c r="GX87" i="117"/>
  <c r="AH118" i="4" s="1"/>
  <c r="GX88" i="117"/>
  <c r="AH119" i="4" s="1"/>
  <c r="GX89" i="117"/>
  <c r="GX90" i="117"/>
  <c r="GX91" i="117"/>
  <c r="AH124" i="4" s="1"/>
  <c r="GX92" i="117"/>
  <c r="AH125" i="4" s="1"/>
  <c r="GX93" i="117"/>
  <c r="GX94" i="117"/>
  <c r="GX95" i="117"/>
  <c r="AH128" i="4" s="1"/>
  <c r="GX96" i="117"/>
  <c r="AH129" i="4" s="1"/>
  <c r="GX97" i="117"/>
  <c r="GX98" i="117"/>
  <c r="GX99" i="117"/>
  <c r="AH132" i="4" s="1"/>
  <c r="GX100" i="117"/>
  <c r="AH133" i="4" s="1"/>
  <c r="GX101" i="117"/>
  <c r="GX102" i="117"/>
  <c r="GX103" i="117"/>
  <c r="GX104" i="117"/>
  <c r="AH137" i="4" s="1"/>
  <c r="GX105" i="117"/>
  <c r="GX106" i="117"/>
  <c r="AH139" i="4" s="1"/>
  <c r="GX107" i="117"/>
  <c r="AH140" i="4" s="1"/>
  <c r="GX108" i="117"/>
  <c r="AH142" i="4" s="1"/>
  <c r="GX109" i="117"/>
  <c r="AH143" i="4" s="1"/>
  <c r="GX110" i="117"/>
  <c r="GX111" i="117"/>
  <c r="AH145" i="4" s="1"/>
  <c r="GX112" i="117"/>
  <c r="GX113" i="117"/>
  <c r="AH147" i="4" s="1"/>
  <c r="GX114" i="117"/>
  <c r="GX115" i="117"/>
  <c r="AH154" i="4" s="1"/>
  <c r="GX116" i="117"/>
  <c r="GX117" i="117"/>
  <c r="GX118" i="117"/>
  <c r="GX119" i="117"/>
  <c r="AH161" i="4" s="1"/>
  <c r="GX120" i="117"/>
  <c r="AH162" i="4" s="1"/>
  <c r="GX121" i="117"/>
  <c r="GX122" i="117"/>
  <c r="GX123" i="117"/>
  <c r="AH168" i="4" s="1"/>
  <c r="GX124" i="117"/>
  <c r="AH169" i="4" s="1"/>
  <c r="GX125" i="117"/>
  <c r="GX126" i="117"/>
  <c r="GX127" i="117"/>
  <c r="GX128" i="117"/>
  <c r="AH176" i="4" s="1"/>
  <c r="GX129" i="117"/>
  <c r="GX130" i="117"/>
  <c r="GX131" i="117"/>
  <c r="GX132" i="117"/>
  <c r="AH179" i="4" s="1"/>
  <c r="GX133" i="117"/>
  <c r="GX134" i="117"/>
  <c r="GX3" i="117"/>
  <c r="AH10" i="4" s="1"/>
  <c r="JO58" i="116"/>
  <c r="JP58" i="116"/>
  <c r="JQ58" i="116"/>
  <c r="JO4" i="116"/>
  <c r="JP4" i="116"/>
  <c r="JQ4" i="116"/>
  <c r="JO5" i="116"/>
  <c r="JP5" i="116"/>
  <c r="JP59" i="116" s="1"/>
  <c r="JQ5" i="116"/>
  <c r="JO6" i="116"/>
  <c r="JP6" i="116"/>
  <c r="JQ6" i="116"/>
  <c r="JO7" i="116"/>
  <c r="JP7" i="116"/>
  <c r="JQ7" i="116"/>
  <c r="JO8" i="116"/>
  <c r="JP8" i="116"/>
  <c r="JQ8" i="116"/>
  <c r="JO9" i="116"/>
  <c r="JP9" i="116"/>
  <c r="M16" i="35" s="1"/>
  <c r="JQ9" i="116"/>
  <c r="JO10" i="116"/>
  <c r="JP10" i="116"/>
  <c r="M18" i="35" s="1"/>
  <c r="JQ10" i="116"/>
  <c r="JO11" i="116"/>
  <c r="JP11" i="116"/>
  <c r="JQ11" i="116"/>
  <c r="JO12" i="116"/>
  <c r="JP12" i="116"/>
  <c r="JQ12" i="116"/>
  <c r="JO13" i="116"/>
  <c r="JP13" i="116"/>
  <c r="M19" i="35" s="1"/>
  <c r="JQ13" i="116"/>
  <c r="JO14" i="116"/>
  <c r="JP14" i="116"/>
  <c r="JQ14" i="116"/>
  <c r="JO15" i="116"/>
  <c r="JP15" i="116"/>
  <c r="JQ15" i="116"/>
  <c r="JO16" i="116"/>
  <c r="JP16" i="116"/>
  <c r="JQ16" i="116"/>
  <c r="JO17" i="116"/>
  <c r="JP17" i="116"/>
  <c r="JQ17" i="116"/>
  <c r="JO18" i="116"/>
  <c r="JP18" i="116"/>
  <c r="JQ18" i="116"/>
  <c r="JO19" i="116"/>
  <c r="JP19" i="116"/>
  <c r="JQ19" i="116"/>
  <c r="JO20" i="116"/>
  <c r="JP20" i="116"/>
  <c r="JQ20" i="116"/>
  <c r="JO21" i="116"/>
  <c r="JP21" i="116"/>
  <c r="JQ21" i="116"/>
  <c r="JO22" i="116"/>
  <c r="JP22" i="116"/>
  <c r="JQ22" i="116"/>
  <c r="JO23" i="116"/>
  <c r="JP23" i="116"/>
  <c r="JQ23" i="116"/>
  <c r="JO24" i="116"/>
  <c r="JP24" i="116"/>
  <c r="JQ24" i="116"/>
  <c r="JO25" i="116"/>
  <c r="JP25" i="116"/>
  <c r="JQ25" i="116"/>
  <c r="JO26" i="116"/>
  <c r="JP26" i="116"/>
  <c r="JQ26" i="116"/>
  <c r="JO27" i="116"/>
  <c r="JP27" i="116"/>
  <c r="JQ27" i="116"/>
  <c r="JO28" i="116"/>
  <c r="JP28" i="116"/>
  <c r="JQ28" i="116"/>
  <c r="JO29" i="116"/>
  <c r="JP29" i="116"/>
  <c r="JQ29" i="116"/>
  <c r="JO30" i="116"/>
  <c r="JP30" i="116"/>
  <c r="JQ30" i="116"/>
  <c r="JO31" i="116"/>
  <c r="JP31" i="116"/>
  <c r="JQ31" i="116"/>
  <c r="JO32" i="116"/>
  <c r="JP32" i="116"/>
  <c r="JQ32" i="116"/>
  <c r="JO33" i="116"/>
  <c r="JP33" i="116"/>
  <c r="JQ33" i="116"/>
  <c r="JO34" i="116"/>
  <c r="JP34" i="116"/>
  <c r="JQ34" i="116"/>
  <c r="JO35" i="116"/>
  <c r="JP35" i="116"/>
  <c r="JQ35" i="116"/>
  <c r="JO36" i="116"/>
  <c r="JP36" i="116"/>
  <c r="JQ36" i="116"/>
  <c r="JO37" i="116"/>
  <c r="JP37" i="116"/>
  <c r="JQ37" i="116"/>
  <c r="JO38" i="116"/>
  <c r="JP38" i="116"/>
  <c r="JQ38" i="116"/>
  <c r="JO39" i="116"/>
  <c r="JP39" i="116"/>
  <c r="JQ39" i="116"/>
  <c r="JO40" i="116"/>
  <c r="JP40" i="116"/>
  <c r="JQ40" i="116"/>
  <c r="JO41" i="116"/>
  <c r="JP41" i="116"/>
  <c r="JQ41" i="116"/>
  <c r="JO42" i="116"/>
  <c r="JP42" i="116"/>
  <c r="JQ42" i="116"/>
  <c r="JO43" i="116"/>
  <c r="JP43" i="116"/>
  <c r="JQ43" i="116"/>
  <c r="JO44" i="116"/>
  <c r="JP44" i="116"/>
  <c r="JQ44" i="116"/>
  <c r="JO45" i="116"/>
  <c r="JP45" i="116"/>
  <c r="JQ45" i="116"/>
  <c r="JO46" i="116"/>
  <c r="JP46" i="116"/>
  <c r="JQ46" i="116"/>
  <c r="JO47" i="116"/>
  <c r="JP47" i="116"/>
  <c r="JQ47" i="116"/>
  <c r="JO48" i="116"/>
  <c r="JP48" i="116"/>
  <c r="JQ48" i="116"/>
  <c r="JO49" i="116"/>
  <c r="JP49" i="116"/>
  <c r="JQ49" i="116"/>
  <c r="JO50" i="116"/>
  <c r="JP50" i="116"/>
  <c r="JQ50" i="116"/>
  <c r="JO51" i="116"/>
  <c r="JP51" i="116"/>
  <c r="JQ51" i="116"/>
  <c r="JO52" i="116"/>
  <c r="JP52" i="116"/>
  <c r="JQ52" i="116"/>
  <c r="JO53" i="116"/>
  <c r="JP53" i="116"/>
  <c r="JQ53" i="116"/>
  <c r="JO54" i="116"/>
  <c r="JP54" i="116"/>
  <c r="JQ54" i="116"/>
  <c r="JO55" i="116"/>
  <c r="JP55" i="116"/>
  <c r="JQ55" i="116"/>
  <c r="JO56" i="116"/>
  <c r="JP56" i="116"/>
  <c r="JQ56" i="116"/>
  <c r="JO57" i="116"/>
  <c r="JP57" i="116"/>
  <c r="JQ57" i="116"/>
  <c r="JP3" i="116"/>
  <c r="JQ3" i="116"/>
  <c r="JQ59" i="116" s="1"/>
  <c r="JO3" i="116"/>
  <c r="AH15" i="35"/>
  <c r="AH21" i="35"/>
  <c r="AH31" i="35"/>
  <c r="AH44" i="35"/>
  <c r="JC4" i="116"/>
  <c r="AH16" i="35" s="1"/>
  <c r="JC5" i="116"/>
  <c r="JC6" i="116"/>
  <c r="AH17" i="35" s="1"/>
  <c r="JC7" i="116"/>
  <c r="AH25" i="35" s="1"/>
  <c r="JC8" i="116"/>
  <c r="AH22" i="35" s="1"/>
  <c r="JC9" i="116"/>
  <c r="AH23" i="35" s="1"/>
  <c r="JC10" i="116"/>
  <c r="JC11" i="116"/>
  <c r="AH27" i="35" s="1"/>
  <c r="AH26" i="35" s="1"/>
  <c r="JC12" i="116"/>
  <c r="AH29" i="35" s="1"/>
  <c r="AH28" i="35" s="1"/>
  <c r="JC13" i="116"/>
  <c r="JC14" i="116"/>
  <c r="AH33" i="35" s="1"/>
  <c r="JC15" i="116"/>
  <c r="AH35" i="35" s="1"/>
  <c r="JC16" i="116"/>
  <c r="AH42" i="35" s="1"/>
  <c r="JC17" i="116"/>
  <c r="AH43" i="35" s="1"/>
  <c r="JC18" i="116"/>
  <c r="JC19" i="116"/>
  <c r="AH46" i="35" s="1"/>
  <c r="JC3" i="116"/>
  <c r="JW4" i="115"/>
  <c r="JX4" i="115"/>
  <c r="JY4" i="115"/>
  <c r="JW5" i="115"/>
  <c r="JX5" i="115"/>
  <c r="JY5" i="115"/>
  <c r="JW6" i="115"/>
  <c r="JX6" i="115"/>
  <c r="JY6" i="115"/>
  <c r="JW7" i="115"/>
  <c r="JX7" i="115"/>
  <c r="JY7" i="115"/>
  <c r="JW8" i="115"/>
  <c r="JX8" i="115"/>
  <c r="JY8" i="115"/>
  <c r="JW9" i="115"/>
  <c r="JX9" i="115"/>
  <c r="JY9" i="115"/>
  <c r="JW10" i="115"/>
  <c r="JX10" i="115"/>
  <c r="JY10" i="115"/>
  <c r="JW11" i="115"/>
  <c r="JX11" i="115"/>
  <c r="JY11" i="115"/>
  <c r="JW12" i="115"/>
  <c r="JX12" i="115"/>
  <c r="JY12" i="115"/>
  <c r="JW13" i="115"/>
  <c r="JX13" i="115"/>
  <c r="JY13" i="115"/>
  <c r="JW14" i="115"/>
  <c r="JX14" i="115"/>
  <c r="JY14" i="115"/>
  <c r="JW15" i="115"/>
  <c r="JX15" i="115"/>
  <c r="JY15" i="115"/>
  <c r="JW16" i="115"/>
  <c r="JX16" i="115"/>
  <c r="JY16" i="115"/>
  <c r="JW17" i="115"/>
  <c r="JX17" i="115"/>
  <c r="JY17" i="115"/>
  <c r="JW18" i="115"/>
  <c r="JX18" i="115"/>
  <c r="JY18" i="115"/>
  <c r="JW19" i="115"/>
  <c r="JX19" i="115"/>
  <c r="JY19" i="115"/>
  <c r="JW20" i="115"/>
  <c r="JX20" i="115"/>
  <c r="JY20" i="115"/>
  <c r="JW21" i="115"/>
  <c r="JX21" i="115"/>
  <c r="JY21" i="115"/>
  <c r="JW22" i="115"/>
  <c r="JX22" i="115"/>
  <c r="JY22" i="115"/>
  <c r="JW23" i="115"/>
  <c r="JX23" i="115"/>
  <c r="JY23" i="115"/>
  <c r="JW24" i="115"/>
  <c r="JX24" i="115"/>
  <c r="JY24" i="115"/>
  <c r="JW25" i="115"/>
  <c r="JX25" i="115"/>
  <c r="JY25" i="115"/>
  <c r="JW26" i="115"/>
  <c r="JX26" i="115"/>
  <c r="JY26" i="115"/>
  <c r="JW27" i="115"/>
  <c r="I255" i="39" s="1"/>
  <c r="JX27" i="115"/>
  <c r="JY27" i="115"/>
  <c r="JW28" i="115"/>
  <c r="JX28" i="115"/>
  <c r="L255" i="39" s="1"/>
  <c r="JY28" i="115"/>
  <c r="JW29" i="115"/>
  <c r="JX29" i="115"/>
  <c r="JY29" i="115"/>
  <c r="JW30" i="115"/>
  <c r="JX30" i="115"/>
  <c r="JY30" i="115"/>
  <c r="JW31" i="115"/>
  <c r="JX31" i="115"/>
  <c r="JY31" i="115"/>
  <c r="JW32" i="115"/>
  <c r="JX32" i="115"/>
  <c r="JY32" i="115"/>
  <c r="JW33" i="115"/>
  <c r="JX33" i="115"/>
  <c r="JY33" i="115"/>
  <c r="JW34" i="115"/>
  <c r="JX34" i="115"/>
  <c r="JY34" i="115"/>
  <c r="JW35" i="115"/>
  <c r="JX35" i="115"/>
  <c r="JY35" i="115"/>
  <c r="JW36" i="115"/>
  <c r="JX36" i="115"/>
  <c r="JY36" i="115"/>
  <c r="JW37" i="115"/>
  <c r="JX37" i="115"/>
  <c r="JY37" i="115"/>
  <c r="JW38" i="115"/>
  <c r="JX38" i="115"/>
  <c r="JY38" i="115"/>
  <c r="JW39" i="115"/>
  <c r="JX39" i="115"/>
  <c r="JY39" i="115"/>
  <c r="JW40" i="115"/>
  <c r="JX40" i="115"/>
  <c r="JY40" i="115"/>
  <c r="JW41" i="115"/>
  <c r="JX41" i="115"/>
  <c r="JY41" i="115"/>
  <c r="JW42" i="115"/>
  <c r="JX42" i="115"/>
  <c r="JY42" i="115"/>
  <c r="JW43" i="115"/>
  <c r="JX43" i="115"/>
  <c r="JY43" i="115"/>
  <c r="JW44" i="115"/>
  <c r="JX44" i="115"/>
  <c r="JY44" i="115"/>
  <c r="JW45" i="115"/>
  <c r="JX45" i="115"/>
  <c r="JY45" i="115"/>
  <c r="JW46" i="115"/>
  <c r="JX46" i="115"/>
  <c r="JY46" i="115"/>
  <c r="JW47" i="115"/>
  <c r="JX47" i="115"/>
  <c r="JY47" i="115"/>
  <c r="JW48" i="115"/>
  <c r="JX48" i="115"/>
  <c r="JY48" i="115"/>
  <c r="JW49" i="115"/>
  <c r="JX49" i="115"/>
  <c r="JY49" i="115"/>
  <c r="JW50" i="115"/>
  <c r="JX50" i="115"/>
  <c r="JY50" i="115"/>
  <c r="JW51" i="115"/>
  <c r="JX51" i="115"/>
  <c r="JY51" i="115"/>
  <c r="JW52" i="115"/>
  <c r="JX52" i="115"/>
  <c r="JY52" i="115"/>
  <c r="JW53" i="115"/>
  <c r="JX53" i="115"/>
  <c r="JY53" i="115"/>
  <c r="JW54" i="115"/>
  <c r="JX54" i="115"/>
  <c r="JY54" i="115"/>
  <c r="JW55" i="115"/>
  <c r="JX55" i="115"/>
  <c r="JY55" i="115"/>
  <c r="JW56" i="115"/>
  <c r="JX56" i="115"/>
  <c r="JY56" i="115"/>
  <c r="JX3" i="115"/>
  <c r="JY3" i="115"/>
  <c r="JW3" i="115"/>
  <c r="AH18" i="37"/>
  <c r="AH21" i="37"/>
  <c r="AH24" i="37"/>
  <c r="AH23" i="37" s="1"/>
  <c r="AH38" i="37"/>
  <c r="AH44" i="37"/>
  <c r="AH47" i="37"/>
  <c r="JK4" i="115"/>
  <c r="AH17" i="37" s="1"/>
  <c r="JK5" i="115"/>
  <c r="AH19" i="37" s="1"/>
  <c r="JK6" i="115"/>
  <c r="AH22" i="37" s="1"/>
  <c r="JK7" i="115"/>
  <c r="JK8" i="115"/>
  <c r="JK9" i="115"/>
  <c r="AH34" i="37" s="1"/>
  <c r="AH33" i="37" s="1"/>
  <c r="JK10" i="115"/>
  <c r="AH50" i="37" s="1"/>
  <c r="JK11" i="115"/>
  <c r="JL11" i="115" s="1"/>
  <c r="JK12" i="115"/>
  <c r="JK13" i="115"/>
  <c r="JK14" i="115"/>
  <c r="AH39" i="37" s="1"/>
  <c r="JK15" i="115"/>
  <c r="AH40" i="37" s="1"/>
  <c r="JK16" i="115"/>
  <c r="AH41" i="37" s="1"/>
  <c r="JK17" i="115"/>
  <c r="AH43" i="37" s="1"/>
  <c r="JK18" i="115"/>
  <c r="JK19" i="115"/>
  <c r="AH45" i="37" s="1"/>
  <c r="JK20" i="115"/>
  <c r="AH46" i="37" s="1"/>
  <c r="JK21" i="115"/>
  <c r="JK22" i="115"/>
  <c r="AH48" i="37" s="1"/>
  <c r="JK23" i="115"/>
  <c r="AH49" i="37" s="1"/>
  <c r="JK3" i="115"/>
  <c r="H32" i="54"/>
  <c r="GZ4" i="114"/>
  <c r="HA4" i="114"/>
  <c r="HB4" i="114"/>
  <c r="GZ5" i="114"/>
  <c r="HA5" i="114"/>
  <c r="HB5" i="114"/>
  <c r="GZ6" i="114"/>
  <c r="HA6" i="114"/>
  <c r="HB6" i="114"/>
  <c r="GZ7" i="114"/>
  <c r="HA7" i="114"/>
  <c r="HB7" i="114"/>
  <c r="GZ8" i="114"/>
  <c r="HA8" i="114"/>
  <c r="HB8" i="114"/>
  <c r="HA3" i="114"/>
  <c r="HB3" i="114"/>
  <c r="GZ3" i="114"/>
  <c r="GQ4" i="114"/>
  <c r="AH57" i="54" s="1"/>
  <c r="AH35" i="54" s="1"/>
  <c r="AH9" i="54" s="1"/>
  <c r="GQ5" i="114"/>
  <c r="GQ6" i="114"/>
  <c r="GQ7" i="114"/>
  <c r="GQ3" i="114"/>
  <c r="I199" i="39" l="1"/>
  <c r="N199" i="39"/>
  <c r="M276" i="39"/>
  <c r="M202" i="39"/>
  <c r="M178" i="39"/>
  <c r="M190" i="39"/>
  <c r="O203" i="39"/>
  <c r="M275" i="39"/>
  <c r="O24" i="39"/>
  <c r="M255" i="39"/>
  <c r="O191" i="39"/>
  <c r="O149" i="39"/>
  <c r="O279" i="39"/>
  <c r="O178" i="39"/>
  <c r="O55" i="39"/>
  <c r="O202" i="39"/>
  <c r="M277" i="39"/>
  <c r="M194" i="39"/>
  <c r="M191" i="39"/>
  <c r="M149" i="39"/>
  <c r="O194" i="39"/>
  <c r="O190" i="39"/>
  <c r="M17" i="35"/>
  <c r="AH42" i="37"/>
  <c r="AH37" i="37"/>
  <c r="N62" i="39"/>
  <c r="O62" i="39" s="1"/>
  <c r="L62" i="39"/>
  <c r="M62" i="39" s="1"/>
  <c r="JO59" i="116"/>
  <c r="M15" i="35"/>
  <c r="I193" i="39"/>
  <c r="I110" i="39"/>
  <c r="JC20" i="116"/>
  <c r="AH19" i="35"/>
  <c r="AH14" i="35" s="1"/>
  <c r="N57" i="54"/>
  <c r="N234" i="39" s="1"/>
  <c r="L33" i="37"/>
  <c r="L230" i="39"/>
  <c r="L31" i="39"/>
  <c r="M31" i="39" s="1"/>
  <c r="I32" i="54"/>
  <c r="JW57" i="115"/>
  <c r="AH30" i="35"/>
  <c r="L9" i="4"/>
  <c r="JY57" i="115"/>
  <c r="N31" i="39"/>
  <c r="O31" i="39" s="1"/>
  <c r="JX57" i="115"/>
  <c r="N9" i="4"/>
  <c r="L55" i="39"/>
  <c r="M55" i="39" s="1"/>
  <c r="AH51" i="37"/>
  <c r="AH32" i="4"/>
  <c r="AH150" i="4"/>
  <c r="AH121" i="4"/>
  <c r="AH88" i="4"/>
  <c r="AH146" i="4"/>
  <c r="AH178" i="4"/>
  <c r="AH138" i="4"/>
  <c r="AH107" i="4"/>
  <c r="AH81" i="4"/>
  <c r="AH61" i="4"/>
  <c r="AH177" i="4"/>
  <c r="AH136" i="4"/>
  <c r="AH104" i="4"/>
  <c r="AH74" i="4"/>
  <c r="AH52" i="4"/>
  <c r="AH175" i="4"/>
  <c r="AH131" i="4"/>
  <c r="AH73" i="4"/>
  <c r="AH144" i="4"/>
  <c r="AH51" i="4"/>
  <c r="AH167" i="4"/>
  <c r="AH130" i="4"/>
  <c r="AH97" i="4"/>
  <c r="AH163" i="4"/>
  <c r="AH96" i="4"/>
  <c r="AH122" i="4"/>
  <c r="AH156" i="4"/>
  <c r="AH40" i="4"/>
  <c r="AH126" i="4"/>
  <c r="AH92" i="4"/>
  <c r="AH68" i="4"/>
  <c r="AH49" i="4"/>
  <c r="AH12" i="4"/>
  <c r="AH20" i="4"/>
  <c r="AH170" i="4"/>
  <c r="AH134" i="4"/>
  <c r="AH115" i="4"/>
  <c r="AH78" i="4"/>
  <c r="AH59" i="4"/>
  <c r="AH29" i="4"/>
  <c r="AH100" i="4"/>
  <c r="AH60" i="4"/>
  <c r="AH50" i="4"/>
  <c r="AH41" i="4"/>
  <c r="AH16" i="4"/>
  <c r="AH174" i="4"/>
  <c r="AH158" i="4"/>
  <c r="AH135" i="4"/>
  <c r="AH127" i="4"/>
  <c r="AH116" i="4"/>
  <c r="AH101" i="4"/>
  <c r="AH93" i="4"/>
  <c r="AH79" i="4"/>
  <c r="AH69" i="4"/>
  <c r="AH63" i="4"/>
  <c r="AH155" i="4"/>
  <c r="AH20" i="35"/>
  <c r="N20" i="35"/>
  <c r="AH41" i="35"/>
  <c r="AH40" i="35" s="1"/>
  <c r="AH39" i="35" s="1"/>
  <c r="N50" i="37"/>
  <c r="AH16" i="37"/>
  <c r="AH14" i="37" s="1"/>
  <c r="AH12" i="37" s="1"/>
  <c r="K16" i="37"/>
  <c r="N34" i="37"/>
  <c r="O34" i="37" s="1"/>
  <c r="N154" i="39"/>
  <c r="M278" i="39"/>
  <c r="O154" i="39" l="1"/>
  <c r="I189" i="39"/>
  <c r="K193" i="39"/>
  <c r="O199" i="39"/>
  <c r="O193" i="39"/>
  <c r="M110" i="39"/>
  <c r="AH13" i="35"/>
  <c r="AH10" i="35" s="1"/>
  <c r="AH9" i="35" s="1"/>
  <c r="AH36" i="37"/>
  <c r="O50" i="37"/>
  <c r="M168" i="39"/>
  <c r="M161" i="39"/>
  <c r="L24" i="39"/>
  <c r="M24" i="39" s="1"/>
  <c r="AH9" i="4"/>
  <c r="O234" i="39" l="1"/>
  <c r="M158" i="39"/>
  <c r="M164" i="39"/>
  <c r="M169" i="39"/>
  <c r="FY4" i="117" l="1"/>
  <c r="FZ4" i="117"/>
  <c r="GA4" i="117"/>
  <c r="FY5" i="117"/>
  <c r="FZ5" i="117"/>
  <c r="GA5" i="117"/>
  <c r="FY6" i="117"/>
  <c r="FZ6" i="117"/>
  <c r="GA6" i="117"/>
  <c r="FY7" i="117"/>
  <c r="FZ7" i="117"/>
  <c r="GA7" i="117"/>
  <c r="AG14" i="4" s="1"/>
  <c r="FY8" i="117"/>
  <c r="FZ8" i="117"/>
  <c r="GA8" i="117"/>
  <c r="FY9" i="117"/>
  <c r="FZ9" i="117"/>
  <c r="GA9" i="117"/>
  <c r="FY10" i="117"/>
  <c r="FZ10" i="117"/>
  <c r="GA10" i="117"/>
  <c r="FY11" i="117"/>
  <c r="FZ11" i="117"/>
  <c r="GA11" i="117"/>
  <c r="AG18" i="4" s="1"/>
  <c r="FY12" i="117"/>
  <c r="FZ12" i="117"/>
  <c r="GA12" i="117"/>
  <c r="FY13" i="117"/>
  <c r="FZ13" i="117"/>
  <c r="GA13" i="117"/>
  <c r="AG20" i="4" s="1"/>
  <c r="FY14" i="117"/>
  <c r="FZ14" i="117"/>
  <c r="GA14" i="117"/>
  <c r="AG21" i="4" s="1"/>
  <c r="FY15" i="117"/>
  <c r="FZ15" i="117"/>
  <c r="GA15" i="117"/>
  <c r="AG22" i="4" s="1"/>
  <c r="FY16" i="117"/>
  <c r="FZ16" i="117"/>
  <c r="GA16" i="117"/>
  <c r="FY17" i="117"/>
  <c r="FZ17" i="117"/>
  <c r="GA17" i="117"/>
  <c r="FY18" i="117"/>
  <c r="FZ18" i="117"/>
  <c r="GA18" i="117"/>
  <c r="AG27" i="4" s="1"/>
  <c r="FY19" i="117"/>
  <c r="FZ19" i="117"/>
  <c r="GA19" i="117"/>
  <c r="AG28" i="4" s="1"/>
  <c r="FY20" i="117"/>
  <c r="FZ20" i="117"/>
  <c r="GA20" i="117"/>
  <c r="FY21" i="117"/>
  <c r="FZ21" i="117"/>
  <c r="GA21" i="117"/>
  <c r="FY22" i="117"/>
  <c r="FZ22" i="117"/>
  <c r="GA22" i="117"/>
  <c r="AG32" i="4" s="1"/>
  <c r="FY23" i="117"/>
  <c r="FZ23" i="117"/>
  <c r="GA23" i="117"/>
  <c r="AG33" i="4" s="1"/>
  <c r="FY24" i="117"/>
  <c r="FZ24" i="117"/>
  <c r="GA24" i="117"/>
  <c r="AG35" i="4" s="1"/>
  <c r="FY25" i="117"/>
  <c r="FZ25" i="117"/>
  <c r="GA25" i="117"/>
  <c r="FY26" i="117"/>
  <c r="FZ26" i="117"/>
  <c r="GA26" i="117"/>
  <c r="AG36" i="4" s="1"/>
  <c r="FY27" i="117"/>
  <c r="FZ27" i="117"/>
  <c r="GA27" i="117"/>
  <c r="FY28" i="117"/>
  <c r="FZ28" i="117"/>
  <c r="GA28" i="117"/>
  <c r="AG42" i="4" s="1"/>
  <c r="FY29" i="117"/>
  <c r="FZ29" i="117"/>
  <c r="GA29" i="117"/>
  <c r="FY30" i="117"/>
  <c r="FZ30" i="117"/>
  <c r="GA30" i="117"/>
  <c r="AG44" i="4" s="1"/>
  <c r="FY31" i="117"/>
  <c r="FZ31" i="117"/>
  <c r="GA31" i="117"/>
  <c r="AG45" i="4" s="1"/>
  <c r="FY32" i="117"/>
  <c r="FZ32" i="117"/>
  <c r="GA32" i="117"/>
  <c r="AG46" i="4" s="1"/>
  <c r="FY33" i="117"/>
  <c r="FZ33" i="117"/>
  <c r="GA33" i="117"/>
  <c r="FY34" i="117"/>
  <c r="FZ34" i="117"/>
  <c r="GA34" i="117"/>
  <c r="FY35" i="117"/>
  <c r="FZ35" i="117"/>
  <c r="GA35" i="117"/>
  <c r="AG50" i="4" s="1"/>
  <c r="FY36" i="117"/>
  <c r="FZ36" i="117"/>
  <c r="GA36" i="117"/>
  <c r="AG51" i="4" s="1"/>
  <c r="FY37" i="117"/>
  <c r="FZ37" i="117"/>
  <c r="GA37" i="117"/>
  <c r="FY38" i="117"/>
  <c r="FZ38" i="117"/>
  <c r="GA38" i="117"/>
  <c r="AG56" i="4" s="1"/>
  <c r="FY39" i="117"/>
  <c r="FZ39" i="117"/>
  <c r="GA39" i="117"/>
  <c r="FY40" i="117"/>
  <c r="FZ40" i="117"/>
  <c r="GA40" i="117"/>
  <c r="AG58" i="4" s="1"/>
  <c r="FY41" i="117"/>
  <c r="FZ41" i="117"/>
  <c r="GA41" i="117"/>
  <c r="FY42" i="117"/>
  <c r="FZ42" i="117"/>
  <c r="GA42" i="117"/>
  <c r="FY43" i="117"/>
  <c r="FZ43" i="117"/>
  <c r="GA43" i="117"/>
  <c r="AG61" i="4" s="1"/>
  <c r="FY44" i="117"/>
  <c r="FZ44" i="117"/>
  <c r="GA44" i="117"/>
  <c r="AG63" i="4" s="1"/>
  <c r="FY45" i="117"/>
  <c r="FZ45" i="117"/>
  <c r="GA45" i="117"/>
  <c r="FY46" i="117"/>
  <c r="FZ46" i="117"/>
  <c r="GA46" i="117"/>
  <c r="FY47" i="117"/>
  <c r="FZ47" i="117"/>
  <c r="GA47" i="117"/>
  <c r="AG66" i="4" s="1"/>
  <c r="FY48" i="117"/>
  <c r="FZ48" i="117"/>
  <c r="GA48" i="117"/>
  <c r="AG68" i="4" s="1"/>
  <c r="FY49" i="117"/>
  <c r="FZ49" i="117"/>
  <c r="GA49" i="117"/>
  <c r="FY50" i="117"/>
  <c r="FZ50" i="117"/>
  <c r="GA50" i="117"/>
  <c r="FY51" i="117"/>
  <c r="FZ51" i="117"/>
  <c r="GA51" i="117"/>
  <c r="AG73" i="4" s="1"/>
  <c r="FY52" i="117"/>
  <c r="FZ52" i="117"/>
  <c r="GA52" i="117"/>
  <c r="AG74" i="4" s="1"/>
  <c r="FY53" i="117"/>
  <c r="FZ53" i="117"/>
  <c r="GA53" i="117"/>
  <c r="AG75" i="4" s="1"/>
  <c r="FY54" i="117"/>
  <c r="FZ54" i="117"/>
  <c r="GA54" i="117"/>
  <c r="AG76" i="4" s="1"/>
  <c r="FY55" i="117"/>
  <c r="FZ55" i="117"/>
  <c r="GA55" i="117"/>
  <c r="FY56" i="117"/>
  <c r="FZ56" i="117"/>
  <c r="GA56" i="117"/>
  <c r="AG79" i="4" s="1"/>
  <c r="FY57" i="117"/>
  <c r="FZ57" i="117"/>
  <c r="GA57" i="117"/>
  <c r="FY58" i="117"/>
  <c r="FZ58" i="117"/>
  <c r="GA58" i="117"/>
  <c r="FY59" i="117"/>
  <c r="FZ59" i="117"/>
  <c r="GA59" i="117"/>
  <c r="FY60" i="117"/>
  <c r="FZ60" i="117"/>
  <c r="GA60" i="117"/>
  <c r="AG83" i="4" s="1"/>
  <c r="FY61" i="117"/>
  <c r="FZ61" i="117"/>
  <c r="GA61" i="117"/>
  <c r="AG84" i="4" s="1"/>
  <c r="FY62" i="117"/>
  <c r="FZ62" i="117"/>
  <c r="GA62" i="117"/>
  <c r="AG85" i="4" s="1"/>
  <c r="FY63" i="117"/>
  <c r="FZ63" i="117"/>
  <c r="GA63" i="117"/>
  <c r="AG86" i="4" s="1"/>
  <c r="FY64" i="117"/>
  <c r="FZ64" i="117"/>
  <c r="GA64" i="117"/>
  <c r="AG87" i="4" s="1"/>
  <c r="FY65" i="117"/>
  <c r="FZ65" i="117"/>
  <c r="GA65" i="117"/>
  <c r="FY66" i="117"/>
  <c r="FZ66" i="117"/>
  <c r="GA66" i="117"/>
  <c r="FY67" i="117"/>
  <c r="FZ67" i="117"/>
  <c r="GA67" i="117"/>
  <c r="FY68" i="117"/>
  <c r="FZ68" i="117"/>
  <c r="GA68" i="117"/>
  <c r="AG92" i="4" s="1"/>
  <c r="FY69" i="117"/>
  <c r="FZ69" i="117"/>
  <c r="GA69" i="117"/>
  <c r="FY70" i="117"/>
  <c r="FZ70" i="117"/>
  <c r="GA70" i="117"/>
  <c r="AG95" i="4" s="1"/>
  <c r="FY71" i="117"/>
  <c r="FZ71" i="117"/>
  <c r="GA71" i="117"/>
  <c r="AG96" i="4" s="1"/>
  <c r="FY72" i="117"/>
  <c r="FZ72" i="117"/>
  <c r="GA72" i="117"/>
  <c r="FY73" i="117"/>
  <c r="FZ73" i="117"/>
  <c r="GA73" i="117"/>
  <c r="FY74" i="117"/>
  <c r="FZ74" i="117"/>
  <c r="GA74" i="117"/>
  <c r="FY75" i="117"/>
  <c r="FZ75" i="117"/>
  <c r="GA75" i="117"/>
  <c r="AG101" i="4" s="1"/>
  <c r="FY76" i="117"/>
  <c r="FZ76" i="117"/>
  <c r="GA76" i="117"/>
  <c r="AG102" i="4" s="1"/>
  <c r="FY77" i="117"/>
  <c r="FZ77" i="117"/>
  <c r="GA77" i="117"/>
  <c r="FY78" i="117"/>
  <c r="FZ78" i="117"/>
  <c r="GA78" i="117"/>
  <c r="FY79" i="117"/>
  <c r="FZ79" i="117"/>
  <c r="GA79" i="117"/>
  <c r="AG105" i="4" s="1"/>
  <c r="FY80" i="117"/>
  <c r="FZ80" i="117"/>
  <c r="GA80" i="117"/>
  <c r="AG106" i="4" s="1"/>
  <c r="FY81" i="117"/>
  <c r="FZ81" i="117"/>
  <c r="GA81" i="117"/>
  <c r="FY82" i="117"/>
  <c r="FZ82" i="117"/>
  <c r="GA82" i="117"/>
  <c r="FY83" i="117"/>
  <c r="FZ83" i="117"/>
  <c r="GA83" i="117"/>
  <c r="AG110" i="4" s="1"/>
  <c r="FY84" i="117"/>
  <c r="FZ84" i="117"/>
  <c r="GA84" i="117"/>
  <c r="AG113" i="4" s="1"/>
  <c r="FY85" i="117"/>
  <c r="FZ85" i="117"/>
  <c r="GA85" i="117"/>
  <c r="FY86" i="117"/>
  <c r="FZ86" i="117"/>
  <c r="GA86" i="117"/>
  <c r="FY87" i="117"/>
  <c r="FZ87" i="117"/>
  <c r="GA87" i="117"/>
  <c r="AG118" i="4" s="1"/>
  <c r="FY88" i="117"/>
  <c r="FZ88" i="117"/>
  <c r="GA88" i="117"/>
  <c r="AG119" i="4" s="1"/>
  <c r="FY89" i="117"/>
  <c r="FZ89" i="117"/>
  <c r="GA89" i="117"/>
  <c r="FY90" i="117"/>
  <c r="FZ90" i="117"/>
  <c r="GA90" i="117"/>
  <c r="FY91" i="117"/>
  <c r="FZ91" i="117"/>
  <c r="GA91" i="117"/>
  <c r="FY92" i="117"/>
  <c r="FZ92" i="117"/>
  <c r="GA92" i="117"/>
  <c r="AG125" i="4" s="1"/>
  <c r="FY93" i="117"/>
  <c r="FZ93" i="117"/>
  <c r="GA93" i="117"/>
  <c r="FY94" i="117"/>
  <c r="FZ94" i="117"/>
  <c r="GA94" i="117"/>
  <c r="FY95" i="117"/>
  <c r="FZ95" i="117"/>
  <c r="GA95" i="117"/>
  <c r="FY96" i="117"/>
  <c r="FZ96" i="117"/>
  <c r="GA96" i="117"/>
  <c r="AG129" i="4" s="1"/>
  <c r="FY97" i="117"/>
  <c r="FZ97" i="117"/>
  <c r="GA97" i="117"/>
  <c r="FY98" i="117"/>
  <c r="FZ98" i="117"/>
  <c r="GA98" i="117"/>
  <c r="AG131" i="4" s="1"/>
  <c r="FY99" i="117"/>
  <c r="FZ99" i="117"/>
  <c r="GA99" i="117"/>
  <c r="AG133" i="4" s="1"/>
  <c r="FY100" i="117"/>
  <c r="FZ100" i="117"/>
  <c r="GA100" i="117"/>
  <c r="AG134" i="4" s="1"/>
  <c r="FY101" i="117"/>
  <c r="FZ101" i="117"/>
  <c r="GA101" i="117"/>
  <c r="FY102" i="117"/>
  <c r="FZ102" i="117"/>
  <c r="GA102" i="117"/>
  <c r="AG136" i="4" s="1"/>
  <c r="FY103" i="117"/>
  <c r="FZ103" i="117"/>
  <c r="GA103" i="117"/>
  <c r="AG137" i="4" s="1"/>
  <c r="FY104" i="117"/>
  <c r="FZ104" i="117"/>
  <c r="GA104" i="117"/>
  <c r="AG138" i="4" s="1"/>
  <c r="FY105" i="117"/>
  <c r="FZ105" i="117"/>
  <c r="GA105" i="117"/>
  <c r="FY106" i="117"/>
  <c r="FZ106" i="117"/>
  <c r="GA106" i="117"/>
  <c r="AG140" i="4" s="1"/>
  <c r="FY107" i="117"/>
  <c r="FZ107" i="117"/>
  <c r="GA107" i="117"/>
  <c r="AG141" i="4" s="1"/>
  <c r="FY108" i="117"/>
  <c r="FZ108" i="117"/>
  <c r="GA108" i="117"/>
  <c r="FY109" i="117"/>
  <c r="FZ109" i="117"/>
  <c r="GA109" i="117"/>
  <c r="FY110" i="117"/>
  <c r="FZ110" i="117"/>
  <c r="GA110" i="117"/>
  <c r="FY111" i="117"/>
  <c r="FZ111" i="117"/>
  <c r="GA111" i="117"/>
  <c r="FY112" i="117"/>
  <c r="FZ112" i="117"/>
  <c r="GA112" i="117"/>
  <c r="AG158" i="4" s="1"/>
  <c r="AG154" i="4" s="1"/>
  <c r="FY113" i="117"/>
  <c r="FZ113" i="117"/>
  <c r="GA113" i="117"/>
  <c r="FY114" i="117"/>
  <c r="FZ114" i="117"/>
  <c r="GA114" i="117"/>
  <c r="AG166" i="4" s="1"/>
  <c r="FY115" i="117"/>
  <c r="FZ115" i="117"/>
  <c r="GA115" i="117"/>
  <c r="AG167" i="4" s="1"/>
  <c r="FY116" i="117"/>
  <c r="FZ116" i="117"/>
  <c r="GA116" i="117"/>
  <c r="AG168" i="4" s="1"/>
  <c r="FY117" i="117"/>
  <c r="FZ117" i="117"/>
  <c r="GA117" i="117"/>
  <c r="AG169" i="4" s="1"/>
  <c r="FY118" i="117"/>
  <c r="FZ118" i="117"/>
  <c r="GA118" i="117"/>
  <c r="AG172" i="4" s="1"/>
  <c r="FY119" i="117"/>
  <c r="FZ119" i="117"/>
  <c r="GA119" i="117"/>
  <c r="AG173" i="4" s="1"/>
  <c r="FY120" i="117"/>
  <c r="FZ120" i="117"/>
  <c r="GA120" i="117"/>
  <c r="FY121" i="117"/>
  <c r="FZ121" i="117"/>
  <c r="GA121" i="117"/>
  <c r="FY122" i="117"/>
  <c r="FZ122" i="117"/>
  <c r="GA122" i="117"/>
  <c r="FZ3" i="117"/>
  <c r="GA3" i="117"/>
  <c r="FY3" i="117"/>
  <c r="GN4" i="117"/>
  <c r="GO4" i="117"/>
  <c r="GP4" i="117"/>
  <c r="GQ4" i="117"/>
  <c r="GR4" i="117"/>
  <c r="GN5" i="117"/>
  <c r="GO5" i="117"/>
  <c r="GP5" i="117"/>
  <c r="GQ5" i="117"/>
  <c r="GR5" i="117"/>
  <c r="GN6" i="117"/>
  <c r="GO6" i="117"/>
  <c r="GP6" i="117"/>
  <c r="GQ6" i="117"/>
  <c r="GR6" i="117"/>
  <c r="GN7" i="117"/>
  <c r="GO7" i="117"/>
  <c r="GP7" i="117"/>
  <c r="GQ7" i="117"/>
  <c r="GR7" i="117"/>
  <c r="GN8" i="117"/>
  <c r="GO8" i="117"/>
  <c r="GP8" i="117"/>
  <c r="GQ8" i="117"/>
  <c r="GR8" i="117"/>
  <c r="GN9" i="117"/>
  <c r="GO9" i="117"/>
  <c r="GP9" i="117"/>
  <c r="GQ9" i="117"/>
  <c r="GR9" i="117"/>
  <c r="GN10" i="117"/>
  <c r="GO10" i="117"/>
  <c r="GP10" i="117"/>
  <c r="GQ10" i="117"/>
  <c r="GR10" i="117"/>
  <c r="GN11" i="117"/>
  <c r="GO11" i="117"/>
  <c r="GP11" i="117"/>
  <c r="GQ11" i="117"/>
  <c r="GR11" i="117"/>
  <c r="GN12" i="117"/>
  <c r="GO12" i="117"/>
  <c r="GP12" i="117"/>
  <c r="GQ12" i="117"/>
  <c r="GR12" i="117"/>
  <c r="GN13" i="117"/>
  <c r="GO13" i="117"/>
  <c r="GP13" i="117"/>
  <c r="GQ13" i="117"/>
  <c r="GR13" i="117"/>
  <c r="GN14" i="117"/>
  <c r="GO14" i="117"/>
  <c r="GP14" i="117"/>
  <c r="GQ14" i="117"/>
  <c r="GR14" i="117"/>
  <c r="GN15" i="117"/>
  <c r="GO15" i="117"/>
  <c r="GP15" i="117"/>
  <c r="GQ15" i="117"/>
  <c r="GR15" i="117"/>
  <c r="GN16" i="117"/>
  <c r="GO16" i="117"/>
  <c r="GP16" i="117"/>
  <c r="GQ16" i="117"/>
  <c r="GR16" i="117"/>
  <c r="GN17" i="117"/>
  <c r="GO17" i="117"/>
  <c r="GP17" i="117"/>
  <c r="GQ17" i="117"/>
  <c r="GR17" i="117"/>
  <c r="GN18" i="117"/>
  <c r="GO18" i="117"/>
  <c r="GP18" i="117"/>
  <c r="GQ18" i="117"/>
  <c r="GR18" i="117"/>
  <c r="GN19" i="117"/>
  <c r="GO19" i="117"/>
  <c r="GP19" i="117"/>
  <c r="GQ19" i="117"/>
  <c r="GR19" i="117"/>
  <c r="GN20" i="117"/>
  <c r="GO20" i="117"/>
  <c r="GP20" i="117"/>
  <c r="GQ20" i="117"/>
  <c r="GR20" i="117"/>
  <c r="GN21" i="117"/>
  <c r="GO21" i="117"/>
  <c r="GP21" i="117"/>
  <c r="GQ21" i="117"/>
  <c r="GR21" i="117"/>
  <c r="GN22" i="117"/>
  <c r="GO22" i="117"/>
  <c r="GP22" i="117"/>
  <c r="GQ22" i="117"/>
  <c r="GR22" i="117"/>
  <c r="GN23" i="117"/>
  <c r="GO23" i="117"/>
  <c r="GP23" i="117"/>
  <c r="GQ23" i="117"/>
  <c r="GR23" i="117"/>
  <c r="GN24" i="117"/>
  <c r="GO24" i="117"/>
  <c r="GP24" i="117"/>
  <c r="GQ24" i="117"/>
  <c r="GR24" i="117"/>
  <c r="GN25" i="117"/>
  <c r="GO25" i="117"/>
  <c r="GP25" i="117"/>
  <c r="GQ25" i="117"/>
  <c r="GR25" i="117"/>
  <c r="GN26" i="117"/>
  <c r="GO26" i="117"/>
  <c r="GP26" i="117"/>
  <c r="GQ26" i="117"/>
  <c r="GR26" i="117"/>
  <c r="GN27" i="117"/>
  <c r="GO27" i="117"/>
  <c r="GP27" i="117"/>
  <c r="GQ27" i="117"/>
  <c r="GR27" i="117"/>
  <c r="GN28" i="117"/>
  <c r="GO28" i="117"/>
  <c r="GP28" i="117"/>
  <c r="GQ28" i="117"/>
  <c r="GR28" i="117"/>
  <c r="GN29" i="117"/>
  <c r="GO29" i="117"/>
  <c r="GP29" i="117"/>
  <c r="GQ29" i="117"/>
  <c r="GR29" i="117"/>
  <c r="GN30" i="117"/>
  <c r="GO30" i="117"/>
  <c r="GP30" i="117"/>
  <c r="GQ30" i="117"/>
  <c r="GR30" i="117"/>
  <c r="GN31" i="117"/>
  <c r="GO31" i="117"/>
  <c r="GP31" i="117"/>
  <c r="GQ31" i="117"/>
  <c r="GR31" i="117"/>
  <c r="GN32" i="117"/>
  <c r="GO32" i="117"/>
  <c r="GP32" i="117"/>
  <c r="GQ32" i="117"/>
  <c r="GR32" i="117"/>
  <c r="GN33" i="117"/>
  <c r="GO33" i="117"/>
  <c r="GP33" i="117"/>
  <c r="GQ33" i="117"/>
  <c r="GR33" i="117"/>
  <c r="GN34" i="117"/>
  <c r="GO34" i="117"/>
  <c r="GP34" i="117"/>
  <c r="GQ34" i="117"/>
  <c r="GR34" i="117"/>
  <c r="GN35" i="117"/>
  <c r="GO35" i="117"/>
  <c r="GP35" i="117"/>
  <c r="GQ35" i="117"/>
  <c r="GR35" i="117"/>
  <c r="GN36" i="117"/>
  <c r="GO36" i="117"/>
  <c r="GP36" i="117"/>
  <c r="GQ36" i="117"/>
  <c r="GR36" i="117"/>
  <c r="GN37" i="117"/>
  <c r="GO37" i="117"/>
  <c r="GP37" i="117"/>
  <c r="GQ37" i="117"/>
  <c r="GR37" i="117"/>
  <c r="GN38" i="117"/>
  <c r="GO38" i="117"/>
  <c r="GP38" i="117"/>
  <c r="GQ38" i="117"/>
  <c r="GR38" i="117"/>
  <c r="GN39" i="117"/>
  <c r="GO39" i="117"/>
  <c r="GP39" i="117"/>
  <c r="GQ39" i="117"/>
  <c r="GR39" i="117"/>
  <c r="GN40" i="117"/>
  <c r="GO40" i="117"/>
  <c r="GP40" i="117"/>
  <c r="GQ40" i="117"/>
  <c r="GR40" i="117"/>
  <c r="GN41" i="117"/>
  <c r="GO41" i="117"/>
  <c r="GP41" i="117"/>
  <c r="GQ41" i="117"/>
  <c r="GR41" i="117"/>
  <c r="GN42" i="117"/>
  <c r="GO42" i="117"/>
  <c r="GP42" i="117"/>
  <c r="GQ42" i="117"/>
  <c r="GR42" i="117"/>
  <c r="GN43" i="117"/>
  <c r="GO43" i="117"/>
  <c r="GP43" i="117"/>
  <c r="GQ43" i="117"/>
  <c r="GR43" i="117"/>
  <c r="GN44" i="117"/>
  <c r="GO44" i="117"/>
  <c r="GP44" i="117"/>
  <c r="GQ44" i="117"/>
  <c r="GR44" i="117"/>
  <c r="GN45" i="117"/>
  <c r="GO45" i="117"/>
  <c r="GP45" i="117"/>
  <c r="GQ45" i="117"/>
  <c r="GR45" i="117"/>
  <c r="GN46" i="117"/>
  <c r="GO46" i="117"/>
  <c r="GP46" i="117"/>
  <c r="GQ46" i="117"/>
  <c r="GR46" i="117"/>
  <c r="GN47" i="117"/>
  <c r="GO47" i="117"/>
  <c r="GP47" i="117"/>
  <c r="GQ47" i="117"/>
  <c r="GR47" i="117"/>
  <c r="GN48" i="117"/>
  <c r="GO48" i="117"/>
  <c r="GP48" i="117"/>
  <c r="GQ48" i="117"/>
  <c r="GR48" i="117"/>
  <c r="GN49" i="117"/>
  <c r="GO49" i="117"/>
  <c r="GP49" i="117"/>
  <c r="GQ49" i="117"/>
  <c r="GR49" i="117"/>
  <c r="GN50" i="117"/>
  <c r="GO50" i="117"/>
  <c r="GP50" i="117"/>
  <c r="GQ50" i="117"/>
  <c r="GR50" i="117"/>
  <c r="GN51" i="117"/>
  <c r="GO51" i="117"/>
  <c r="GP51" i="117"/>
  <c r="GQ51" i="117"/>
  <c r="GR51" i="117"/>
  <c r="GN52" i="117"/>
  <c r="GO52" i="117"/>
  <c r="GP52" i="117"/>
  <c r="GQ52" i="117"/>
  <c r="GR52" i="117"/>
  <c r="GN53" i="117"/>
  <c r="GO53" i="117"/>
  <c r="GP53" i="117"/>
  <c r="GQ53" i="117"/>
  <c r="GR53" i="117"/>
  <c r="GN54" i="117"/>
  <c r="GO54" i="117"/>
  <c r="GP54" i="117"/>
  <c r="GQ54" i="117"/>
  <c r="GR54" i="117"/>
  <c r="GN55" i="117"/>
  <c r="GO55" i="117"/>
  <c r="GP55" i="117"/>
  <c r="GQ55" i="117"/>
  <c r="GR55" i="117"/>
  <c r="GN56" i="117"/>
  <c r="GO56" i="117"/>
  <c r="GP56" i="117"/>
  <c r="GQ56" i="117"/>
  <c r="GR56" i="117"/>
  <c r="GN57" i="117"/>
  <c r="GO57" i="117"/>
  <c r="GP57" i="117"/>
  <c r="GQ57" i="117"/>
  <c r="GR57" i="117"/>
  <c r="GN58" i="117"/>
  <c r="GO58" i="117"/>
  <c r="GP58" i="117"/>
  <c r="GQ58" i="117"/>
  <c r="GR58" i="117"/>
  <c r="GN59" i="117"/>
  <c r="GO59" i="117"/>
  <c r="GP59" i="117"/>
  <c r="GQ59" i="117"/>
  <c r="GR59" i="117"/>
  <c r="GN60" i="117"/>
  <c r="GO60" i="117"/>
  <c r="GP60" i="117"/>
  <c r="GQ60" i="117"/>
  <c r="GR60" i="117"/>
  <c r="GN61" i="117"/>
  <c r="GO61" i="117"/>
  <c r="GP61" i="117"/>
  <c r="GQ61" i="117"/>
  <c r="GR61" i="117"/>
  <c r="GN62" i="117"/>
  <c r="GO62" i="117"/>
  <c r="GP62" i="117"/>
  <c r="GQ62" i="117"/>
  <c r="GR62" i="117"/>
  <c r="GN63" i="117"/>
  <c r="GO63" i="117"/>
  <c r="GP63" i="117"/>
  <c r="GQ63" i="117"/>
  <c r="GR63" i="117"/>
  <c r="GN64" i="117"/>
  <c r="GO64" i="117"/>
  <c r="GP64" i="117"/>
  <c r="GQ64" i="117"/>
  <c r="GR64" i="117"/>
  <c r="GN65" i="117"/>
  <c r="GO65" i="117"/>
  <c r="GP65" i="117"/>
  <c r="GQ65" i="117"/>
  <c r="GR65" i="117"/>
  <c r="GN66" i="117"/>
  <c r="GO66" i="117"/>
  <c r="GP66" i="117"/>
  <c r="GQ66" i="117"/>
  <c r="GR66" i="117"/>
  <c r="GN67" i="117"/>
  <c r="GO67" i="117"/>
  <c r="GP67" i="117"/>
  <c r="GQ67" i="117"/>
  <c r="GR67" i="117"/>
  <c r="GN68" i="117"/>
  <c r="GO68" i="117"/>
  <c r="GP68" i="117"/>
  <c r="GQ68" i="117"/>
  <c r="GR68" i="117"/>
  <c r="GN69" i="117"/>
  <c r="GO69" i="117"/>
  <c r="GP69" i="117"/>
  <c r="GQ69" i="117"/>
  <c r="GR69" i="117"/>
  <c r="GN70" i="117"/>
  <c r="GO70" i="117"/>
  <c r="GP70" i="117"/>
  <c r="GQ70" i="117"/>
  <c r="GR70" i="117"/>
  <c r="GN71" i="117"/>
  <c r="GO71" i="117"/>
  <c r="GP71" i="117"/>
  <c r="GQ71" i="117"/>
  <c r="GR71" i="117"/>
  <c r="GN72" i="117"/>
  <c r="GO72" i="117"/>
  <c r="GP72" i="117"/>
  <c r="GQ72" i="117"/>
  <c r="GR72" i="117"/>
  <c r="GN73" i="117"/>
  <c r="GO73" i="117"/>
  <c r="GP73" i="117"/>
  <c r="GQ73" i="117"/>
  <c r="GR73" i="117"/>
  <c r="GN74" i="117"/>
  <c r="GO74" i="117"/>
  <c r="GP74" i="117"/>
  <c r="GQ74" i="117"/>
  <c r="GR74" i="117"/>
  <c r="GN75" i="117"/>
  <c r="GO75" i="117"/>
  <c r="GP75" i="117"/>
  <c r="GQ75" i="117"/>
  <c r="GR75" i="117"/>
  <c r="GN76" i="117"/>
  <c r="GO76" i="117"/>
  <c r="GP76" i="117"/>
  <c r="GQ76" i="117"/>
  <c r="GR76" i="117"/>
  <c r="GN77" i="117"/>
  <c r="GO77" i="117"/>
  <c r="GP77" i="117"/>
  <c r="GQ77" i="117"/>
  <c r="GR77" i="117"/>
  <c r="GN78" i="117"/>
  <c r="GO78" i="117"/>
  <c r="GP78" i="117"/>
  <c r="GQ78" i="117"/>
  <c r="GR78" i="117"/>
  <c r="GN79" i="117"/>
  <c r="GO79" i="117"/>
  <c r="GP79" i="117"/>
  <c r="GQ79" i="117"/>
  <c r="GR79" i="117"/>
  <c r="GN80" i="117"/>
  <c r="GO80" i="117"/>
  <c r="GP80" i="117"/>
  <c r="GQ80" i="117"/>
  <c r="GR80" i="117"/>
  <c r="GN81" i="117"/>
  <c r="GO81" i="117"/>
  <c r="GP81" i="117"/>
  <c r="GQ81" i="117"/>
  <c r="GR81" i="117"/>
  <c r="GN82" i="117"/>
  <c r="GO82" i="117"/>
  <c r="GP82" i="117"/>
  <c r="GQ82" i="117"/>
  <c r="GR82" i="117"/>
  <c r="GN83" i="117"/>
  <c r="GO83" i="117"/>
  <c r="GP83" i="117"/>
  <c r="GQ83" i="117"/>
  <c r="GR83" i="117"/>
  <c r="GN84" i="117"/>
  <c r="GO84" i="117"/>
  <c r="GP84" i="117"/>
  <c r="GQ84" i="117"/>
  <c r="GR84" i="117"/>
  <c r="GN85" i="117"/>
  <c r="GO85" i="117"/>
  <c r="GP85" i="117"/>
  <c r="GQ85" i="117"/>
  <c r="GR85" i="117"/>
  <c r="GN86" i="117"/>
  <c r="GO86" i="117"/>
  <c r="GP86" i="117"/>
  <c r="GQ86" i="117"/>
  <c r="GR86" i="117"/>
  <c r="GN87" i="117"/>
  <c r="GO87" i="117"/>
  <c r="GP87" i="117"/>
  <c r="GQ87" i="117"/>
  <c r="GR87" i="117"/>
  <c r="GN88" i="117"/>
  <c r="GO88" i="117"/>
  <c r="GP88" i="117"/>
  <c r="GQ88" i="117"/>
  <c r="GR88" i="117"/>
  <c r="GN89" i="117"/>
  <c r="GO89" i="117"/>
  <c r="GP89" i="117"/>
  <c r="GQ89" i="117"/>
  <c r="GR89" i="117"/>
  <c r="GN90" i="117"/>
  <c r="GO90" i="117"/>
  <c r="GP90" i="117"/>
  <c r="GQ90" i="117"/>
  <c r="GR90" i="117"/>
  <c r="GN91" i="117"/>
  <c r="GO91" i="117"/>
  <c r="GP91" i="117"/>
  <c r="GQ91" i="117"/>
  <c r="GR91" i="117"/>
  <c r="GN92" i="117"/>
  <c r="GO92" i="117"/>
  <c r="GP92" i="117"/>
  <c r="GQ92" i="117"/>
  <c r="GR92" i="117"/>
  <c r="GN93" i="117"/>
  <c r="GO93" i="117"/>
  <c r="GP93" i="117"/>
  <c r="GQ93" i="117"/>
  <c r="GR93" i="117"/>
  <c r="GN94" i="117"/>
  <c r="GO94" i="117"/>
  <c r="GP94" i="117"/>
  <c r="GQ94" i="117"/>
  <c r="GR94" i="117"/>
  <c r="GN95" i="117"/>
  <c r="GO95" i="117"/>
  <c r="GP95" i="117"/>
  <c r="GQ95" i="117"/>
  <c r="GR95" i="117"/>
  <c r="GN96" i="117"/>
  <c r="GO96" i="117"/>
  <c r="GP96" i="117"/>
  <c r="GQ96" i="117"/>
  <c r="GR96" i="117"/>
  <c r="GN97" i="117"/>
  <c r="GO97" i="117"/>
  <c r="GP97" i="117"/>
  <c r="GQ97" i="117"/>
  <c r="GR97" i="117"/>
  <c r="GN98" i="117"/>
  <c r="GO98" i="117"/>
  <c r="GP98" i="117"/>
  <c r="GQ98" i="117"/>
  <c r="GR98" i="117"/>
  <c r="GN99" i="117"/>
  <c r="GO99" i="117"/>
  <c r="GP99" i="117"/>
  <c r="GQ99" i="117"/>
  <c r="GR99" i="117"/>
  <c r="GN100" i="117"/>
  <c r="GO100" i="117"/>
  <c r="GP100" i="117"/>
  <c r="GQ100" i="117"/>
  <c r="GR100" i="117"/>
  <c r="GN101" i="117"/>
  <c r="GO101" i="117"/>
  <c r="GP101" i="117"/>
  <c r="GQ101" i="117"/>
  <c r="GR101" i="117"/>
  <c r="GN102" i="117"/>
  <c r="GO102" i="117"/>
  <c r="GP102" i="117"/>
  <c r="GQ102" i="117"/>
  <c r="GR102" i="117"/>
  <c r="GN103" i="117"/>
  <c r="GO103" i="117"/>
  <c r="GP103" i="117"/>
  <c r="GQ103" i="117"/>
  <c r="GR103" i="117"/>
  <c r="GN104" i="117"/>
  <c r="GO104" i="117"/>
  <c r="GP104" i="117"/>
  <c r="GQ104" i="117"/>
  <c r="GR104" i="117"/>
  <c r="GN105" i="117"/>
  <c r="GO105" i="117"/>
  <c r="GP105" i="117"/>
  <c r="GQ105" i="117"/>
  <c r="GR105" i="117"/>
  <c r="GN106" i="117"/>
  <c r="GO106" i="117"/>
  <c r="GP106" i="117"/>
  <c r="GQ106" i="117"/>
  <c r="GR106" i="117"/>
  <c r="GN107" i="117"/>
  <c r="GO107" i="117"/>
  <c r="GP107" i="117"/>
  <c r="GQ107" i="117"/>
  <c r="GR107" i="117"/>
  <c r="GN108" i="117"/>
  <c r="GO108" i="117"/>
  <c r="GP108" i="117"/>
  <c r="GQ108" i="117"/>
  <c r="GR108" i="117"/>
  <c r="GN109" i="117"/>
  <c r="GO109" i="117"/>
  <c r="GP109" i="117"/>
  <c r="GQ109" i="117"/>
  <c r="GR109" i="117"/>
  <c r="GN110" i="117"/>
  <c r="GO110" i="117"/>
  <c r="GP110" i="117"/>
  <c r="GQ110" i="117"/>
  <c r="GR110" i="117"/>
  <c r="GN111" i="117"/>
  <c r="GO111" i="117"/>
  <c r="GP111" i="117"/>
  <c r="GQ111" i="117"/>
  <c r="GR111" i="117"/>
  <c r="GN112" i="117"/>
  <c r="GO112" i="117"/>
  <c r="GP112" i="117"/>
  <c r="GQ112" i="117"/>
  <c r="GR112" i="117"/>
  <c r="GN113" i="117"/>
  <c r="GO113" i="117"/>
  <c r="GP113" i="117"/>
  <c r="GQ113" i="117"/>
  <c r="GR113" i="117"/>
  <c r="GN114" i="117"/>
  <c r="GO114" i="117"/>
  <c r="GP114" i="117"/>
  <c r="GQ114" i="117"/>
  <c r="GR114" i="117"/>
  <c r="GN115" i="117"/>
  <c r="GO115" i="117"/>
  <c r="GP115" i="117"/>
  <c r="GQ115" i="117"/>
  <c r="GR115" i="117"/>
  <c r="GN116" i="117"/>
  <c r="GO116" i="117"/>
  <c r="GP116" i="117"/>
  <c r="GQ116" i="117"/>
  <c r="GR116" i="117"/>
  <c r="GN117" i="117"/>
  <c r="GO117" i="117"/>
  <c r="GP117" i="117"/>
  <c r="GQ117" i="117"/>
  <c r="GR117" i="117"/>
  <c r="GN118" i="117"/>
  <c r="GO118" i="117"/>
  <c r="GP118" i="117"/>
  <c r="GQ118" i="117"/>
  <c r="GR118" i="117"/>
  <c r="GN119" i="117"/>
  <c r="GO119" i="117"/>
  <c r="GP119" i="117"/>
  <c r="GQ119" i="117"/>
  <c r="GR119" i="117"/>
  <c r="GN120" i="117"/>
  <c r="GO120" i="117"/>
  <c r="GP120" i="117"/>
  <c r="GQ120" i="117"/>
  <c r="GR120" i="117"/>
  <c r="GN121" i="117"/>
  <c r="GO121" i="117"/>
  <c r="GP121" i="117"/>
  <c r="GQ121" i="117"/>
  <c r="GR121" i="117"/>
  <c r="GN122" i="117"/>
  <c r="GO122" i="117"/>
  <c r="GP122" i="117"/>
  <c r="GQ122" i="117"/>
  <c r="GR122" i="117"/>
  <c r="GN123" i="117"/>
  <c r="GO123" i="117"/>
  <c r="GP123" i="117"/>
  <c r="GQ123" i="117"/>
  <c r="GR123" i="117"/>
  <c r="GN124" i="117"/>
  <c r="GO124" i="117"/>
  <c r="GP124" i="117"/>
  <c r="GQ124" i="117"/>
  <c r="GR124" i="117"/>
  <c r="GN125" i="117"/>
  <c r="GO125" i="117"/>
  <c r="GP125" i="117"/>
  <c r="GQ125" i="117"/>
  <c r="GR125" i="117"/>
  <c r="GN126" i="117"/>
  <c r="GO126" i="117"/>
  <c r="GP126" i="117"/>
  <c r="GQ126" i="117"/>
  <c r="GR126" i="117"/>
  <c r="GN127" i="117"/>
  <c r="GO127" i="117"/>
  <c r="GP127" i="117"/>
  <c r="GQ127" i="117"/>
  <c r="GR127" i="117"/>
  <c r="GN128" i="117"/>
  <c r="GO128" i="117"/>
  <c r="GP128" i="117"/>
  <c r="GQ128" i="117"/>
  <c r="GR128" i="117"/>
  <c r="GN129" i="117"/>
  <c r="GO129" i="117"/>
  <c r="GP129" i="117"/>
  <c r="GQ129" i="117"/>
  <c r="GR129" i="117"/>
  <c r="GN130" i="117"/>
  <c r="GO130" i="117"/>
  <c r="GP130" i="117"/>
  <c r="GQ130" i="117"/>
  <c r="GR130" i="117"/>
  <c r="GN131" i="117"/>
  <c r="GO131" i="117"/>
  <c r="GP131" i="117"/>
  <c r="GQ131" i="117"/>
  <c r="GR131" i="117"/>
  <c r="GN132" i="117"/>
  <c r="GO132" i="117"/>
  <c r="GP132" i="117"/>
  <c r="GQ132" i="117"/>
  <c r="GR132" i="117"/>
  <c r="GN133" i="117"/>
  <c r="GO133" i="117"/>
  <c r="GP133" i="117"/>
  <c r="GQ133" i="117"/>
  <c r="GR133" i="117"/>
  <c r="GN134" i="117"/>
  <c r="GO134" i="117"/>
  <c r="GP134" i="117"/>
  <c r="GQ134" i="117"/>
  <c r="GR134" i="117"/>
  <c r="GN135" i="117"/>
  <c r="GO135" i="117"/>
  <c r="GP135" i="117"/>
  <c r="GQ135" i="117"/>
  <c r="GR135" i="117"/>
  <c r="GN136" i="117"/>
  <c r="GO136" i="117"/>
  <c r="GP136" i="117"/>
  <c r="GQ136" i="117"/>
  <c r="GR136" i="117"/>
  <c r="GN137" i="117"/>
  <c r="GO137" i="117"/>
  <c r="GP137" i="117"/>
  <c r="GQ137" i="117"/>
  <c r="GR137" i="117"/>
  <c r="GN138" i="117"/>
  <c r="GO138" i="117"/>
  <c r="GP138" i="117"/>
  <c r="GQ138" i="117"/>
  <c r="GR138" i="117"/>
  <c r="GN139" i="117"/>
  <c r="GO139" i="117"/>
  <c r="GP139" i="117"/>
  <c r="GQ139" i="117"/>
  <c r="GR139" i="117"/>
  <c r="GN140" i="117"/>
  <c r="GO140" i="117"/>
  <c r="GP140" i="117"/>
  <c r="GQ140" i="117"/>
  <c r="GR140" i="117"/>
  <c r="GN141" i="117"/>
  <c r="GO141" i="117"/>
  <c r="GP141" i="117"/>
  <c r="GQ141" i="117"/>
  <c r="GR141" i="117"/>
  <c r="GN142" i="117"/>
  <c r="GO142" i="117"/>
  <c r="GP142" i="117"/>
  <c r="GQ142" i="117"/>
  <c r="GR142" i="117"/>
  <c r="GN143" i="117"/>
  <c r="GO143" i="117"/>
  <c r="GP143" i="117"/>
  <c r="GQ143" i="117"/>
  <c r="GR143" i="117"/>
  <c r="GN144" i="117"/>
  <c r="GO144" i="117"/>
  <c r="GP144" i="117"/>
  <c r="GQ144" i="117"/>
  <c r="GR144" i="117"/>
  <c r="GN145" i="117"/>
  <c r="GO145" i="117"/>
  <c r="GP145" i="117"/>
  <c r="GQ145" i="117"/>
  <c r="GR145" i="117"/>
  <c r="GN146" i="117"/>
  <c r="GO146" i="117"/>
  <c r="GP146" i="117"/>
  <c r="GQ146" i="117"/>
  <c r="GR146" i="117"/>
  <c r="GN147" i="117"/>
  <c r="GO147" i="117"/>
  <c r="GP147" i="117"/>
  <c r="GQ147" i="117"/>
  <c r="GR147" i="117"/>
  <c r="GN148" i="117"/>
  <c r="GO148" i="117"/>
  <c r="GP148" i="117"/>
  <c r="GQ148" i="117"/>
  <c r="GR148" i="117"/>
  <c r="GN149" i="117"/>
  <c r="GO149" i="117"/>
  <c r="GP149" i="117"/>
  <c r="GQ149" i="117"/>
  <c r="GR149" i="117"/>
  <c r="GN150" i="117"/>
  <c r="GO150" i="117"/>
  <c r="GP150" i="117"/>
  <c r="GQ150" i="117"/>
  <c r="GR150" i="117"/>
  <c r="GN151" i="117"/>
  <c r="GO151" i="117"/>
  <c r="GP151" i="117"/>
  <c r="GQ151" i="117"/>
  <c r="GR151" i="117"/>
  <c r="GN152" i="117"/>
  <c r="GO152" i="117"/>
  <c r="GP152" i="117"/>
  <c r="GQ152" i="117"/>
  <c r="GR152" i="117"/>
  <c r="GN153" i="117"/>
  <c r="GO153" i="117"/>
  <c r="GP153" i="117"/>
  <c r="GQ153" i="117"/>
  <c r="GR153" i="117"/>
  <c r="GO3" i="117"/>
  <c r="GP3" i="117"/>
  <c r="GQ3" i="117"/>
  <c r="GR3" i="117"/>
  <c r="GN3" i="117"/>
  <c r="AG28" i="35"/>
  <c r="AG19" i="4" l="1"/>
  <c r="AG30" i="4"/>
  <c r="AG41" i="4"/>
  <c r="AG60" i="4"/>
  <c r="AG49" i="4"/>
  <c r="AG98" i="4"/>
  <c r="AG100" i="4"/>
  <c r="AG57" i="4"/>
  <c r="AG121" i="4"/>
  <c r="AG128" i="4"/>
  <c r="AG13" i="4"/>
  <c r="AG29" i="4"/>
  <c r="AG69" i="4"/>
  <c r="AG59" i="4"/>
  <c r="AG78" i="4"/>
  <c r="AG107" i="4"/>
  <c r="AG99" i="4"/>
  <c r="AG122" i="4"/>
  <c r="AG127" i="4"/>
  <c r="AG135" i="4"/>
  <c r="AG10" i="4"/>
  <c r="AG17" i="4"/>
  <c r="AG43" i="4"/>
  <c r="AG52" i="4"/>
  <c r="AG90" i="4"/>
  <c r="AG82" i="4"/>
  <c r="AG109" i="4"/>
  <c r="AG115" i="4"/>
  <c r="AG124" i="4"/>
  <c r="AG126" i="4"/>
  <c r="AG12" i="4"/>
  <c r="AG16" i="4"/>
  <c r="AG89" i="4"/>
  <c r="AG81" i="4"/>
  <c r="AG116" i="4"/>
  <c r="AG11" i="4"/>
  <c r="AG15" i="4"/>
  <c r="AG26" i="4"/>
  <c r="AG65" i="4"/>
  <c r="AG72" i="4"/>
  <c r="AG88" i="4"/>
  <c r="AG80" i="4"/>
  <c r="AG94" i="4"/>
  <c r="AG104" i="4"/>
  <c r="AG139" i="4"/>
  <c r="AG25" i="4"/>
  <c r="AG64" i="4"/>
  <c r="AG103" i="4"/>
  <c r="AG48" i="4"/>
  <c r="AG130" i="4"/>
  <c r="AG161" i="4"/>
  <c r="AQ8" i="116"/>
  <c r="IQ54" i="116"/>
  <c r="IR54" i="116"/>
  <c r="IS54" i="116"/>
  <c r="IQ55" i="116"/>
  <c r="IR55" i="116"/>
  <c r="IS55" i="116"/>
  <c r="IQ56" i="116"/>
  <c r="IR56" i="116"/>
  <c r="IS56" i="116"/>
  <c r="IQ57" i="116"/>
  <c r="IR57" i="116"/>
  <c r="IS57" i="116"/>
  <c r="IQ4" i="116"/>
  <c r="IR4" i="116"/>
  <c r="IS4" i="116"/>
  <c r="IQ5" i="116"/>
  <c r="IR5" i="116"/>
  <c r="IS5" i="116"/>
  <c r="IQ6" i="116"/>
  <c r="IR6" i="116"/>
  <c r="IS6" i="116"/>
  <c r="IQ7" i="116"/>
  <c r="IR7" i="116"/>
  <c r="IS7" i="116"/>
  <c r="IQ8" i="116"/>
  <c r="IR8" i="116"/>
  <c r="IS8" i="116"/>
  <c r="IQ9" i="116"/>
  <c r="IR9" i="116"/>
  <c r="IS9" i="116"/>
  <c r="IQ10" i="116"/>
  <c r="IR10" i="116"/>
  <c r="IS10" i="116"/>
  <c r="IQ11" i="116"/>
  <c r="IR11" i="116"/>
  <c r="IS11" i="116"/>
  <c r="IQ12" i="116"/>
  <c r="IR12" i="116"/>
  <c r="IS12" i="116"/>
  <c r="IQ13" i="116"/>
  <c r="IR13" i="116"/>
  <c r="IS13" i="116"/>
  <c r="IQ14" i="116"/>
  <c r="IR14" i="116"/>
  <c r="IS14" i="116"/>
  <c r="IQ15" i="116"/>
  <c r="IR15" i="116"/>
  <c r="IS15" i="116"/>
  <c r="IQ16" i="116"/>
  <c r="IR16" i="116"/>
  <c r="IS16" i="116"/>
  <c r="IQ17" i="116"/>
  <c r="IR17" i="116"/>
  <c r="IS17" i="116"/>
  <c r="IQ18" i="116"/>
  <c r="IR18" i="116"/>
  <c r="IS18" i="116"/>
  <c r="IQ19" i="116"/>
  <c r="IR19" i="116"/>
  <c r="IS19" i="116"/>
  <c r="IQ20" i="116"/>
  <c r="IR20" i="116"/>
  <c r="IS20" i="116"/>
  <c r="IQ21" i="116"/>
  <c r="IR21" i="116"/>
  <c r="IS21" i="116"/>
  <c r="IQ22" i="116"/>
  <c r="IR22" i="116"/>
  <c r="IS22" i="116"/>
  <c r="IQ23" i="116"/>
  <c r="IR23" i="116"/>
  <c r="IS23" i="116"/>
  <c r="IQ24" i="116"/>
  <c r="IR24" i="116"/>
  <c r="IS24" i="116"/>
  <c r="IQ25" i="116"/>
  <c r="IR25" i="116"/>
  <c r="IS25" i="116"/>
  <c r="IQ26" i="116"/>
  <c r="IR26" i="116"/>
  <c r="IS26" i="116"/>
  <c r="IQ27" i="116"/>
  <c r="IR27" i="116"/>
  <c r="IS27" i="116"/>
  <c r="IQ28" i="116"/>
  <c r="IR28" i="116"/>
  <c r="IS28" i="116"/>
  <c r="IQ29" i="116"/>
  <c r="IR29" i="116"/>
  <c r="IS29" i="116"/>
  <c r="IQ30" i="116"/>
  <c r="IR30" i="116"/>
  <c r="IS30" i="116"/>
  <c r="IQ31" i="116"/>
  <c r="IR31" i="116"/>
  <c r="IS31" i="116"/>
  <c r="IQ32" i="116"/>
  <c r="IR32" i="116"/>
  <c r="IS32" i="116"/>
  <c r="IQ33" i="116"/>
  <c r="IR33" i="116"/>
  <c r="IS33" i="116"/>
  <c r="IQ34" i="116"/>
  <c r="IR34" i="116"/>
  <c r="IS34" i="116"/>
  <c r="IQ35" i="116"/>
  <c r="IR35" i="116"/>
  <c r="IS35" i="116"/>
  <c r="IQ36" i="116"/>
  <c r="IR36" i="116"/>
  <c r="IS36" i="116"/>
  <c r="IQ37" i="116"/>
  <c r="IR37" i="116"/>
  <c r="IS37" i="116"/>
  <c r="IQ38" i="116"/>
  <c r="IR38" i="116"/>
  <c r="IS38" i="116"/>
  <c r="IQ39" i="116"/>
  <c r="IR39" i="116"/>
  <c r="IS39" i="116"/>
  <c r="IQ40" i="116"/>
  <c r="IR40" i="116"/>
  <c r="IS40" i="116"/>
  <c r="IQ41" i="116"/>
  <c r="IR41" i="116"/>
  <c r="IS41" i="116"/>
  <c r="IQ42" i="116"/>
  <c r="IR42" i="116"/>
  <c r="IS42" i="116"/>
  <c r="IQ43" i="116"/>
  <c r="IR43" i="116"/>
  <c r="IS43" i="116"/>
  <c r="IQ44" i="116"/>
  <c r="IR44" i="116"/>
  <c r="IS44" i="116"/>
  <c r="IQ45" i="116"/>
  <c r="IR45" i="116"/>
  <c r="IS45" i="116"/>
  <c r="IQ46" i="116"/>
  <c r="IR46" i="116"/>
  <c r="IS46" i="116"/>
  <c r="IQ47" i="116"/>
  <c r="IR47" i="116"/>
  <c r="IS47" i="116"/>
  <c r="IQ48" i="116"/>
  <c r="IR48" i="116"/>
  <c r="IS48" i="116"/>
  <c r="IQ49" i="116"/>
  <c r="IR49" i="116"/>
  <c r="IS49" i="116"/>
  <c r="IQ50" i="116"/>
  <c r="IR50" i="116"/>
  <c r="IS50" i="116"/>
  <c r="IQ51" i="116"/>
  <c r="IR51" i="116"/>
  <c r="IS51" i="116"/>
  <c r="IQ52" i="116"/>
  <c r="IR52" i="116"/>
  <c r="IS52" i="116"/>
  <c r="IQ53" i="116"/>
  <c r="IR53" i="116"/>
  <c r="IS53" i="116"/>
  <c r="IR3" i="116"/>
  <c r="IS3" i="116"/>
  <c r="IQ3" i="116"/>
  <c r="IE4" i="116"/>
  <c r="IE5" i="116"/>
  <c r="IE6" i="116"/>
  <c r="IE7" i="116"/>
  <c r="IE8" i="116"/>
  <c r="AG15" i="35" s="1"/>
  <c r="IE9" i="116"/>
  <c r="AG18" i="35" s="1"/>
  <c r="IE10" i="116"/>
  <c r="IE11" i="116"/>
  <c r="IE12" i="116"/>
  <c r="IE13" i="116"/>
  <c r="IE14" i="116"/>
  <c r="AG22" i="35" s="1"/>
  <c r="IE15" i="116"/>
  <c r="IE16" i="116"/>
  <c r="AG21" i="35" s="1"/>
  <c r="IE17" i="116"/>
  <c r="AG23" i="35" s="1"/>
  <c r="IE18" i="116"/>
  <c r="AG27" i="35" s="1"/>
  <c r="AG26" i="35" s="1"/>
  <c r="IE19" i="116"/>
  <c r="IE20" i="116"/>
  <c r="AG31" i="35" s="1"/>
  <c r="IE21" i="116"/>
  <c r="IE22" i="116"/>
  <c r="AG32" i="35" s="1"/>
  <c r="IE23" i="116"/>
  <c r="AG35" i="35" s="1"/>
  <c r="IE24" i="116"/>
  <c r="AG33" i="35" s="1"/>
  <c r="IE25" i="116"/>
  <c r="IE26" i="116"/>
  <c r="IE27" i="116"/>
  <c r="IE28" i="116"/>
  <c r="AG42" i="35" s="1"/>
  <c r="IE29" i="116"/>
  <c r="AG43" i="35" s="1"/>
  <c r="IE30" i="116"/>
  <c r="IE31" i="116"/>
  <c r="IE32" i="116"/>
  <c r="IE33" i="116"/>
  <c r="AG45" i="35" s="1"/>
  <c r="IE34" i="116"/>
  <c r="IE35" i="116"/>
  <c r="IE3" i="116"/>
  <c r="N35" i="37"/>
  <c r="O35" i="37" s="1"/>
  <c r="F230" i="39"/>
  <c r="N28" i="37"/>
  <c r="O28" i="37" s="1"/>
  <c r="N26" i="37"/>
  <c r="O26" i="37" s="1"/>
  <c r="AG33" i="37"/>
  <c r="IY23" i="115"/>
  <c r="IZ23" i="115"/>
  <c r="JA23" i="115"/>
  <c r="IY24" i="115"/>
  <c r="N30" i="37" s="1"/>
  <c r="IZ24" i="115"/>
  <c r="JA24" i="115"/>
  <c r="IY25" i="115"/>
  <c r="IZ25" i="115"/>
  <c r="JA25" i="115"/>
  <c r="IY26" i="115"/>
  <c r="IZ26" i="115"/>
  <c r="JA26" i="115"/>
  <c r="IY27" i="115"/>
  <c r="IZ27" i="115"/>
  <c r="JA27" i="115"/>
  <c r="IY28" i="115"/>
  <c r="IZ28" i="115"/>
  <c r="JA28" i="115"/>
  <c r="IY29" i="115"/>
  <c r="IZ29" i="115"/>
  <c r="JA29" i="115"/>
  <c r="IY30" i="115"/>
  <c r="IZ30" i="115"/>
  <c r="JA30" i="115"/>
  <c r="IY31" i="115"/>
  <c r="IZ31" i="115"/>
  <c r="JA31" i="115"/>
  <c r="IY32" i="115"/>
  <c r="IZ32" i="115"/>
  <c r="JA32" i="115"/>
  <c r="IY33" i="115"/>
  <c r="IZ33" i="115"/>
  <c r="JA33" i="115"/>
  <c r="IY34" i="115"/>
  <c r="IZ34" i="115"/>
  <c r="JA34" i="115"/>
  <c r="IY35" i="115"/>
  <c r="IZ35" i="115"/>
  <c r="JA35" i="115"/>
  <c r="IY36" i="115"/>
  <c r="IZ36" i="115"/>
  <c r="JA36" i="115"/>
  <c r="IY37" i="115"/>
  <c r="IZ37" i="115"/>
  <c r="JA37" i="115"/>
  <c r="IY38" i="115"/>
  <c r="IZ38" i="115"/>
  <c r="JA38" i="115"/>
  <c r="IY39" i="115"/>
  <c r="IZ39" i="115"/>
  <c r="JA39" i="115"/>
  <c r="IY40" i="115"/>
  <c r="IZ40" i="115"/>
  <c r="JA40" i="115"/>
  <c r="IY41" i="115"/>
  <c r="IZ41" i="115"/>
  <c r="JA41" i="115"/>
  <c r="IY42" i="115"/>
  <c r="IZ42" i="115"/>
  <c r="JA42" i="115"/>
  <c r="IY43" i="115"/>
  <c r="IZ43" i="115"/>
  <c r="JA43" i="115"/>
  <c r="IY44" i="115"/>
  <c r="IZ44" i="115"/>
  <c r="JA44" i="115"/>
  <c r="IY45" i="115"/>
  <c r="IZ45" i="115"/>
  <c r="JA45" i="115"/>
  <c r="IY46" i="115"/>
  <c r="IZ46" i="115"/>
  <c r="JA46" i="115"/>
  <c r="IY47" i="115"/>
  <c r="IZ47" i="115"/>
  <c r="JA47" i="115"/>
  <c r="IY48" i="115"/>
  <c r="IZ48" i="115"/>
  <c r="JA48" i="115"/>
  <c r="IY49" i="115"/>
  <c r="IZ49" i="115"/>
  <c r="JA49" i="115"/>
  <c r="IY50" i="115"/>
  <c r="IZ50" i="115"/>
  <c r="JA50" i="115"/>
  <c r="IY51" i="115"/>
  <c r="IZ51" i="115"/>
  <c r="JA51" i="115"/>
  <c r="IY52" i="115"/>
  <c r="IZ52" i="115"/>
  <c r="JA52" i="115"/>
  <c r="IY53" i="115"/>
  <c r="IZ53" i="115"/>
  <c r="JA53" i="115"/>
  <c r="IY54" i="115"/>
  <c r="IZ54" i="115"/>
  <c r="JA54" i="115"/>
  <c r="IY55" i="115"/>
  <c r="IZ55" i="115"/>
  <c r="JA55" i="115"/>
  <c r="IY4" i="115"/>
  <c r="IZ4" i="115"/>
  <c r="JA4" i="115"/>
  <c r="IY5" i="115"/>
  <c r="IZ5" i="115"/>
  <c r="JA5" i="115"/>
  <c r="IY6" i="115"/>
  <c r="IZ6" i="115"/>
  <c r="JA6" i="115"/>
  <c r="IY7" i="115"/>
  <c r="IZ7" i="115"/>
  <c r="JA7" i="115"/>
  <c r="IY8" i="115"/>
  <c r="IZ8" i="115"/>
  <c r="JA8" i="115"/>
  <c r="IY9" i="115"/>
  <c r="IZ9" i="115"/>
  <c r="JA9" i="115"/>
  <c r="IY10" i="115"/>
  <c r="IZ10" i="115"/>
  <c r="JA10" i="115"/>
  <c r="IY11" i="115"/>
  <c r="IZ11" i="115"/>
  <c r="JA11" i="115"/>
  <c r="IY12" i="115"/>
  <c r="IZ12" i="115"/>
  <c r="JA12" i="115"/>
  <c r="IY13" i="115"/>
  <c r="IZ13" i="115"/>
  <c r="JA13" i="115"/>
  <c r="IY14" i="115"/>
  <c r="IZ14" i="115"/>
  <c r="JA14" i="115"/>
  <c r="IY15" i="115"/>
  <c r="IZ15" i="115"/>
  <c r="JA15" i="115"/>
  <c r="IY16" i="115"/>
  <c r="IZ16" i="115"/>
  <c r="JA16" i="115"/>
  <c r="IY17" i="115"/>
  <c r="IZ17" i="115"/>
  <c r="JA17" i="115"/>
  <c r="IY18" i="115"/>
  <c r="IZ18" i="115"/>
  <c r="JA18" i="115"/>
  <c r="IY19" i="115"/>
  <c r="IZ19" i="115"/>
  <c r="JA19" i="115"/>
  <c r="IY20" i="115"/>
  <c r="IZ20" i="115"/>
  <c r="JA20" i="115"/>
  <c r="IY21" i="115"/>
  <c r="IZ21" i="115"/>
  <c r="JA21" i="115"/>
  <c r="IY22" i="115"/>
  <c r="IZ22" i="115"/>
  <c r="JA22" i="115"/>
  <c r="IZ3" i="115"/>
  <c r="JA3" i="115"/>
  <c r="IY3" i="115"/>
  <c r="IK4" i="115"/>
  <c r="IL4" i="115"/>
  <c r="IM4" i="115"/>
  <c r="IK5" i="115"/>
  <c r="IL5" i="115"/>
  <c r="IM5" i="115"/>
  <c r="IK6" i="115"/>
  <c r="IL6" i="115"/>
  <c r="IM6" i="115"/>
  <c r="AG18" i="37" s="1"/>
  <c r="IK7" i="115"/>
  <c r="IL7" i="115"/>
  <c r="IM7" i="115"/>
  <c r="AG17" i="37" s="1"/>
  <c r="IK8" i="115"/>
  <c r="IL8" i="115"/>
  <c r="IM8" i="115"/>
  <c r="IK9" i="115"/>
  <c r="IL9" i="115"/>
  <c r="IM9" i="115"/>
  <c r="AG19" i="37" s="1"/>
  <c r="IK10" i="115"/>
  <c r="IL10" i="115"/>
  <c r="IM10" i="115"/>
  <c r="AG22" i="37" s="1"/>
  <c r="IK11" i="115"/>
  <c r="IL11" i="115"/>
  <c r="IM11" i="115"/>
  <c r="IK12" i="115"/>
  <c r="IL12" i="115"/>
  <c r="IM12" i="115"/>
  <c r="IK13" i="115"/>
  <c r="IL13" i="115"/>
  <c r="IM13" i="115"/>
  <c r="IK14" i="115"/>
  <c r="IL14" i="115"/>
  <c r="IM14" i="115"/>
  <c r="IK15" i="115"/>
  <c r="IL15" i="115"/>
  <c r="IM15" i="115"/>
  <c r="IK16" i="115"/>
  <c r="IL16" i="115"/>
  <c r="IM16" i="115"/>
  <c r="IK17" i="115"/>
  <c r="IL17" i="115"/>
  <c r="IM17" i="115"/>
  <c r="AG24" i="37" s="1"/>
  <c r="AG23" i="37" s="1"/>
  <c r="IK18" i="115"/>
  <c r="IL18" i="115"/>
  <c r="IM18" i="115"/>
  <c r="IK19" i="115"/>
  <c r="IL19" i="115"/>
  <c r="IM19" i="115"/>
  <c r="AG50" i="37" s="1"/>
  <c r="IK20" i="115"/>
  <c r="IL20" i="115"/>
  <c r="IM20" i="115"/>
  <c r="IK21" i="115"/>
  <c r="IL21" i="115"/>
  <c r="IM21" i="115"/>
  <c r="IK22" i="115"/>
  <c r="IL22" i="115"/>
  <c r="IM22" i="115"/>
  <c r="IK23" i="115"/>
  <c r="IL23" i="115"/>
  <c r="IM23" i="115"/>
  <c r="AG38" i="37" s="1"/>
  <c r="IK24" i="115"/>
  <c r="IL24" i="115"/>
  <c r="IM24" i="115"/>
  <c r="IK25" i="115"/>
  <c r="IL25" i="115"/>
  <c r="IM25" i="115"/>
  <c r="IK26" i="115"/>
  <c r="IL26" i="115"/>
  <c r="IM26" i="115"/>
  <c r="AG39" i="37" s="1"/>
  <c r="IK27" i="115"/>
  <c r="IL27" i="115"/>
  <c r="IM27" i="115"/>
  <c r="AG40" i="37" s="1"/>
  <c r="IK28" i="115"/>
  <c r="IL28" i="115"/>
  <c r="IM28" i="115"/>
  <c r="IK29" i="115"/>
  <c r="IL29" i="115"/>
  <c r="IM29" i="115"/>
  <c r="IK30" i="115"/>
  <c r="IL30" i="115"/>
  <c r="IM30" i="115"/>
  <c r="AG41" i="37" s="1"/>
  <c r="IK31" i="115"/>
  <c r="IL31" i="115"/>
  <c r="IM31" i="115"/>
  <c r="AG43" i="37" s="1"/>
  <c r="IK32" i="115"/>
  <c r="IL32" i="115"/>
  <c r="IM32" i="115"/>
  <c r="IK33" i="115"/>
  <c r="IL33" i="115"/>
  <c r="IM33" i="115"/>
  <c r="IK34" i="115"/>
  <c r="IL34" i="115"/>
  <c r="IM34" i="115"/>
  <c r="AG44" i="37" s="1"/>
  <c r="IK35" i="115"/>
  <c r="IL35" i="115"/>
  <c r="IM35" i="115"/>
  <c r="IK36" i="115"/>
  <c r="IL36" i="115"/>
  <c r="IM36" i="115"/>
  <c r="AG45" i="37" s="1"/>
  <c r="IK37" i="115"/>
  <c r="IL37" i="115"/>
  <c r="IM37" i="115"/>
  <c r="AG46" i="37" s="1"/>
  <c r="IK38" i="115"/>
  <c r="IL38" i="115"/>
  <c r="IM38" i="115"/>
  <c r="IK39" i="115"/>
  <c r="IL39" i="115"/>
  <c r="IM39" i="115"/>
  <c r="AG47" i="37" s="1"/>
  <c r="IK40" i="115"/>
  <c r="IL40" i="115"/>
  <c r="IM40" i="115"/>
  <c r="AG48" i="37" s="1"/>
  <c r="IK41" i="115"/>
  <c r="IL41" i="115"/>
  <c r="IM41" i="115"/>
  <c r="AG49" i="37" s="1"/>
  <c r="IL3" i="115"/>
  <c r="IM3" i="115"/>
  <c r="AG15" i="37" s="1"/>
  <c r="IK3" i="115"/>
  <c r="HI3" i="115"/>
  <c r="GG3" i="114"/>
  <c r="GH3" i="114"/>
  <c r="GG4" i="114"/>
  <c r="GH4" i="114"/>
  <c r="GG5" i="114"/>
  <c r="GH5" i="114"/>
  <c r="GG6" i="114"/>
  <c r="GH6" i="114"/>
  <c r="GG7" i="114"/>
  <c r="GH7" i="114"/>
  <c r="GG8" i="114"/>
  <c r="GH8" i="114"/>
  <c r="GF4" i="114"/>
  <c r="GF5" i="114"/>
  <c r="GF6" i="114"/>
  <c r="GF7" i="114"/>
  <c r="GF8" i="114"/>
  <c r="GF3" i="114"/>
  <c r="FT4" i="114"/>
  <c r="FU4" i="114"/>
  <c r="FV4" i="114"/>
  <c r="FT5" i="114"/>
  <c r="FU5" i="114"/>
  <c r="FV5" i="114"/>
  <c r="FU3" i="114"/>
  <c r="FV3" i="114"/>
  <c r="FT3" i="114"/>
  <c r="O30" i="37" l="1"/>
  <c r="N207" i="39"/>
  <c r="AG42" i="37"/>
  <c r="AG37" i="37"/>
  <c r="N33" i="54"/>
  <c r="AG51" i="37"/>
  <c r="AG41" i="35"/>
  <c r="AG40" i="35" s="1"/>
  <c r="AG39" i="35" s="1"/>
  <c r="AG20" i="35"/>
  <c r="AG14" i="35"/>
  <c r="AG30" i="35"/>
  <c r="N40" i="37"/>
  <c r="O40" i="37" s="1"/>
  <c r="N51" i="37"/>
  <c r="N48" i="37"/>
  <c r="O48" i="37" s="1"/>
  <c r="N43" i="37"/>
  <c r="N45" i="37"/>
  <c r="O45" i="37" s="1"/>
  <c r="N44" i="37"/>
  <c r="O44" i="37" s="1"/>
  <c r="N39" i="37"/>
  <c r="O39" i="37" s="1"/>
  <c r="N38" i="37"/>
  <c r="N46" i="37"/>
  <c r="O46" i="37" s="1"/>
  <c r="N24" i="37"/>
  <c r="O24" i="37" s="1"/>
  <c r="N49" i="37"/>
  <c r="O49" i="37" s="1"/>
  <c r="N53" i="37"/>
  <c r="O53" i="37" s="1"/>
  <c r="N47" i="37"/>
  <c r="O47" i="37" s="1"/>
  <c r="AG16" i="37"/>
  <c r="AG14" i="37" s="1"/>
  <c r="AG12" i="37" s="1"/>
  <c r="I230" i="39"/>
  <c r="M33" i="37"/>
  <c r="N41" i="37"/>
  <c r="O41" i="37" s="1"/>
  <c r="AG146" i="4"/>
  <c r="M230" i="39" l="1"/>
  <c r="AG36" i="37"/>
  <c r="N42" i="37"/>
  <c r="O42" i="37" s="1"/>
  <c r="O43" i="37"/>
  <c r="O51" i="37"/>
  <c r="O38" i="37"/>
  <c r="N37" i="37"/>
  <c r="O37" i="37" s="1"/>
  <c r="O33" i="54"/>
  <c r="N32" i="54"/>
  <c r="O32" i="54" s="1"/>
  <c r="AG13" i="35"/>
  <c r="AG10" i="35" s="1"/>
  <c r="AG9" i="35" s="1"/>
  <c r="N33" i="37"/>
  <c r="O33" i="37" s="1"/>
  <c r="N230" i="39"/>
  <c r="O230" i="39" s="1"/>
  <c r="AG9" i="4"/>
  <c r="HK15" i="115"/>
  <c r="AF161" i="4"/>
  <c r="AF130" i="4"/>
  <c r="AF37" i="4"/>
  <c r="N36" i="37" l="1"/>
  <c r="O36" i="37" s="1"/>
  <c r="H189" i="39"/>
  <c r="P194" i="39"/>
  <c r="G194" i="39"/>
  <c r="F194" i="39"/>
  <c r="FM4" i="117" l="1"/>
  <c r="FN4" i="117"/>
  <c r="FO4" i="117"/>
  <c r="FP4" i="117"/>
  <c r="FM5" i="117"/>
  <c r="FN5" i="117"/>
  <c r="FO5" i="117"/>
  <c r="FP5" i="117"/>
  <c r="FM6" i="117"/>
  <c r="FN6" i="117"/>
  <c r="FO6" i="117"/>
  <c r="FP6" i="117"/>
  <c r="FM7" i="117"/>
  <c r="FN7" i="117"/>
  <c r="FO7" i="117"/>
  <c r="FP7" i="117"/>
  <c r="FM8" i="117"/>
  <c r="FN8" i="117"/>
  <c r="FO8" i="117"/>
  <c r="FP8" i="117"/>
  <c r="FM9" i="117"/>
  <c r="FN9" i="117"/>
  <c r="FO9" i="117"/>
  <c r="FP9" i="117"/>
  <c r="FM10" i="117"/>
  <c r="FN10" i="117"/>
  <c r="FO10" i="117"/>
  <c r="FP10" i="117"/>
  <c r="FM11" i="117"/>
  <c r="FN11" i="117"/>
  <c r="FO11" i="117"/>
  <c r="FP11" i="117"/>
  <c r="FM12" i="117"/>
  <c r="FN12" i="117"/>
  <c r="FO12" i="117"/>
  <c r="FP12" i="117"/>
  <c r="FM13" i="117"/>
  <c r="FN13" i="117"/>
  <c r="FO13" i="117"/>
  <c r="FP13" i="117"/>
  <c r="FM14" i="117"/>
  <c r="FN14" i="117"/>
  <c r="FO14" i="117"/>
  <c r="FP14" i="117"/>
  <c r="FM15" i="117"/>
  <c r="FN15" i="117"/>
  <c r="FO15" i="117"/>
  <c r="FP15" i="117"/>
  <c r="FM16" i="117"/>
  <c r="FN16" i="117"/>
  <c r="FO16" i="117"/>
  <c r="FP16" i="117"/>
  <c r="FM17" i="117"/>
  <c r="FN17" i="117"/>
  <c r="FO17" i="117"/>
  <c r="FP17" i="117"/>
  <c r="FM18" i="117"/>
  <c r="FN18" i="117"/>
  <c r="FO18" i="117"/>
  <c r="FP18" i="117"/>
  <c r="FM19" i="117"/>
  <c r="FN19" i="117"/>
  <c r="FO19" i="117"/>
  <c r="FP19" i="117"/>
  <c r="FM20" i="117"/>
  <c r="FN20" i="117"/>
  <c r="FO20" i="117"/>
  <c r="FP20" i="117"/>
  <c r="FM21" i="117"/>
  <c r="FN21" i="117"/>
  <c r="FO21" i="117"/>
  <c r="FP21" i="117"/>
  <c r="FM22" i="117"/>
  <c r="FN22" i="117"/>
  <c r="FO22" i="117"/>
  <c r="FP22" i="117"/>
  <c r="FM23" i="117"/>
  <c r="FN23" i="117"/>
  <c r="FO23" i="117"/>
  <c r="FP23" i="117"/>
  <c r="FM24" i="117"/>
  <c r="FN24" i="117"/>
  <c r="FO24" i="117"/>
  <c r="FP24" i="117"/>
  <c r="FM25" i="117"/>
  <c r="FN25" i="117"/>
  <c r="FO25" i="117"/>
  <c r="FP25" i="117"/>
  <c r="FM26" i="117"/>
  <c r="FN26" i="117"/>
  <c r="FO26" i="117"/>
  <c r="FP26" i="117"/>
  <c r="FM27" i="117"/>
  <c r="FN27" i="117"/>
  <c r="FO27" i="117"/>
  <c r="FP27" i="117"/>
  <c r="FM28" i="117"/>
  <c r="FN28" i="117"/>
  <c r="FO28" i="117"/>
  <c r="FP28" i="117"/>
  <c r="FM29" i="117"/>
  <c r="FN29" i="117"/>
  <c r="FO29" i="117"/>
  <c r="FP29" i="117"/>
  <c r="FM30" i="117"/>
  <c r="FN30" i="117"/>
  <c r="FO30" i="117"/>
  <c r="FP30" i="117"/>
  <c r="FM31" i="117"/>
  <c r="FN31" i="117"/>
  <c r="FO31" i="117"/>
  <c r="FP31" i="117"/>
  <c r="FM32" i="117"/>
  <c r="FN32" i="117"/>
  <c r="FO32" i="117"/>
  <c r="FP32" i="117"/>
  <c r="FM33" i="117"/>
  <c r="FN33" i="117"/>
  <c r="FO33" i="117"/>
  <c r="FP33" i="117"/>
  <c r="FM34" i="117"/>
  <c r="FN34" i="117"/>
  <c r="FO34" i="117"/>
  <c r="FP34" i="117"/>
  <c r="FM35" i="117"/>
  <c r="FN35" i="117"/>
  <c r="FO35" i="117"/>
  <c r="FP35" i="117"/>
  <c r="FM36" i="117"/>
  <c r="FN36" i="117"/>
  <c r="FO36" i="117"/>
  <c r="FP36" i="117"/>
  <c r="FM37" i="117"/>
  <c r="FN37" i="117"/>
  <c r="FO37" i="117"/>
  <c r="FP37" i="117"/>
  <c r="FM38" i="117"/>
  <c r="FN38" i="117"/>
  <c r="FO38" i="117"/>
  <c r="FP38" i="117"/>
  <c r="FM39" i="117"/>
  <c r="FN39" i="117"/>
  <c r="FO39" i="117"/>
  <c r="FP39" i="117"/>
  <c r="FM40" i="117"/>
  <c r="FN40" i="117"/>
  <c r="FO40" i="117"/>
  <c r="FP40" i="117"/>
  <c r="FM41" i="117"/>
  <c r="FN41" i="117"/>
  <c r="FO41" i="117"/>
  <c r="FP41" i="117"/>
  <c r="FM42" i="117"/>
  <c r="FN42" i="117"/>
  <c r="FO42" i="117"/>
  <c r="FP42" i="117"/>
  <c r="FM43" i="117"/>
  <c r="FN43" i="117"/>
  <c r="FO43" i="117"/>
  <c r="FP43" i="117"/>
  <c r="FM44" i="117"/>
  <c r="FN44" i="117"/>
  <c r="FO44" i="117"/>
  <c r="FP44" i="117"/>
  <c r="FM45" i="117"/>
  <c r="FN45" i="117"/>
  <c r="FO45" i="117"/>
  <c r="FP45" i="117"/>
  <c r="FM46" i="117"/>
  <c r="FN46" i="117"/>
  <c r="FO46" i="117"/>
  <c r="FP46" i="117"/>
  <c r="FM47" i="117"/>
  <c r="FN47" i="117"/>
  <c r="FO47" i="117"/>
  <c r="FP47" i="117"/>
  <c r="FM48" i="117"/>
  <c r="FN48" i="117"/>
  <c r="FO48" i="117"/>
  <c r="FP48" i="117"/>
  <c r="FM49" i="117"/>
  <c r="FN49" i="117"/>
  <c r="FO49" i="117"/>
  <c r="FP49" i="117"/>
  <c r="FM50" i="117"/>
  <c r="FN50" i="117"/>
  <c r="FO50" i="117"/>
  <c r="FP50" i="117"/>
  <c r="FM51" i="117"/>
  <c r="FN51" i="117"/>
  <c r="FO51" i="117"/>
  <c r="FP51" i="117"/>
  <c r="FM52" i="117"/>
  <c r="FN52" i="117"/>
  <c r="FO52" i="117"/>
  <c r="FP52" i="117"/>
  <c r="FM53" i="117"/>
  <c r="FN53" i="117"/>
  <c r="FO53" i="117"/>
  <c r="FP53" i="117"/>
  <c r="FM54" i="117"/>
  <c r="FN54" i="117"/>
  <c r="FO54" i="117"/>
  <c r="FP54" i="117"/>
  <c r="FM55" i="117"/>
  <c r="FN55" i="117"/>
  <c r="FO55" i="117"/>
  <c r="FP55" i="117"/>
  <c r="FM56" i="117"/>
  <c r="FN56" i="117"/>
  <c r="FO56" i="117"/>
  <c r="FP56" i="117"/>
  <c r="FM57" i="117"/>
  <c r="FN57" i="117"/>
  <c r="FO57" i="117"/>
  <c r="FP57" i="117"/>
  <c r="FM58" i="117"/>
  <c r="FN58" i="117"/>
  <c r="FO58" i="117"/>
  <c r="FP58" i="117"/>
  <c r="FM59" i="117"/>
  <c r="FN59" i="117"/>
  <c r="FO59" i="117"/>
  <c r="FP59" i="117"/>
  <c r="FM60" i="117"/>
  <c r="FN60" i="117"/>
  <c r="FO60" i="117"/>
  <c r="FP60" i="117"/>
  <c r="FM61" i="117"/>
  <c r="FN61" i="117"/>
  <c r="FO61" i="117"/>
  <c r="FP61" i="117"/>
  <c r="FM62" i="117"/>
  <c r="FN62" i="117"/>
  <c r="FO62" i="117"/>
  <c r="FP62" i="117"/>
  <c r="FM63" i="117"/>
  <c r="FN63" i="117"/>
  <c r="FO63" i="117"/>
  <c r="FP63" i="117"/>
  <c r="FM64" i="117"/>
  <c r="FN64" i="117"/>
  <c r="FO64" i="117"/>
  <c r="FP64" i="117"/>
  <c r="FM65" i="117"/>
  <c r="FN65" i="117"/>
  <c r="FO65" i="117"/>
  <c r="FP65" i="117"/>
  <c r="FM66" i="117"/>
  <c r="FN66" i="117"/>
  <c r="FO66" i="117"/>
  <c r="FP66" i="117"/>
  <c r="FM67" i="117"/>
  <c r="FN67" i="117"/>
  <c r="FO67" i="117"/>
  <c r="FP67" i="117"/>
  <c r="FM68" i="117"/>
  <c r="FN68" i="117"/>
  <c r="FO68" i="117"/>
  <c r="FP68" i="117"/>
  <c r="FM69" i="117"/>
  <c r="FN69" i="117"/>
  <c r="FO69" i="117"/>
  <c r="FP69" i="117"/>
  <c r="FM70" i="117"/>
  <c r="FN70" i="117"/>
  <c r="FO70" i="117"/>
  <c r="FP70" i="117"/>
  <c r="FM71" i="117"/>
  <c r="FN71" i="117"/>
  <c r="FO71" i="117"/>
  <c r="FP71" i="117"/>
  <c r="FM72" i="117"/>
  <c r="FN72" i="117"/>
  <c r="FO72" i="117"/>
  <c r="FP72" i="117"/>
  <c r="FM73" i="117"/>
  <c r="FN73" i="117"/>
  <c r="FO73" i="117"/>
  <c r="FP73" i="117"/>
  <c r="FM74" i="117"/>
  <c r="FN74" i="117"/>
  <c r="FO74" i="117"/>
  <c r="FP74" i="117"/>
  <c r="FM75" i="117"/>
  <c r="FN75" i="117"/>
  <c r="FO75" i="117"/>
  <c r="FP75" i="117"/>
  <c r="FM76" i="117"/>
  <c r="FN76" i="117"/>
  <c r="FO76" i="117"/>
  <c r="FP76" i="117"/>
  <c r="FM77" i="117"/>
  <c r="FN77" i="117"/>
  <c r="FO77" i="117"/>
  <c r="FP77" i="117"/>
  <c r="FM78" i="117"/>
  <c r="FN78" i="117"/>
  <c r="FO78" i="117"/>
  <c r="FP78" i="117"/>
  <c r="FM79" i="117"/>
  <c r="FN79" i="117"/>
  <c r="FO79" i="117"/>
  <c r="FP79" i="117"/>
  <c r="FM80" i="117"/>
  <c r="FN80" i="117"/>
  <c r="FO80" i="117"/>
  <c r="FP80" i="117"/>
  <c r="FM81" i="117"/>
  <c r="FN81" i="117"/>
  <c r="FO81" i="117"/>
  <c r="FP81" i="117"/>
  <c r="FM82" i="117"/>
  <c r="FN82" i="117"/>
  <c r="FO82" i="117"/>
  <c r="FP82" i="117"/>
  <c r="FM83" i="117"/>
  <c r="FN83" i="117"/>
  <c r="FO83" i="117"/>
  <c r="FP83" i="117"/>
  <c r="FM84" i="117"/>
  <c r="FN84" i="117"/>
  <c r="FO84" i="117"/>
  <c r="FP84" i="117"/>
  <c r="FM85" i="117"/>
  <c r="FN85" i="117"/>
  <c r="FO85" i="117"/>
  <c r="FP85" i="117"/>
  <c r="FM86" i="117"/>
  <c r="FN86" i="117"/>
  <c r="FO86" i="117"/>
  <c r="FP86" i="117"/>
  <c r="FM87" i="117"/>
  <c r="FN87" i="117"/>
  <c r="FO87" i="117"/>
  <c r="FP87" i="117"/>
  <c r="FM88" i="117"/>
  <c r="FN88" i="117"/>
  <c r="FO88" i="117"/>
  <c r="FP88" i="117"/>
  <c r="FM89" i="117"/>
  <c r="FN89" i="117"/>
  <c r="FO89" i="117"/>
  <c r="FP89" i="117"/>
  <c r="FM90" i="117"/>
  <c r="FN90" i="117"/>
  <c r="FO90" i="117"/>
  <c r="FP90" i="117"/>
  <c r="FM91" i="117"/>
  <c r="FN91" i="117"/>
  <c r="FO91" i="117"/>
  <c r="FP91" i="117"/>
  <c r="FM92" i="117"/>
  <c r="FN92" i="117"/>
  <c r="FO92" i="117"/>
  <c r="FP92" i="117"/>
  <c r="FM93" i="117"/>
  <c r="FN93" i="117"/>
  <c r="FO93" i="117"/>
  <c r="FP93" i="117"/>
  <c r="FM94" i="117"/>
  <c r="FN94" i="117"/>
  <c r="FO94" i="117"/>
  <c r="FP94" i="117"/>
  <c r="FM95" i="117"/>
  <c r="FN95" i="117"/>
  <c r="FO95" i="117"/>
  <c r="FP95" i="117"/>
  <c r="FM96" i="117"/>
  <c r="FN96" i="117"/>
  <c r="FO96" i="117"/>
  <c r="FP96" i="117"/>
  <c r="FM97" i="117"/>
  <c r="FN97" i="117"/>
  <c r="FO97" i="117"/>
  <c r="FP97" i="117"/>
  <c r="FM98" i="117"/>
  <c r="FN98" i="117"/>
  <c r="FO98" i="117"/>
  <c r="FP98" i="117"/>
  <c r="FM99" i="117"/>
  <c r="FN99" i="117"/>
  <c r="FO99" i="117"/>
  <c r="FP99" i="117"/>
  <c r="FM100" i="117"/>
  <c r="FN100" i="117"/>
  <c r="FO100" i="117"/>
  <c r="FP100" i="117"/>
  <c r="FM101" i="117"/>
  <c r="FN101" i="117"/>
  <c r="FO101" i="117"/>
  <c r="FP101" i="117"/>
  <c r="FM102" i="117"/>
  <c r="FN102" i="117"/>
  <c r="FO102" i="117"/>
  <c r="FP102" i="117"/>
  <c r="FM103" i="117"/>
  <c r="FN103" i="117"/>
  <c r="FO103" i="117"/>
  <c r="FP103" i="117"/>
  <c r="FM104" i="117"/>
  <c r="FN104" i="117"/>
  <c r="FO104" i="117"/>
  <c r="FP104" i="117"/>
  <c r="FM105" i="117"/>
  <c r="FN105" i="117"/>
  <c r="FO105" i="117"/>
  <c r="FP105" i="117"/>
  <c r="FM106" i="117"/>
  <c r="FN106" i="117"/>
  <c r="FO106" i="117"/>
  <c r="FP106" i="117"/>
  <c r="FM107" i="117"/>
  <c r="FN107" i="117"/>
  <c r="FO107" i="117"/>
  <c r="FP107" i="117"/>
  <c r="FM108" i="117"/>
  <c r="FN108" i="117"/>
  <c r="FO108" i="117"/>
  <c r="FP108" i="117"/>
  <c r="FM109" i="117"/>
  <c r="FN109" i="117"/>
  <c r="FO109" i="117"/>
  <c r="FP109" i="117"/>
  <c r="FM110" i="117"/>
  <c r="FN110" i="117"/>
  <c r="FO110" i="117"/>
  <c r="FP110" i="117"/>
  <c r="FM111" i="117"/>
  <c r="FN111" i="117"/>
  <c r="FO111" i="117"/>
  <c r="FP111" i="117"/>
  <c r="FM112" i="117"/>
  <c r="FN112" i="117"/>
  <c r="FO112" i="117"/>
  <c r="FP112" i="117"/>
  <c r="FM113" i="117"/>
  <c r="FN113" i="117"/>
  <c r="FO113" i="117"/>
  <c r="FP113" i="117"/>
  <c r="FM114" i="117"/>
  <c r="FN114" i="117"/>
  <c r="FO114" i="117"/>
  <c r="FP114" i="117"/>
  <c r="FM115" i="117"/>
  <c r="FN115" i="117"/>
  <c r="FO115" i="117"/>
  <c r="FP115" i="117"/>
  <c r="FM116" i="117"/>
  <c r="FN116" i="117"/>
  <c r="FO116" i="117"/>
  <c r="FP116" i="117"/>
  <c r="FM117" i="117"/>
  <c r="FN117" i="117"/>
  <c r="FO117" i="117"/>
  <c r="FP117" i="117"/>
  <c r="FM118" i="117"/>
  <c r="FN118" i="117"/>
  <c r="FO118" i="117"/>
  <c r="FP118" i="117"/>
  <c r="FM119" i="117"/>
  <c r="FN119" i="117"/>
  <c r="FO119" i="117"/>
  <c r="FP119" i="117"/>
  <c r="FM120" i="117"/>
  <c r="FN120" i="117"/>
  <c r="FO120" i="117"/>
  <c r="FP120" i="117"/>
  <c r="FM121" i="117"/>
  <c r="FN121" i="117"/>
  <c r="FO121" i="117"/>
  <c r="FP121" i="117"/>
  <c r="FM122" i="117"/>
  <c r="FN122" i="117"/>
  <c r="FO122" i="117"/>
  <c r="FP122" i="117"/>
  <c r="FM123" i="117"/>
  <c r="FN123" i="117"/>
  <c r="FO123" i="117"/>
  <c r="FP123" i="117"/>
  <c r="FM124" i="117"/>
  <c r="FN124" i="117"/>
  <c r="FO124" i="117"/>
  <c r="FP124" i="117"/>
  <c r="FM125" i="117"/>
  <c r="FN125" i="117"/>
  <c r="FO125" i="117"/>
  <c r="FP125" i="117"/>
  <c r="FM126" i="117"/>
  <c r="FN126" i="117"/>
  <c r="FO126" i="117"/>
  <c r="FP126" i="117"/>
  <c r="FM127" i="117"/>
  <c r="FN127" i="117"/>
  <c r="FO127" i="117"/>
  <c r="FP127" i="117"/>
  <c r="FM128" i="117"/>
  <c r="FN128" i="117"/>
  <c r="FO128" i="117"/>
  <c r="FP128" i="117"/>
  <c r="FM129" i="117"/>
  <c r="FN129" i="117"/>
  <c r="FO129" i="117"/>
  <c r="FP129" i="117"/>
  <c r="FM130" i="117"/>
  <c r="FN130" i="117"/>
  <c r="FO130" i="117"/>
  <c r="FP130" i="117"/>
  <c r="FM131" i="117"/>
  <c r="FN131" i="117"/>
  <c r="FO131" i="117"/>
  <c r="FP131" i="117"/>
  <c r="FM132" i="117"/>
  <c r="FN132" i="117"/>
  <c r="FO132" i="117"/>
  <c r="FP132" i="117"/>
  <c r="FM133" i="117"/>
  <c r="FN133" i="117"/>
  <c r="FO133" i="117"/>
  <c r="FP133" i="117"/>
  <c r="FM134" i="117"/>
  <c r="FN134" i="117"/>
  <c r="FO134" i="117"/>
  <c r="FP134" i="117"/>
  <c r="FM135" i="117"/>
  <c r="FN135" i="117"/>
  <c r="FO135" i="117"/>
  <c r="FP135" i="117"/>
  <c r="FM136" i="117"/>
  <c r="FN136" i="117"/>
  <c r="FO136" i="117"/>
  <c r="FP136" i="117"/>
  <c r="FM137" i="117"/>
  <c r="FN137" i="117"/>
  <c r="FO137" i="117"/>
  <c r="FP137" i="117"/>
  <c r="FM138" i="117"/>
  <c r="FN138" i="117"/>
  <c r="FO138" i="117"/>
  <c r="FP138" i="117"/>
  <c r="FM139" i="117"/>
  <c r="FN139" i="117"/>
  <c r="FO139" i="117"/>
  <c r="FP139" i="117"/>
  <c r="FM140" i="117"/>
  <c r="FN140" i="117"/>
  <c r="FO140" i="117"/>
  <c r="FP140" i="117"/>
  <c r="FM141" i="117"/>
  <c r="FN141" i="117"/>
  <c r="FO141" i="117"/>
  <c r="FP141" i="117"/>
  <c r="FM142" i="117"/>
  <c r="FN142" i="117"/>
  <c r="FO142" i="117"/>
  <c r="FP142" i="117"/>
  <c r="FM143" i="117"/>
  <c r="FN143" i="117"/>
  <c r="FO143" i="117"/>
  <c r="FP143" i="117"/>
  <c r="FM144" i="117"/>
  <c r="FN144" i="117"/>
  <c r="FO144" i="117"/>
  <c r="FP144" i="117"/>
  <c r="FM145" i="117"/>
  <c r="FN145" i="117"/>
  <c r="FO145" i="117"/>
  <c r="FP145" i="117"/>
  <c r="FM146" i="117"/>
  <c r="FN146" i="117"/>
  <c r="FO146" i="117"/>
  <c r="FP146" i="117"/>
  <c r="FM147" i="117"/>
  <c r="FN147" i="117"/>
  <c r="FO147" i="117"/>
  <c r="FP147" i="117"/>
  <c r="FM148" i="117"/>
  <c r="FN148" i="117"/>
  <c r="FO148" i="117"/>
  <c r="FP148" i="117"/>
  <c r="FM149" i="117"/>
  <c r="FN149" i="117"/>
  <c r="FO149" i="117"/>
  <c r="FP149" i="117"/>
  <c r="FM150" i="117"/>
  <c r="FN150" i="117"/>
  <c r="FO150" i="117"/>
  <c r="FP150" i="117"/>
  <c r="FM151" i="117"/>
  <c r="FN151" i="117"/>
  <c r="FO151" i="117"/>
  <c r="FP151" i="117"/>
  <c r="FM152" i="117"/>
  <c r="FN152" i="117"/>
  <c r="FO152" i="117"/>
  <c r="FP152" i="117"/>
  <c r="FN3" i="117"/>
  <c r="FO3" i="117"/>
  <c r="FP3" i="117"/>
  <c r="FM3" i="117"/>
  <c r="FC4" i="117"/>
  <c r="FC5" i="117"/>
  <c r="FC6" i="117"/>
  <c r="AF13" i="4" s="1"/>
  <c r="FC7" i="117"/>
  <c r="AF14" i="4" s="1"/>
  <c r="FC8" i="117"/>
  <c r="AF15" i="4" s="1"/>
  <c r="FC9" i="117"/>
  <c r="AF16" i="4" s="1"/>
  <c r="FC10" i="117"/>
  <c r="AF17" i="4" s="1"/>
  <c r="FC11" i="117"/>
  <c r="AF18" i="4" s="1"/>
  <c r="FC12" i="117"/>
  <c r="AF19" i="4" s="1"/>
  <c r="FC13" i="117"/>
  <c r="AF20" i="4" s="1"/>
  <c r="FC14" i="117"/>
  <c r="AF21" i="4" s="1"/>
  <c r="FC15" i="117"/>
  <c r="AF22" i="4" s="1"/>
  <c r="FC16" i="117"/>
  <c r="FC17" i="117"/>
  <c r="AF27" i="4" s="1"/>
  <c r="AF25" i="4" s="1"/>
  <c r="FC18" i="117"/>
  <c r="FC19" i="117"/>
  <c r="AF29" i="4" s="1"/>
  <c r="AF28" i="4" s="1"/>
  <c r="FC20" i="117"/>
  <c r="AF30" i="4" s="1"/>
  <c r="FC21" i="117"/>
  <c r="FC22" i="117"/>
  <c r="AF33" i="4" s="1"/>
  <c r="FC23" i="117"/>
  <c r="AF35" i="4" s="1"/>
  <c r="FC24" i="117"/>
  <c r="AF36" i="4" s="1"/>
  <c r="FC25" i="117"/>
  <c r="FC26" i="117"/>
  <c r="FC27" i="117"/>
  <c r="FC28" i="117"/>
  <c r="AF43" i="4" s="1"/>
  <c r="FC29" i="117"/>
  <c r="AF44" i="4" s="1"/>
  <c r="FC30" i="117"/>
  <c r="AF45" i="4" s="1"/>
  <c r="FC31" i="117"/>
  <c r="AF46" i="4" s="1"/>
  <c r="FC32" i="117"/>
  <c r="AF48" i="4" s="1"/>
  <c r="FC33" i="117"/>
  <c r="AF49" i="4" s="1"/>
  <c r="FC34" i="117"/>
  <c r="AF50" i="4" s="1"/>
  <c r="FC35" i="117"/>
  <c r="AF51" i="4" s="1"/>
  <c r="FC36" i="117"/>
  <c r="AF52" i="4" s="1"/>
  <c r="FC37" i="117"/>
  <c r="FC38" i="117"/>
  <c r="AF58" i="4" s="1"/>
  <c r="AF56" i="4" s="1"/>
  <c r="FC39" i="117"/>
  <c r="FC40" i="117"/>
  <c r="AF60" i="4" s="1"/>
  <c r="FC41" i="117"/>
  <c r="AF61" i="4" s="1"/>
  <c r="FC42" i="117"/>
  <c r="FC43" i="117"/>
  <c r="AF64" i="4" s="1"/>
  <c r="FC44" i="117"/>
  <c r="AF65" i="4" s="1"/>
  <c r="FC45" i="117"/>
  <c r="AF66" i="4" s="1"/>
  <c r="FC46" i="117"/>
  <c r="FC47" i="117"/>
  <c r="AF69" i="4" s="1"/>
  <c r="AF68" i="4" s="1"/>
  <c r="FC48" i="117"/>
  <c r="FC49" i="117"/>
  <c r="FC50" i="117"/>
  <c r="AF74" i="4" s="1"/>
  <c r="FC51" i="117"/>
  <c r="AF75" i="4" s="1"/>
  <c r="FC52" i="117"/>
  <c r="AF76" i="4" s="1"/>
  <c r="FC53" i="117"/>
  <c r="AF77" i="4" s="1"/>
  <c r="FC54" i="117"/>
  <c r="FC55" i="117"/>
  <c r="FC56" i="117"/>
  <c r="AF80" i="4" s="1"/>
  <c r="AF79" i="4" s="1"/>
  <c r="FC57" i="117"/>
  <c r="FC58" i="117"/>
  <c r="AF86" i="4" s="1"/>
  <c r="FC59" i="117"/>
  <c r="AF87" i="4" s="1"/>
  <c r="FC60" i="117"/>
  <c r="AF88" i="4" s="1"/>
  <c r="FC61" i="117"/>
  <c r="AF90" i="4" s="1"/>
  <c r="FC62" i="117"/>
  <c r="AF92" i="4" s="1"/>
  <c r="FC63" i="117"/>
  <c r="AF93" i="4" s="1"/>
  <c r="FC64" i="117"/>
  <c r="AF95" i="4" s="1"/>
  <c r="FC65" i="117"/>
  <c r="AF96" i="4" s="1"/>
  <c r="FC66" i="117"/>
  <c r="FC67" i="117"/>
  <c r="AF99" i="4" s="1"/>
  <c r="FC68" i="117"/>
  <c r="AF100" i="4" s="1"/>
  <c r="FC69" i="117"/>
  <c r="AF102" i="4" s="1"/>
  <c r="FC70" i="117"/>
  <c r="AF103" i="4" s="1"/>
  <c r="FC71" i="117"/>
  <c r="AF104" i="4" s="1"/>
  <c r="FC72" i="117"/>
  <c r="AF105" i="4" s="1"/>
  <c r="FC73" i="117"/>
  <c r="AF106" i="4" s="1"/>
  <c r="FC74" i="117"/>
  <c r="FC75" i="117"/>
  <c r="AF108" i="4" s="1"/>
  <c r="FC76" i="117"/>
  <c r="AF109" i="4" s="1"/>
  <c r="FC77" i="117"/>
  <c r="AF110" i="4" s="1"/>
  <c r="FC78" i="117"/>
  <c r="AF113" i="4" s="1"/>
  <c r="FC79" i="117"/>
  <c r="FC80" i="117"/>
  <c r="AF116" i="4" s="1"/>
  <c r="FC81" i="117"/>
  <c r="AF117" i="4" s="1"/>
  <c r="FC82" i="117"/>
  <c r="FC83" i="117"/>
  <c r="AF119" i="4" s="1"/>
  <c r="FC84" i="117"/>
  <c r="AF121" i="4" s="1"/>
  <c r="FC85" i="117"/>
  <c r="AF122" i="4" s="1"/>
  <c r="FC86" i="117"/>
  <c r="AF124" i="4" s="1"/>
  <c r="FC87" i="117"/>
  <c r="FC88" i="117"/>
  <c r="AF126" i="4" s="1"/>
  <c r="FC89" i="117"/>
  <c r="AF127" i="4" s="1"/>
  <c r="FC90" i="117"/>
  <c r="AF128" i="4" s="1"/>
  <c r="FC91" i="117"/>
  <c r="AF129" i="4" s="1"/>
  <c r="FC92" i="117"/>
  <c r="FC93" i="117"/>
  <c r="AF134" i="4" s="1"/>
  <c r="FC94" i="117"/>
  <c r="AF135" i="4" s="1"/>
  <c r="FC95" i="117"/>
  <c r="AF136" i="4" s="1"/>
  <c r="FC96" i="117"/>
  <c r="AF137" i="4" s="1"/>
  <c r="FC97" i="117"/>
  <c r="FC98" i="117"/>
  <c r="AF139" i="4" s="1"/>
  <c r="AF138" i="4" s="1"/>
  <c r="FC99" i="117"/>
  <c r="AF140" i="4" s="1"/>
  <c r="FC100" i="117"/>
  <c r="FC101" i="117"/>
  <c r="FC102" i="117"/>
  <c r="AF148" i="4" s="1"/>
  <c r="FC103" i="117"/>
  <c r="FC104" i="117"/>
  <c r="FC105" i="117"/>
  <c r="AF158" i="4" s="1"/>
  <c r="FC106" i="117"/>
  <c r="AF152" i="4" s="1"/>
  <c r="FC107" i="117"/>
  <c r="AF160" i="4" s="1"/>
  <c r="FC108" i="117"/>
  <c r="FC109" i="117"/>
  <c r="FC110" i="117"/>
  <c r="AF168" i="4" s="1"/>
  <c r="AF167" i="4" s="1"/>
  <c r="FC111" i="117"/>
  <c r="AF169" i="4" s="1"/>
  <c r="FC112" i="117"/>
  <c r="AF174" i="4" s="1"/>
  <c r="FC113" i="117"/>
  <c r="AF175" i="4" s="1"/>
  <c r="FC114" i="117"/>
  <c r="AF177" i="4" s="1"/>
  <c r="FC115" i="117"/>
  <c r="AF178" i="4" s="1"/>
  <c r="FC116" i="117"/>
  <c r="FC117" i="117"/>
  <c r="AF179" i="4" s="1"/>
  <c r="FC118" i="117"/>
  <c r="FC119" i="117"/>
  <c r="FC3" i="117"/>
  <c r="AF28" i="35"/>
  <c r="AF26" i="35"/>
  <c r="HP4" i="116"/>
  <c r="HQ4" i="116"/>
  <c r="HR4" i="116"/>
  <c r="HP5" i="116"/>
  <c r="HQ5" i="116"/>
  <c r="HR5" i="116"/>
  <c r="HP6" i="116"/>
  <c r="HQ6" i="116"/>
  <c r="HR6" i="116"/>
  <c r="HP7" i="116"/>
  <c r="HQ7" i="116"/>
  <c r="HR7" i="116"/>
  <c r="HP8" i="116"/>
  <c r="HQ8" i="116"/>
  <c r="HR8" i="116"/>
  <c r="HP9" i="116"/>
  <c r="HQ9" i="116"/>
  <c r="HR9" i="116"/>
  <c r="HP10" i="116"/>
  <c r="HQ10" i="116"/>
  <c r="HR10" i="116"/>
  <c r="HP11" i="116"/>
  <c r="HQ11" i="116"/>
  <c r="HR11" i="116"/>
  <c r="HP12" i="116"/>
  <c r="HQ12" i="116"/>
  <c r="HR12" i="116"/>
  <c r="HP13" i="116"/>
  <c r="HQ13" i="116"/>
  <c r="HR13" i="116"/>
  <c r="HP14" i="116"/>
  <c r="HQ14" i="116"/>
  <c r="HR14" i="116"/>
  <c r="HP15" i="116"/>
  <c r="HQ15" i="116"/>
  <c r="HR15" i="116"/>
  <c r="HP16" i="116"/>
  <c r="HQ16" i="116"/>
  <c r="HR16" i="116"/>
  <c r="HP17" i="116"/>
  <c r="HQ17" i="116"/>
  <c r="HR17" i="116"/>
  <c r="HP18" i="116"/>
  <c r="HQ18" i="116"/>
  <c r="HR18" i="116"/>
  <c r="HP19" i="116"/>
  <c r="HQ19" i="116"/>
  <c r="HR19" i="116"/>
  <c r="HP20" i="116"/>
  <c r="HQ20" i="116"/>
  <c r="HR20" i="116"/>
  <c r="HP21" i="116"/>
  <c r="HQ21" i="116"/>
  <c r="HR21" i="116"/>
  <c r="HP22" i="116"/>
  <c r="HQ22" i="116"/>
  <c r="HR22" i="116"/>
  <c r="HP23" i="116"/>
  <c r="HQ23" i="116"/>
  <c r="HR23" i="116"/>
  <c r="HP24" i="116"/>
  <c r="HQ24" i="116"/>
  <c r="HR24" i="116"/>
  <c r="HP25" i="116"/>
  <c r="HQ25" i="116"/>
  <c r="HR25" i="116"/>
  <c r="HP26" i="116"/>
  <c r="HQ26" i="116"/>
  <c r="HR26" i="116"/>
  <c r="HP27" i="116"/>
  <c r="HQ27" i="116"/>
  <c r="HR27" i="116"/>
  <c r="HP28" i="116"/>
  <c r="HQ28" i="116"/>
  <c r="HR28" i="116"/>
  <c r="HP29" i="116"/>
  <c r="HQ29" i="116"/>
  <c r="HR29" i="116"/>
  <c r="HP30" i="116"/>
  <c r="HQ30" i="116"/>
  <c r="HR30" i="116"/>
  <c r="HP31" i="116"/>
  <c r="HQ31" i="116"/>
  <c r="HR31" i="116"/>
  <c r="HP32" i="116"/>
  <c r="HQ32" i="116"/>
  <c r="HR32" i="116"/>
  <c r="HP33" i="116"/>
  <c r="HQ33" i="116"/>
  <c r="HR33" i="116"/>
  <c r="HP34" i="116"/>
  <c r="HQ34" i="116"/>
  <c r="HR34" i="116"/>
  <c r="HP35" i="116"/>
  <c r="HQ35" i="116"/>
  <c r="HR35" i="116"/>
  <c r="HP36" i="116"/>
  <c r="HQ36" i="116"/>
  <c r="HR36" i="116"/>
  <c r="HP37" i="116"/>
  <c r="HQ37" i="116"/>
  <c r="HR37" i="116"/>
  <c r="HP38" i="116"/>
  <c r="HQ38" i="116"/>
  <c r="HR38" i="116"/>
  <c r="HP39" i="116"/>
  <c r="HQ39" i="116"/>
  <c r="HR39" i="116"/>
  <c r="HP40" i="116"/>
  <c r="HQ40" i="116"/>
  <c r="HR40" i="116"/>
  <c r="HP41" i="116"/>
  <c r="HQ41" i="116"/>
  <c r="HR41" i="116"/>
  <c r="HP42" i="116"/>
  <c r="HQ42" i="116"/>
  <c r="HR42" i="116"/>
  <c r="HP43" i="116"/>
  <c r="HQ43" i="116"/>
  <c r="HR43" i="116"/>
  <c r="HP44" i="116"/>
  <c r="HQ44" i="116"/>
  <c r="HR44" i="116"/>
  <c r="HP45" i="116"/>
  <c r="HQ45" i="116"/>
  <c r="HR45" i="116"/>
  <c r="HP46" i="116"/>
  <c r="HQ46" i="116"/>
  <c r="HR46" i="116"/>
  <c r="HP47" i="116"/>
  <c r="HQ47" i="116"/>
  <c r="HR47" i="116"/>
  <c r="HP48" i="116"/>
  <c r="HQ48" i="116"/>
  <c r="HR48" i="116"/>
  <c r="HP49" i="116"/>
  <c r="HQ49" i="116"/>
  <c r="HR49" i="116"/>
  <c r="HP50" i="116"/>
  <c r="HQ50" i="116"/>
  <c r="HR50" i="116"/>
  <c r="HP51" i="116"/>
  <c r="HQ51" i="116"/>
  <c r="HR51" i="116"/>
  <c r="HP52" i="116"/>
  <c r="HQ52" i="116"/>
  <c r="HR52" i="116"/>
  <c r="HP53" i="116"/>
  <c r="HQ53" i="116"/>
  <c r="HR53" i="116"/>
  <c r="HP54" i="116"/>
  <c r="HQ54" i="116"/>
  <c r="HR54" i="116"/>
  <c r="HP55" i="116"/>
  <c r="HQ55" i="116"/>
  <c r="HR55" i="116"/>
  <c r="HQ3" i="116"/>
  <c r="HR3" i="116"/>
  <c r="HP3" i="116"/>
  <c r="HD4" i="116"/>
  <c r="HD5" i="116"/>
  <c r="AF16" i="35" s="1"/>
  <c r="HD6" i="116"/>
  <c r="AF15" i="35" s="1"/>
  <c r="HD7" i="116"/>
  <c r="HD8" i="116"/>
  <c r="HD9" i="116"/>
  <c r="HD10" i="116"/>
  <c r="AF22" i="35" s="1"/>
  <c r="HD11" i="116"/>
  <c r="AF25" i="35" s="1"/>
  <c r="HD12" i="116"/>
  <c r="AF23" i="35" s="1"/>
  <c r="HD13" i="116"/>
  <c r="AF21" i="35" s="1"/>
  <c r="HD14" i="116"/>
  <c r="HD15" i="116"/>
  <c r="HD16" i="116"/>
  <c r="HD17" i="116"/>
  <c r="HD18" i="116"/>
  <c r="AF32" i="35" s="1"/>
  <c r="AF30" i="35" s="1"/>
  <c r="HD19" i="116"/>
  <c r="HD20" i="116"/>
  <c r="HD21" i="116"/>
  <c r="HD22" i="116"/>
  <c r="AF42" i="35" s="1"/>
  <c r="HD23" i="116"/>
  <c r="AF43" i="35" s="1"/>
  <c r="HD24" i="116"/>
  <c r="AF44" i="35" s="1"/>
  <c r="HD3" i="116"/>
  <c r="Q241" i="39"/>
  <c r="P241" i="39"/>
  <c r="J250" i="39"/>
  <c r="J252" i="39"/>
  <c r="J253" i="39"/>
  <c r="H241" i="39"/>
  <c r="G41" i="37"/>
  <c r="G77" i="37" s="1"/>
  <c r="HW4" i="115"/>
  <c r="HX4" i="115"/>
  <c r="HY4" i="115"/>
  <c r="HW5" i="115"/>
  <c r="HX5" i="115"/>
  <c r="HY5" i="115"/>
  <c r="HW6" i="115"/>
  <c r="HX6" i="115"/>
  <c r="HY6" i="115"/>
  <c r="HW7" i="115"/>
  <c r="HX7" i="115"/>
  <c r="HY7" i="115"/>
  <c r="HW8" i="115"/>
  <c r="HX8" i="115"/>
  <c r="HY8" i="115"/>
  <c r="HW9" i="115"/>
  <c r="HX9" i="115"/>
  <c r="HY9" i="115"/>
  <c r="HW10" i="115"/>
  <c r="HX10" i="115"/>
  <c r="HY10" i="115"/>
  <c r="HW11" i="115"/>
  <c r="HX11" i="115"/>
  <c r="HY11" i="115"/>
  <c r="HW12" i="115"/>
  <c r="HX12" i="115"/>
  <c r="HY12" i="115"/>
  <c r="HW13" i="115"/>
  <c r="HX13" i="115"/>
  <c r="HY13" i="115"/>
  <c r="HW14" i="115"/>
  <c r="HX14" i="115"/>
  <c r="HY14" i="115"/>
  <c r="HW15" i="115"/>
  <c r="HX15" i="115"/>
  <c r="HY15" i="115"/>
  <c r="HW16" i="115"/>
  <c r="HX16" i="115"/>
  <c r="HY16" i="115"/>
  <c r="HW17" i="115"/>
  <c r="HX17" i="115"/>
  <c r="HY17" i="115"/>
  <c r="HW18" i="115"/>
  <c r="HX18" i="115"/>
  <c r="HY18" i="115"/>
  <c r="HW19" i="115"/>
  <c r="HX19" i="115"/>
  <c r="HY19" i="115"/>
  <c r="HW20" i="115"/>
  <c r="HX20" i="115"/>
  <c r="HY20" i="115"/>
  <c r="HW21" i="115"/>
  <c r="HX21" i="115"/>
  <c r="HY21" i="115"/>
  <c r="HW22" i="115"/>
  <c r="HX22" i="115"/>
  <c r="HY22" i="115"/>
  <c r="HW23" i="115"/>
  <c r="HX23" i="115"/>
  <c r="HY23" i="115"/>
  <c r="HW24" i="115"/>
  <c r="HX24" i="115"/>
  <c r="HY24" i="115"/>
  <c r="HW25" i="115"/>
  <c r="HX25" i="115"/>
  <c r="HY25" i="115"/>
  <c r="HW26" i="115"/>
  <c r="HX26" i="115"/>
  <c r="HY26" i="115"/>
  <c r="HW27" i="115"/>
  <c r="HX27" i="115"/>
  <c r="HY27" i="115"/>
  <c r="HW28" i="115"/>
  <c r="HX28" i="115"/>
  <c r="HY28" i="115"/>
  <c r="HW29" i="115"/>
  <c r="HX29" i="115"/>
  <c r="HY29" i="115"/>
  <c r="HW30" i="115"/>
  <c r="HX30" i="115"/>
  <c r="HY30" i="115"/>
  <c r="HW31" i="115"/>
  <c r="HX31" i="115"/>
  <c r="HY31" i="115"/>
  <c r="HW32" i="115"/>
  <c r="HX32" i="115"/>
  <c r="HY32" i="115"/>
  <c r="HW33" i="115"/>
  <c r="HX33" i="115"/>
  <c r="HY33" i="115"/>
  <c r="HW34" i="115"/>
  <c r="HX34" i="115"/>
  <c r="HY34" i="115"/>
  <c r="HW35" i="115"/>
  <c r="HX35" i="115"/>
  <c r="HY35" i="115"/>
  <c r="HW36" i="115"/>
  <c r="HX36" i="115"/>
  <c r="HY36" i="115"/>
  <c r="HW37" i="115"/>
  <c r="HX37" i="115"/>
  <c r="HY37" i="115"/>
  <c r="HW38" i="115"/>
  <c r="HX38" i="115"/>
  <c r="HY38" i="115"/>
  <c r="HW39" i="115"/>
  <c r="HX39" i="115"/>
  <c r="HY39" i="115"/>
  <c r="HW40" i="115"/>
  <c r="HX40" i="115"/>
  <c r="HY40" i="115"/>
  <c r="HW41" i="115"/>
  <c r="HX41" i="115"/>
  <c r="HY41" i="115"/>
  <c r="HW42" i="115"/>
  <c r="HX42" i="115"/>
  <c r="HY42" i="115"/>
  <c r="HW43" i="115"/>
  <c r="HX43" i="115"/>
  <c r="HY43" i="115"/>
  <c r="HW44" i="115"/>
  <c r="HX44" i="115"/>
  <c r="HY44" i="115"/>
  <c r="HW45" i="115"/>
  <c r="HX45" i="115"/>
  <c r="HY45" i="115"/>
  <c r="HW46" i="115"/>
  <c r="HX46" i="115"/>
  <c r="HY46" i="115"/>
  <c r="HW47" i="115"/>
  <c r="HX47" i="115"/>
  <c r="HY47" i="115"/>
  <c r="HW48" i="115"/>
  <c r="HX48" i="115"/>
  <c r="HY48" i="115"/>
  <c r="HW49" i="115"/>
  <c r="HX49" i="115"/>
  <c r="HY49" i="115"/>
  <c r="HW50" i="115"/>
  <c r="HX50" i="115"/>
  <c r="HY50" i="115"/>
  <c r="HW51" i="115"/>
  <c r="HX51" i="115"/>
  <c r="L52" i="37" s="1"/>
  <c r="HY51" i="115"/>
  <c r="HX3" i="115"/>
  <c r="HY3" i="115"/>
  <c r="HW3" i="115"/>
  <c r="HI4" i="115"/>
  <c r="HJ4" i="115"/>
  <c r="HK4" i="115"/>
  <c r="AF18" i="37" s="1"/>
  <c r="HI5" i="115"/>
  <c r="HJ5" i="115"/>
  <c r="HK5" i="115"/>
  <c r="AF20" i="37" s="1"/>
  <c r="HI6" i="115"/>
  <c r="HJ6" i="115"/>
  <c r="HK6" i="115"/>
  <c r="AF19" i="37" s="1"/>
  <c r="HI7" i="115"/>
  <c r="HJ7" i="115"/>
  <c r="HK7" i="115"/>
  <c r="AF50" i="37" s="1"/>
  <c r="HI8" i="115"/>
  <c r="HJ8" i="115"/>
  <c r="HK8" i="115"/>
  <c r="HI9" i="115"/>
  <c r="HJ9" i="115"/>
  <c r="HK9" i="115"/>
  <c r="HI10" i="115"/>
  <c r="HJ10" i="115"/>
  <c r="HK10" i="115"/>
  <c r="AF38" i="37" s="1"/>
  <c r="HI11" i="115"/>
  <c r="HJ11" i="115"/>
  <c r="HK11" i="115"/>
  <c r="AF39" i="37" s="1"/>
  <c r="HI12" i="115"/>
  <c r="HJ12" i="115"/>
  <c r="HK12" i="115"/>
  <c r="HI13" i="115"/>
  <c r="HJ13" i="115"/>
  <c r="HK13" i="115"/>
  <c r="AF40" i="37" s="1"/>
  <c r="HI14" i="115"/>
  <c r="HJ14" i="115"/>
  <c r="HK14" i="115"/>
  <c r="HI15" i="115"/>
  <c r="HJ15" i="115"/>
  <c r="AF43" i="37"/>
  <c r="HI16" i="115"/>
  <c r="HJ16" i="115"/>
  <c r="HK16" i="115"/>
  <c r="HI17" i="115"/>
  <c r="HJ17" i="115"/>
  <c r="HK17" i="115"/>
  <c r="HI18" i="115"/>
  <c r="HJ18" i="115"/>
  <c r="HK18" i="115"/>
  <c r="AF46" i="37" s="1"/>
  <c r="HI19" i="115"/>
  <c r="HJ19" i="115"/>
  <c r="HK19" i="115"/>
  <c r="AF47" i="37" s="1"/>
  <c r="HI20" i="115"/>
  <c r="HJ20" i="115"/>
  <c r="HK20" i="115"/>
  <c r="HI21" i="115"/>
  <c r="HJ21" i="115"/>
  <c r="HK21" i="115"/>
  <c r="AF48" i="37" s="1"/>
  <c r="HI22" i="115"/>
  <c r="HJ22" i="115"/>
  <c r="HK22" i="115"/>
  <c r="AF49" i="37" s="1"/>
  <c r="HJ3" i="115"/>
  <c r="HK3" i="115"/>
  <c r="O13" i="54"/>
  <c r="O14" i="54"/>
  <c r="O15" i="54"/>
  <c r="O16" i="54"/>
  <c r="O17" i="54"/>
  <c r="O18" i="54"/>
  <c r="O19" i="54"/>
  <c r="O20" i="54"/>
  <c r="O21" i="54"/>
  <c r="O22" i="54"/>
  <c r="O23" i="54"/>
  <c r="O24" i="54"/>
  <c r="O25" i="54"/>
  <c r="O26" i="54"/>
  <c r="O27" i="54"/>
  <c r="M13" i="54"/>
  <c r="M14" i="54"/>
  <c r="M15" i="54"/>
  <c r="M16" i="54"/>
  <c r="M17" i="54"/>
  <c r="M18" i="54"/>
  <c r="M19" i="54"/>
  <c r="M20" i="54"/>
  <c r="M21" i="54"/>
  <c r="M22" i="54"/>
  <c r="M23" i="54"/>
  <c r="M24" i="54"/>
  <c r="M25" i="54"/>
  <c r="M26" i="54"/>
  <c r="M27" i="54"/>
  <c r="M28" i="54"/>
  <c r="M29" i="54"/>
  <c r="M30" i="54"/>
  <c r="M31" i="54"/>
  <c r="K13" i="54"/>
  <c r="K14" i="54"/>
  <c r="K15" i="54"/>
  <c r="K16" i="54"/>
  <c r="K17" i="54"/>
  <c r="K18" i="54"/>
  <c r="K19" i="54"/>
  <c r="K20" i="54"/>
  <c r="K21" i="54"/>
  <c r="K22" i="54"/>
  <c r="K23" i="54"/>
  <c r="K24" i="54"/>
  <c r="K25" i="54"/>
  <c r="K26" i="54"/>
  <c r="K27" i="54"/>
  <c r="K28" i="54"/>
  <c r="K29" i="54"/>
  <c r="K30" i="54"/>
  <c r="K31" i="54"/>
  <c r="FH4" i="114"/>
  <c r="FI4" i="114"/>
  <c r="FJ4" i="114"/>
  <c r="FH5" i="114"/>
  <c r="FI5" i="114"/>
  <c r="FJ5" i="114"/>
  <c r="FH6" i="114"/>
  <c r="FI6" i="114"/>
  <c r="L34" i="54" s="1"/>
  <c r="FJ6" i="114"/>
  <c r="FH7" i="114"/>
  <c r="FI7" i="114"/>
  <c r="FJ7" i="114"/>
  <c r="FH8" i="114"/>
  <c r="FI8" i="114"/>
  <c r="FJ8" i="114"/>
  <c r="FI3" i="114"/>
  <c r="FJ3" i="114"/>
  <c r="FH3" i="114"/>
  <c r="EX3" i="114"/>
  <c r="AF57" i="54" s="1"/>
  <c r="AF35" i="54" s="1"/>
  <c r="AF34" i="54" s="1"/>
  <c r="AF9" i="54" s="1"/>
  <c r="L274" i="39" l="1"/>
  <c r="N52" i="37"/>
  <c r="R241" i="39"/>
  <c r="AF37" i="37"/>
  <c r="AF42" i="37"/>
  <c r="AF118" i="4"/>
  <c r="AF115" i="4"/>
  <c r="AF59" i="4"/>
  <c r="AF63" i="4"/>
  <c r="L241" i="39"/>
  <c r="I241" i="39"/>
  <c r="AF155" i="4"/>
  <c r="AF154" i="4" s="1"/>
  <c r="AF150" i="4"/>
  <c r="AF147" i="4" s="1"/>
  <c r="AF125" i="4"/>
  <c r="AF32" i="4"/>
  <c r="AF12" i="4"/>
  <c r="AF133" i="4"/>
  <c r="AF42" i="4"/>
  <c r="AF107" i="4"/>
  <c r="AF98" i="4"/>
  <c r="AF85" i="4"/>
  <c r="AF73" i="4"/>
  <c r="AF72" i="4" s="1"/>
  <c r="AF17" i="37"/>
  <c r="AF16" i="37" s="1"/>
  <c r="AF14" i="37" s="1"/>
  <c r="AF12" i="37" s="1"/>
  <c r="HK23" i="115"/>
  <c r="AF51" i="37"/>
  <c r="FC120" i="117"/>
  <c r="AF20" i="35"/>
  <c r="AF41" i="35"/>
  <c r="AF40" i="35" s="1"/>
  <c r="AF39" i="35" s="1"/>
  <c r="AF14" i="35"/>
  <c r="M241" i="39" l="1"/>
  <c r="AF36" i="37"/>
  <c r="AF41" i="4"/>
  <c r="AF78" i="4"/>
  <c r="AF11" i="4"/>
  <c r="AF146" i="4"/>
  <c r="N241" i="39"/>
  <c r="O241" i="39" s="1"/>
  <c r="AF13" i="35"/>
  <c r="AF10" i="35" s="1"/>
  <c r="AF9" i="35" s="1"/>
  <c r="AF10" i="4" l="1"/>
  <c r="AF9" i="4" s="1"/>
  <c r="AE182" i="4"/>
  <c r="AE162" i="4"/>
  <c r="AE163" i="4"/>
  <c r="AE164" i="4"/>
  <c r="AE165" i="4"/>
  <c r="AE173" i="4"/>
  <c r="AE178" i="4"/>
  <c r="AE179" i="4"/>
  <c r="AE180" i="4"/>
  <c r="AE181" i="4"/>
  <c r="ES4" i="117"/>
  <c r="ET4" i="117"/>
  <c r="EU4" i="117"/>
  <c r="EV4" i="117"/>
  <c r="ES5" i="117"/>
  <c r="ET5" i="117"/>
  <c r="EU5" i="117"/>
  <c r="EV5" i="117"/>
  <c r="ES6" i="117"/>
  <c r="ET6" i="117"/>
  <c r="EU6" i="117"/>
  <c r="EV6" i="117"/>
  <c r="ES7" i="117"/>
  <c r="ET7" i="117"/>
  <c r="EU7" i="117"/>
  <c r="EV7" i="117"/>
  <c r="ES8" i="117"/>
  <c r="ET8" i="117"/>
  <c r="EU8" i="117"/>
  <c r="EV8" i="117"/>
  <c r="ES9" i="117"/>
  <c r="ET9" i="117"/>
  <c r="EU9" i="117"/>
  <c r="EV9" i="117"/>
  <c r="ES10" i="117"/>
  <c r="ET10" i="117"/>
  <c r="EU10" i="117"/>
  <c r="EV10" i="117"/>
  <c r="ES11" i="117"/>
  <c r="ET11" i="117"/>
  <c r="EU11" i="117"/>
  <c r="EV11" i="117"/>
  <c r="ES12" i="117"/>
  <c r="ET12" i="117"/>
  <c r="EU12" i="117"/>
  <c r="EV12" i="117"/>
  <c r="ES13" i="117"/>
  <c r="ET13" i="117"/>
  <c r="EU13" i="117"/>
  <c r="EV13" i="117"/>
  <c r="ES14" i="117"/>
  <c r="ET14" i="117"/>
  <c r="EU14" i="117"/>
  <c r="EV14" i="117"/>
  <c r="ES15" i="117"/>
  <c r="ET15" i="117"/>
  <c r="EU15" i="117"/>
  <c r="EV15" i="117"/>
  <c r="ES16" i="117"/>
  <c r="ET16" i="117"/>
  <c r="EU16" i="117"/>
  <c r="EV16" i="117"/>
  <c r="ES17" i="117"/>
  <c r="ET17" i="117"/>
  <c r="EU17" i="117"/>
  <c r="EV17" i="117"/>
  <c r="ES18" i="117"/>
  <c r="ET18" i="117"/>
  <c r="EU18" i="117"/>
  <c r="EV18" i="117"/>
  <c r="ES19" i="117"/>
  <c r="ET19" i="117"/>
  <c r="EU19" i="117"/>
  <c r="EV19" i="117"/>
  <c r="ES20" i="117"/>
  <c r="ET20" i="117"/>
  <c r="EU20" i="117"/>
  <c r="EV20" i="117"/>
  <c r="ES21" i="117"/>
  <c r="ET21" i="117"/>
  <c r="EU21" i="117"/>
  <c r="EV21" i="117"/>
  <c r="ES22" i="117"/>
  <c r="ET22" i="117"/>
  <c r="EU22" i="117"/>
  <c r="EV22" i="117"/>
  <c r="ES23" i="117"/>
  <c r="ET23" i="117"/>
  <c r="EU23" i="117"/>
  <c r="EV23" i="117"/>
  <c r="ES24" i="117"/>
  <c r="ET24" i="117"/>
  <c r="EU24" i="117"/>
  <c r="EV24" i="117"/>
  <c r="ES25" i="117"/>
  <c r="ET25" i="117"/>
  <c r="EU25" i="117"/>
  <c r="EV25" i="117"/>
  <c r="ES26" i="117"/>
  <c r="ET26" i="117"/>
  <c r="EU26" i="117"/>
  <c r="EV26" i="117"/>
  <c r="ES27" i="117"/>
  <c r="ET27" i="117"/>
  <c r="EU27" i="117"/>
  <c r="EV27" i="117"/>
  <c r="ES28" i="117"/>
  <c r="ET28" i="117"/>
  <c r="EU28" i="117"/>
  <c r="EV28" i="117"/>
  <c r="ES29" i="117"/>
  <c r="ET29" i="117"/>
  <c r="EU29" i="117"/>
  <c r="EV29" i="117"/>
  <c r="ES30" i="117"/>
  <c r="ET30" i="117"/>
  <c r="EU30" i="117"/>
  <c r="EV30" i="117"/>
  <c r="ES31" i="117"/>
  <c r="ET31" i="117"/>
  <c r="EU31" i="117"/>
  <c r="EV31" i="117"/>
  <c r="ES32" i="117"/>
  <c r="ET32" i="117"/>
  <c r="EU32" i="117"/>
  <c r="EV32" i="117"/>
  <c r="ES33" i="117"/>
  <c r="ET33" i="117"/>
  <c r="EU33" i="117"/>
  <c r="EV33" i="117"/>
  <c r="ES34" i="117"/>
  <c r="ET34" i="117"/>
  <c r="EU34" i="117"/>
  <c r="EV34" i="117"/>
  <c r="ES35" i="117"/>
  <c r="ET35" i="117"/>
  <c r="EU35" i="117"/>
  <c r="EV35" i="117"/>
  <c r="ES36" i="117"/>
  <c r="ET36" i="117"/>
  <c r="EU36" i="117"/>
  <c r="EV36" i="117"/>
  <c r="ES37" i="117"/>
  <c r="ET37" i="117"/>
  <c r="EU37" i="117"/>
  <c r="EV37" i="117"/>
  <c r="ES38" i="117"/>
  <c r="ET38" i="117"/>
  <c r="EU38" i="117"/>
  <c r="EV38" i="117"/>
  <c r="ES39" i="117"/>
  <c r="ET39" i="117"/>
  <c r="EU39" i="117"/>
  <c r="EV39" i="117"/>
  <c r="ES40" i="117"/>
  <c r="ET40" i="117"/>
  <c r="EU40" i="117"/>
  <c r="EV40" i="117"/>
  <c r="ES41" i="117"/>
  <c r="ET41" i="117"/>
  <c r="EU41" i="117"/>
  <c r="EV41" i="117"/>
  <c r="ES42" i="117"/>
  <c r="ET42" i="117"/>
  <c r="EU42" i="117"/>
  <c r="EV42" i="117"/>
  <c r="ES43" i="117"/>
  <c r="ET43" i="117"/>
  <c r="EU43" i="117"/>
  <c r="EV43" i="117"/>
  <c r="ES44" i="117"/>
  <c r="ET44" i="117"/>
  <c r="EU44" i="117"/>
  <c r="EV44" i="117"/>
  <c r="ES45" i="117"/>
  <c r="ET45" i="117"/>
  <c r="EU45" i="117"/>
  <c r="EV45" i="117"/>
  <c r="ES46" i="117"/>
  <c r="ET46" i="117"/>
  <c r="EU46" i="117"/>
  <c r="EV46" i="117"/>
  <c r="ES47" i="117"/>
  <c r="ET47" i="117"/>
  <c r="EU47" i="117"/>
  <c r="EV47" i="117"/>
  <c r="ES48" i="117"/>
  <c r="ET48" i="117"/>
  <c r="EU48" i="117"/>
  <c r="EV48" i="117"/>
  <c r="ES49" i="117"/>
  <c r="ET49" i="117"/>
  <c r="EU49" i="117"/>
  <c r="EV49" i="117"/>
  <c r="ES50" i="117"/>
  <c r="ET50" i="117"/>
  <c r="EU50" i="117"/>
  <c r="EV50" i="117"/>
  <c r="ES51" i="117"/>
  <c r="ET51" i="117"/>
  <c r="EU51" i="117"/>
  <c r="EV51" i="117"/>
  <c r="ES52" i="117"/>
  <c r="ET52" i="117"/>
  <c r="EU52" i="117"/>
  <c r="EV52" i="117"/>
  <c r="ES53" i="117"/>
  <c r="ET53" i="117"/>
  <c r="EU53" i="117"/>
  <c r="EV53" i="117"/>
  <c r="ES54" i="117"/>
  <c r="ET54" i="117"/>
  <c r="EU54" i="117"/>
  <c r="EV54" i="117"/>
  <c r="ES55" i="117"/>
  <c r="ET55" i="117"/>
  <c r="EU55" i="117"/>
  <c r="EV55" i="117"/>
  <c r="ES56" i="117"/>
  <c r="ET56" i="117"/>
  <c r="EU56" i="117"/>
  <c r="EV56" i="117"/>
  <c r="ES57" i="117"/>
  <c r="ET57" i="117"/>
  <c r="EU57" i="117"/>
  <c r="EV57" i="117"/>
  <c r="ES58" i="117"/>
  <c r="ET58" i="117"/>
  <c r="EU58" i="117"/>
  <c r="EV58" i="117"/>
  <c r="ES59" i="117"/>
  <c r="ET59" i="117"/>
  <c r="EU59" i="117"/>
  <c r="EV59" i="117"/>
  <c r="ES60" i="117"/>
  <c r="ET60" i="117"/>
  <c r="EU60" i="117"/>
  <c r="EV60" i="117"/>
  <c r="ES61" i="117"/>
  <c r="ET61" i="117"/>
  <c r="EU61" i="117"/>
  <c r="EV61" i="117"/>
  <c r="ES62" i="117"/>
  <c r="ET62" i="117"/>
  <c r="EU62" i="117"/>
  <c r="EV62" i="117"/>
  <c r="ES63" i="117"/>
  <c r="ET63" i="117"/>
  <c r="EU63" i="117"/>
  <c r="EV63" i="117"/>
  <c r="ES64" i="117"/>
  <c r="ET64" i="117"/>
  <c r="EU64" i="117"/>
  <c r="EV64" i="117"/>
  <c r="ES65" i="117"/>
  <c r="ET65" i="117"/>
  <c r="EU65" i="117"/>
  <c r="EV65" i="117"/>
  <c r="ES66" i="117"/>
  <c r="ET66" i="117"/>
  <c r="EU66" i="117"/>
  <c r="EV66" i="117"/>
  <c r="ES67" i="117"/>
  <c r="ET67" i="117"/>
  <c r="EU67" i="117"/>
  <c r="EV67" i="117"/>
  <c r="ES68" i="117"/>
  <c r="ET68" i="117"/>
  <c r="EU68" i="117"/>
  <c r="EV68" i="117"/>
  <c r="ES69" i="117"/>
  <c r="ET69" i="117"/>
  <c r="EU69" i="117"/>
  <c r="EV69" i="117"/>
  <c r="ES70" i="117"/>
  <c r="ET70" i="117"/>
  <c r="EU70" i="117"/>
  <c r="EV70" i="117"/>
  <c r="ES71" i="117"/>
  <c r="ET71" i="117"/>
  <c r="EU71" i="117"/>
  <c r="EV71" i="117"/>
  <c r="ES72" i="117"/>
  <c r="ET72" i="117"/>
  <c r="EU72" i="117"/>
  <c r="EV72" i="117"/>
  <c r="ES73" i="117"/>
  <c r="ET73" i="117"/>
  <c r="EU73" i="117"/>
  <c r="EV73" i="117"/>
  <c r="ES74" i="117"/>
  <c r="I88" i="39" s="1"/>
  <c r="ET74" i="117"/>
  <c r="EU74" i="117"/>
  <c r="EV74" i="117"/>
  <c r="ES75" i="117"/>
  <c r="ET75" i="117"/>
  <c r="EU75" i="117"/>
  <c r="EV75" i="117"/>
  <c r="ES76" i="117"/>
  <c r="ET76" i="117"/>
  <c r="EU76" i="117"/>
  <c r="EV76" i="117"/>
  <c r="ES77" i="117"/>
  <c r="ET77" i="117"/>
  <c r="EU77" i="117"/>
  <c r="EV77" i="117"/>
  <c r="ES78" i="117"/>
  <c r="ET78" i="117"/>
  <c r="EU78" i="117"/>
  <c r="EV78" i="117"/>
  <c r="ES79" i="117"/>
  <c r="ET79" i="117"/>
  <c r="EU79" i="117"/>
  <c r="EV79" i="117"/>
  <c r="ES80" i="117"/>
  <c r="ET80" i="117"/>
  <c r="EU80" i="117"/>
  <c r="EV80" i="117"/>
  <c r="ES81" i="117"/>
  <c r="ET81" i="117"/>
  <c r="EU81" i="117"/>
  <c r="EV81" i="117"/>
  <c r="ES82" i="117"/>
  <c r="ET82" i="117"/>
  <c r="EU82" i="117"/>
  <c r="EV82" i="117"/>
  <c r="ES83" i="117"/>
  <c r="ET83" i="117"/>
  <c r="EU83" i="117"/>
  <c r="EV83" i="117"/>
  <c r="ES84" i="117"/>
  <c r="ET84" i="117"/>
  <c r="EU84" i="117"/>
  <c r="EV84" i="117"/>
  <c r="ES85" i="117"/>
  <c r="ET85" i="117"/>
  <c r="EU85" i="117"/>
  <c r="EV85" i="117"/>
  <c r="ES86" i="117"/>
  <c r="ET86" i="117"/>
  <c r="EU86" i="117"/>
  <c r="EV86" i="117"/>
  <c r="ES87" i="117"/>
  <c r="ET87" i="117"/>
  <c r="EU87" i="117"/>
  <c r="EV87" i="117"/>
  <c r="ES88" i="117"/>
  <c r="ET88" i="117"/>
  <c r="EU88" i="117"/>
  <c r="EV88" i="117"/>
  <c r="ES89" i="117"/>
  <c r="ET89" i="117"/>
  <c r="EU89" i="117"/>
  <c r="EV89" i="117"/>
  <c r="ES90" i="117"/>
  <c r="ET90" i="117"/>
  <c r="EU90" i="117"/>
  <c r="EV90" i="117"/>
  <c r="ES91" i="117"/>
  <c r="ET91" i="117"/>
  <c r="EU91" i="117"/>
  <c r="EV91" i="117"/>
  <c r="ES92" i="117"/>
  <c r="ET92" i="117"/>
  <c r="EU92" i="117"/>
  <c r="EV92" i="117"/>
  <c r="ES93" i="117"/>
  <c r="ET93" i="117"/>
  <c r="EU93" i="117"/>
  <c r="EV93" i="117"/>
  <c r="ES94" i="117"/>
  <c r="ET94" i="117"/>
  <c r="EU94" i="117"/>
  <c r="EV94" i="117"/>
  <c r="ES95" i="117"/>
  <c r="ET95" i="117"/>
  <c r="EU95" i="117"/>
  <c r="EV95" i="117"/>
  <c r="ES96" i="117"/>
  <c r="ET96" i="117"/>
  <c r="EU96" i="117"/>
  <c r="EV96" i="117"/>
  <c r="ES97" i="117"/>
  <c r="ET97" i="117"/>
  <c r="EU97" i="117"/>
  <c r="EV97" i="117"/>
  <c r="ES98" i="117"/>
  <c r="ET98" i="117"/>
  <c r="EU98" i="117"/>
  <c r="EV98" i="117"/>
  <c r="ES99" i="117"/>
  <c r="ET99" i="117"/>
  <c r="EU99" i="117"/>
  <c r="EV99" i="117"/>
  <c r="ES100" i="117"/>
  <c r="ET100" i="117"/>
  <c r="EU100" i="117"/>
  <c r="EV100" i="117"/>
  <c r="ES101" i="117"/>
  <c r="ET101" i="117"/>
  <c r="EU101" i="117"/>
  <c r="EV101" i="117"/>
  <c r="ES102" i="117"/>
  <c r="ET102" i="117"/>
  <c r="EU102" i="117"/>
  <c r="EV102" i="117"/>
  <c r="ES103" i="117"/>
  <c r="ET103" i="117"/>
  <c r="EU103" i="117"/>
  <c r="EV103" i="117"/>
  <c r="ES104" i="117"/>
  <c r="ET104" i="117"/>
  <c r="EU104" i="117"/>
  <c r="EV104" i="117"/>
  <c r="ES105" i="117"/>
  <c r="ET105" i="117"/>
  <c r="EU105" i="117"/>
  <c r="EV105" i="117"/>
  <c r="ES106" i="117"/>
  <c r="ET106" i="117"/>
  <c r="EU106" i="117"/>
  <c r="EV106" i="117"/>
  <c r="ES107" i="117"/>
  <c r="ET107" i="117"/>
  <c r="EU107" i="117"/>
  <c r="EV107" i="117"/>
  <c r="ES108" i="117"/>
  <c r="ET108" i="117"/>
  <c r="EU108" i="117"/>
  <c r="EV108" i="117"/>
  <c r="ES109" i="117"/>
  <c r="ET109" i="117"/>
  <c r="EU109" i="117"/>
  <c r="EV109" i="117"/>
  <c r="ES110" i="117"/>
  <c r="ET110" i="117"/>
  <c r="EU110" i="117"/>
  <c r="EV110" i="117"/>
  <c r="ES111" i="117"/>
  <c r="ET111" i="117"/>
  <c r="EU111" i="117"/>
  <c r="EV111" i="117"/>
  <c r="ES112" i="117"/>
  <c r="ET112" i="117"/>
  <c r="EU112" i="117"/>
  <c r="EV112" i="117"/>
  <c r="ES113" i="117"/>
  <c r="ET113" i="117"/>
  <c r="EU113" i="117"/>
  <c r="EV113" i="117"/>
  <c r="ES114" i="117"/>
  <c r="ET114" i="117"/>
  <c r="EU114" i="117"/>
  <c r="EV114" i="117"/>
  <c r="ES115" i="117"/>
  <c r="ET115" i="117"/>
  <c r="EU115" i="117"/>
  <c r="EV115" i="117"/>
  <c r="ES116" i="117"/>
  <c r="ET116" i="117"/>
  <c r="EU116" i="117"/>
  <c r="EV116" i="117"/>
  <c r="ES117" i="117"/>
  <c r="ET117" i="117"/>
  <c r="EU117" i="117"/>
  <c r="EV117" i="117"/>
  <c r="ES118" i="117"/>
  <c r="ET118" i="117"/>
  <c r="EU118" i="117"/>
  <c r="EV118" i="117"/>
  <c r="ES119" i="117"/>
  <c r="ET119" i="117"/>
  <c r="EU119" i="117"/>
  <c r="EV119" i="117"/>
  <c r="ES120" i="117"/>
  <c r="ET120" i="117"/>
  <c r="EU120" i="117"/>
  <c r="EV120" i="117"/>
  <c r="ES121" i="117"/>
  <c r="ET121" i="117"/>
  <c r="EU121" i="117"/>
  <c r="EV121" i="117"/>
  <c r="ES122" i="117"/>
  <c r="ET122" i="117"/>
  <c r="EU122" i="117"/>
  <c r="EV122" i="117"/>
  <c r="ES123" i="117"/>
  <c r="ET123" i="117"/>
  <c r="EU123" i="117"/>
  <c r="EV123" i="117"/>
  <c r="ES124" i="117"/>
  <c r="ET124" i="117"/>
  <c r="EU124" i="117"/>
  <c r="EV124" i="117"/>
  <c r="ES125" i="117"/>
  <c r="ET125" i="117"/>
  <c r="EU125" i="117"/>
  <c r="EV125" i="117"/>
  <c r="ES126" i="117"/>
  <c r="ET126" i="117"/>
  <c r="EU126" i="117"/>
  <c r="EV126" i="117"/>
  <c r="ES127" i="117"/>
  <c r="ET127" i="117"/>
  <c r="EU127" i="117"/>
  <c r="EV127" i="117"/>
  <c r="ES128" i="117"/>
  <c r="ET128" i="117"/>
  <c r="EU128" i="117"/>
  <c r="EV128" i="117"/>
  <c r="ES129" i="117"/>
  <c r="ET129" i="117"/>
  <c r="EU129" i="117"/>
  <c r="EV129" i="117"/>
  <c r="ES130" i="117"/>
  <c r="ET130" i="117"/>
  <c r="EU130" i="117"/>
  <c r="EV130" i="117"/>
  <c r="ES131" i="117"/>
  <c r="ET131" i="117"/>
  <c r="EU131" i="117"/>
  <c r="EV131" i="117"/>
  <c r="ES132" i="117"/>
  <c r="ET132" i="117"/>
  <c r="EU132" i="117"/>
  <c r="EV132" i="117"/>
  <c r="ES133" i="117"/>
  <c r="ET133" i="117"/>
  <c r="EU133" i="117"/>
  <c r="EV133" i="117"/>
  <c r="ES134" i="117"/>
  <c r="ET134" i="117"/>
  <c r="EU134" i="117"/>
  <c r="EV134" i="117"/>
  <c r="ES135" i="117"/>
  <c r="ET135" i="117"/>
  <c r="EU135" i="117"/>
  <c r="EV135" i="117"/>
  <c r="ES136" i="117"/>
  <c r="ET136" i="117"/>
  <c r="EU136" i="117"/>
  <c r="EV136" i="117"/>
  <c r="ES137" i="117"/>
  <c r="ET137" i="117"/>
  <c r="EU137" i="117"/>
  <c r="EV137" i="117"/>
  <c r="ES138" i="117"/>
  <c r="ET138" i="117"/>
  <c r="EU138" i="117"/>
  <c r="EV138" i="117"/>
  <c r="ES139" i="117"/>
  <c r="ET139" i="117"/>
  <c r="EU139" i="117"/>
  <c r="EV139" i="117"/>
  <c r="ES140" i="117"/>
  <c r="ET140" i="117"/>
  <c r="EU140" i="117"/>
  <c r="EV140" i="117"/>
  <c r="ES141" i="117"/>
  <c r="ET141" i="117"/>
  <c r="EU141" i="117"/>
  <c r="EV141" i="117"/>
  <c r="ES142" i="117"/>
  <c r="ET142" i="117"/>
  <c r="EU142" i="117"/>
  <c r="EV142" i="117"/>
  <c r="ES143" i="117"/>
  <c r="ET143" i="117"/>
  <c r="EU143" i="117"/>
  <c r="EV143" i="117"/>
  <c r="ES144" i="117"/>
  <c r="ET144" i="117"/>
  <c r="EU144" i="117"/>
  <c r="EV144" i="117"/>
  <c r="ES145" i="117"/>
  <c r="ET145" i="117"/>
  <c r="EU145" i="117"/>
  <c r="EV145" i="117"/>
  <c r="ES146" i="117"/>
  <c r="ET146" i="117"/>
  <c r="EU146" i="117"/>
  <c r="EV146" i="117"/>
  <c r="ES147" i="117"/>
  <c r="ET147" i="117"/>
  <c r="EU147" i="117"/>
  <c r="EV147" i="117"/>
  <c r="ET3" i="117"/>
  <c r="EU3" i="117"/>
  <c r="EV3" i="117"/>
  <c r="ES3" i="117"/>
  <c r="EJ4" i="117"/>
  <c r="EJ5" i="117"/>
  <c r="EJ6" i="117"/>
  <c r="AE13" i="4" s="1"/>
  <c r="EJ7" i="117"/>
  <c r="AE14" i="4" s="1"/>
  <c r="EJ8" i="117"/>
  <c r="AE15" i="4" s="1"/>
  <c r="EJ9" i="117"/>
  <c r="AE16" i="4" s="1"/>
  <c r="EJ10" i="117"/>
  <c r="AE17" i="4" s="1"/>
  <c r="EJ11" i="117"/>
  <c r="EJ12" i="117"/>
  <c r="EJ13" i="117"/>
  <c r="EJ14" i="117"/>
  <c r="AE21" i="4" s="1"/>
  <c r="EJ15" i="117"/>
  <c r="EJ16" i="117"/>
  <c r="EJ17" i="117"/>
  <c r="EJ18" i="117"/>
  <c r="EJ19" i="117"/>
  <c r="EJ20" i="117"/>
  <c r="EJ21" i="117"/>
  <c r="EJ22" i="117"/>
  <c r="AE33" i="4" s="1"/>
  <c r="EJ23" i="117"/>
  <c r="EJ24" i="117"/>
  <c r="EJ25" i="117"/>
  <c r="AE38" i="4" s="1"/>
  <c r="EJ26" i="117"/>
  <c r="EJ27" i="117"/>
  <c r="EJ28" i="117"/>
  <c r="AE43" i="4" s="1"/>
  <c r="EJ29" i="117"/>
  <c r="EJ30" i="117"/>
  <c r="AE45" i="4" s="1"/>
  <c r="EJ31" i="117"/>
  <c r="EJ32" i="117"/>
  <c r="EJ33" i="117"/>
  <c r="AE49" i="4" s="1"/>
  <c r="EJ34" i="117"/>
  <c r="AE50" i="4" s="1"/>
  <c r="EJ35" i="117"/>
  <c r="EJ36" i="117"/>
  <c r="EJ37" i="117"/>
  <c r="EJ38" i="117"/>
  <c r="EJ39" i="117"/>
  <c r="EJ40" i="117"/>
  <c r="EJ41" i="117"/>
  <c r="AE60" i="4" s="1"/>
  <c r="EJ42" i="117"/>
  <c r="AE61" i="4" s="1"/>
  <c r="EJ43" i="117"/>
  <c r="EJ44" i="117"/>
  <c r="AE64" i="4" s="1"/>
  <c r="EJ45" i="117"/>
  <c r="AE65" i="4" s="1"/>
  <c r="EJ46" i="117"/>
  <c r="AE66" i="4" s="1"/>
  <c r="EJ47" i="117"/>
  <c r="EJ48" i="117"/>
  <c r="EJ49" i="117"/>
  <c r="EJ50" i="117"/>
  <c r="EJ51" i="117"/>
  <c r="EJ52" i="117"/>
  <c r="EJ53" i="117"/>
  <c r="AE76" i="4" s="1"/>
  <c r="EJ54" i="117"/>
  <c r="AE77" i="4" s="1"/>
  <c r="EJ55" i="117"/>
  <c r="EJ56" i="117"/>
  <c r="EJ57" i="117"/>
  <c r="EJ58" i="117"/>
  <c r="EJ59" i="117"/>
  <c r="EJ60" i="117"/>
  <c r="EJ61" i="117"/>
  <c r="EJ62" i="117"/>
  <c r="AE87" i="4" s="1"/>
  <c r="EJ63" i="117"/>
  <c r="AE88" i="4" s="1"/>
  <c r="EJ64" i="117"/>
  <c r="EJ65" i="117"/>
  <c r="EJ66" i="117"/>
  <c r="AE94" i="4" s="1"/>
  <c r="EJ67" i="117"/>
  <c r="EJ68" i="117"/>
  <c r="EJ69" i="117"/>
  <c r="EJ70" i="117"/>
  <c r="AE99" i="4" s="1"/>
  <c r="EJ71" i="117"/>
  <c r="AE100" i="4" s="1"/>
  <c r="EJ72" i="117"/>
  <c r="EJ73" i="117"/>
  <c r="EJ74" i="117"/>
  <c r="EJ75" i="117"/>
  <c r="EJ76" i="117"/>
  <c r="AE105" i="4" s="1"/>
  <c r="EJ77" i="117"/>
  <c r="AE106" i="4" s="1"/>
  <c r="EJ78" i="117"/>
  <c r="EJ79" i="117"/>
  <c r="AE108" i="4" s="1"/>
  <c r="EJ80" i="117"/>
  <c r="AE109" i="4" s="1"/>
  <c r="EJ81" i="117"/>
  <c r="AE113" i="4" s="1"/>
  <c r="EJ82" i="117"/>
  <c r="EJ83" i="117"/>
  <c r="EJ84" i="117"/>
  <c r="EJ85" i="117"/>
  <c r="EJ86" i="117"/>
  <c r="AE119" i="4" s="1"/>
  <c r="EJ87" i="117"/>
  <c r="AE121" i="4" s="1"/>
  <c r="EJ88" i="117"/>
  <c r="EJ89" i="117"/>
  <c r="AE123" i="4" s="1"/>
  <c r="EJ90" i="117"/>
  <c r="AE124" i="4" s="1"/>
  <c r="EJ91" i="117"/>
  <c r="EJ92" i="117"/>
  <c r="EJ93" i="117"/>
  <c r="EJ94" i="117"/>
  <c r="AE128" i="4" s="1"/>
  <c r="EJ95" i="117"/>
  <c r="AE129" i="4" s="1"/>
  <c r="EJ96" i="117"/>
  <c r="EJ97" i="117"/>
  <c r="EJ98" i="117"/>
  <c r="EJ99" i="117"/>
  <c r="AE134" i="4" s="1"/>
  <c r="EJ100" i="117"/>
  <c r="EJ101" i="117"/>
  <c r="EJ102" i="117"/>
  <c r="EJ103" i="117"/>
  <c r="EJ104" i="117"/>
  <c r="EJ105" i="117"/>
  <c r="EJ106" i="117"/>
  <c r="AE141" i="4" s="1"/>
  <c r="EJ107" i="117"/>
  <c r="EJ108" i="117"/>
  <c r="EJ109" i="117"/>
  <c r="AE155" i="4" s="1"/>
  <c r="EJ110" i="117"/>
  <c r="AE158" i="4" s="1"/>
  <c r="EJ111" i="117"/>
  <c r="EJ112" i="117"/>
  <c r="EJ113" i="117"/>
  <c r="EJ114" i="117"/>
  <c r="EJ115" i="117"/>
  <c r="EJ116" i="117"/>
  <c r="EJ117" i="117"/>
  <c r="EJ3" i="117"/>
  <c r="F112" i="4"/>
  <c r="G110" i="39"/>
  <c r="G181" i="39"/>
  <c r="O88" i="39" l="1"/>
  <c r="L77" i="39"/>
  <c r="AE177" i="4"/>
  <c r="AE22" i="4"/>
  <c r="AE140" i="4"/>
  <c r="AE44" i="4"/>
  <c r="AE35" i="4"/>
  <c r="AE69" i="4"/>
  <c r="AE90" i="4"/>
  <c r="AE122" i="4"/>
  <c r="AE116" i="4"/>
  <c r="AE27" i="4"/>
  <c r="AE48" i="4"/>
  <c r="AE74" i="4"/>
  <c r="AE92" i="4"/>
  <c r="AE103" i="4"/>
  <c r="AE117" i="4"/>
  <c r="AE131" i="4"/>
  <c r="AE139" i="4"/>
  <c r="AE175" i="4"/>
  <c r="AE168" i="4"/>
  <c r="AE20" i="4"/>
  <c r="AE29" i="4"/>
  <c r="AE53" i="4"/>
  <c r="AE102" i="4"/>
  <c r="AE137" i="4"/>
  <c r="AE104" i="4"/>
  <c r="AE19" i="4"/>
  <c r="AE30" i="4"/>
  <c r="AE52" i="4"/>
  <c r="AE96" i="4"/>
  <c r="AE101" i="4"/>
  <c r="AE136" i="4"/>
  <c r="AE18" i="4"/>
  <c r="AE51" i="4"/>
  <c r="AE75" i="4"/>
  <c r="AE95" i="4"/>
  <c r="AE127" i="4"/>
  <c r="AE135" i="4"/>
  <c r="AE58" i="4"/>
  <c r="EJ118" i="117"/>
  <c r="AE84" i="4"/>
  <c r="AE126" i="4"/>
  <c r="AE46" i="4"/>
  <c r="AE174" i="4" l="1"/>
  <c r="AE138" i="4"/>
  <c r="AE133" i="4" s="1"/>
  <c r="AE130" i="4" s="1"/>
  <c r="AE125" i="4" s="1"/>
  <c r="AE118" i="4" s="1"/>
  <c r="AE115" i="4" s="1"/>
  <c r="AE107" i="4" s="1"/>
  <c r="AE98" i="4" s="1"/>
  <c r="AE85" i="4" s="1"/>
  <c r="AE79" i="4" l="1"/>
  <c r="AE83" i="4"/>
  <c r="AE169" i="4"/>
  <c r="AE167" i="4" s="1"/>
  <c r="AE161" i="4" s="1"/>
  <c r="AE154" i="4" s="1"/>
  <c r="AE146" i="4" s="1"/>
  <c r="AE78" i="4" l="1"/>
  <c r="AE73" i="4" s="1"/>
  <c r="AE72" i="4" s="1"/>
  <c r="AE68" i="4" s="1"/>
  <c r="AE63" i="4" s="1"/>
  <c r="AE59" i="4" s="1"/>
  <c r="AE56" i="4" s="1"/>
  <c r="AE42" i="4" s="1"/>
  <c r="AE41" i="4" s="1"/>
  <c r="AE37" i="4" s="1"/>
  <c r="AE32" i="4" s="1"/>
  <c r="AE28" i="4" s="1"/>
  <c r="AE25" i="4" s="1"/>
  <c r="AE12" i="4" s="1"/>
  <c r="AE11" i="4" s="1"/>
  <c r="AE10" i="4" s="1"/>
  <c r="AE9" i="4" s="1"/>
  <c r="K61" i="54"/>
  <c r="K62" i="54"/>
  <c r="K63" i="54"/>
  <c r="K64" i="54"/>
  <c r="K65" i="54"/>
  <c r="K66" i="54"/>
  <c r="K67" i="54"/>
  <c r="K68" i="54"/>
  <c r="K69" i="54"/>
  <c r="K12" i="54"/>
  <c r="GQ4" i="116"/>
  <c r="GR4" i="116"/>
  <c r="GS4" i="116"/>
  <c r="GQ5" i="116"/>
  <c r="GR5" i="116"/>
  <c r="GS5" i="116"/>
  <c r="GQ6" i="116"/>
  <c r="GR6" i="116"/>
  <c r="GS6" i="116"/>
  <c r="GQ7" i="116"/>
  <c r="GR7" i="116"/>
  <c r="GS7" i="116"/>
  <c r="GQ8" i="116"/>
  <c r="GR8" i="116"/>
  <c r="GS8" i="116"/>
  <c r="GQ9" i="116"/>
  <c r="GR9" i="116"/>
  <c r="GS9" i="116"/>
  <c r="GQ10" i="116"/>
  <c r="GR10" i="116"/>
  <c r="GS10" i="116"/>
  <c r="GQ11" i="116"/>
  <c r="GR11" i="116"/>
  <c r="GS11" i="116"/>
  <c r="GQ12" i="116"/>
  <c r="GR12" i="116"/>
  <c r="GS12" i="116"/>
  <c r="GQ13" i="116"/>
  <c r="GR13" i="116"/>
  <c r="GS13" i="116"/>
  <c r="GQ14" i="116"/>
  <c r="GR14" i="116"/>
  <c r="GS14" i="116"/>
  <c r="GQ15" i="116"/>
  <c r="GR15" i="116"/>
  <c r="GS15" i="116"/>
  <c r="GQ16" i="116"/>
  <c r="GR16" i="116"/>
  <c r="GS16" i="116"/>
  <c r="GQ17" i="116"/>
  <c r="GR17" i="116"/>
  <c r="GS17" i="116"/>
  <c r="GQ18" i="116"/>
  <c r="GR18" i="116"/>
  <c r="GS18" i="116"/>
  <c r="GQ19" i="116"/>
  <c r="GR19" i="116"/>
  <c r="GS19" i="116"/>
  <c r="GQ20" i="116"/>
  <c r="GR20" i="116"/>
  <c r="GS20" i="116"/>
  <c r="GQ21" i="116"/>
  <c r="GR21" i="116"/>
  <c r="GS21" i="116"/>
  <c r="GQ22" i="116"/>
  <c r="GR22" i="116"/>
  <c r="GS22" i="116"/>
  <c r="GQ23" i="116"/>
  <c r="GR23" i="116"/>
  <c r="GS23" i="116"/>
  <c r="GQ24" i="116"/>
  <c r="GR24" i="116"/>
  <c r="GS24" i="116"/>
  <c r="GQ25" i="116"/>
  <c r="GR25" i="116"/>
  <c r="GS25" i="116"/>
  <c r="GQ26" i="116"/>
  <c r="GR26" i="116"/>
  <c r="GS26" i="116"/>
  <c r="GQ27" i="116"/>
  <c r="GR27" i="116"/>
  <c r="GS27" i="116"/>
  <c r="GQ28" i="116"/>
  <c r="GR28" i="116"/>
  <c r="GS28" i="116"/>
  <c r="GQ29" i="116"/>
  <c r="GR29" i="116"/>
  <c r="GS29" i="116"/>
  <c r="GQ30" i="116"/>
  <c r="GR30" i="116"/>
  <c r="GS30" i="116"/>
  <c r="GQ31" i="116"/>
  <c r="GR31" i="116"/>
  <c r="GS31" i="116"/>
  <c r="GQ32" i="116"/>
  <c r="GR32" i="116"/>
  <c r="GS32" i="116"/>
  <c r="GQ33" i="116"/>
  <c r="GR33" i="116"/>
  <c r="GS33" i="116"/>
  <c r="GQ34" i="116"/>
  <c r="GR34" i="116"/>
  <c r="GS34" i="116"/>
  <c r="GQ35" i="116"/>
  <c r="GR35" i="116"/>
  <c r="GS35" i="116"/>
  <c r="GQ36" i="116"/>
  <c r="GR36" i="116"/>
  <c r="GS36" i="116"/>
  <c r="GQ37" i="116"/>
  <c r="GR37" i="116"/>
  <c r="GS37" i="116"/>
  <c r="GQ38" i="116"/>
  <c r="GR38" i="116"/>
  <c r="GS38" i="116"/>
  <c r="GQ39" i="116"/>
  <c r="GR39" i="116"/>
  <c r="GS39" i="116"/>
  <c r="GQ40" i="116"/>
  <c r="GR40" i="116"/>
  <c r="GS40" i="116"/>
  <c r="GQ41" i="116"/>
  <c r="GR41" i="116"/>
  <c r="GS41" i="116"/>
  <c r="GQ42" i="116"/>
  <c r="GR42" i="116"/>
  <c r="GS42" i="116"/>
  <c r="GQ43" i="116"/>
  <c r="GR43" i="116"/>
  <c r="GS43" i="116"/>
  <c r="GQ44" i="116"/>
  <c r="GR44" i="116"/>
  <c r="GS44" i="116"/>
  <c r="GQ45" i="116"/>
  <c r="GR45" i="116"/>
  <c r="GS45" i="116"/>
  <c r="GQ46" i="116"/>
  <c r="GR46" i="116"/>
  <c r="GS46" i="116"/>
  <c r="GQ47" i="116"/>
  <c r="GR47" i="116"/>
  <c r="GS47" i="116"/>
  <c r="GQ48" i="116"/>
  <c r="GR48" i="116"/>
  <c r="GS48" i="116"/>
  <c r="GQ49" i="116"/>
  <c r="GR49" i="116"/>
  <c r="GS49" i="116"/>
  <c r="GQ50" i="116"/>
  <c r="GR50" i="116"/>
  <c r="GS50" i="116"/>
  <c r="GQ51" i="116"/>
  <c r="GR51" i="116"/>
  <c r="GS51" i="116"/>
  <c r="GQ52" i="116"/>
  <c r="GR52" i="116"/>
  <c r="GS52" i="116"/>
  <c r="GQ53" i="116"/>
  <c r="GR53" i="116"/>
  <c r="GS53" i="116"/>
  <c r="GR3" i="116"/>
  <c r="GS3" i="116"/>
  <c r="GQ3" i="116"/>
  <c r="GE4" i="116"/>
  <c r="AE15" i="35" s="1"/>
  <c r="AE14" i="35" s="1"/>
  <c r="GE5" i="116"/>
  <c r="AE22" i="35" s="1"/>
  <c r="GE6" i="116"/>
  <c r="GE7" i="116"/>
  <c r="AE25" i="35" s="1"/>
  <c r="GE8" i="116"/>
  <c r="AE23" i="35" s="1"/>
  <c r="GE9" i="116"/>
  <c r="AE21" i="35" s="1"/>
  <c r="GE10" i="116"/>
  <c r="GE11" i="116"/>
  <c r="AE33" i="35" s="1"/>
  <c r="AE30" i="35" s="1"/>
  <c r="GE12" i="116"/>
  <c r="AE42" i="35" s="1"/>
  <c r="GE13" i="116"/>
  <c r="AE43" i="35" s="1"/>
  <c r="GE14" i="116"/>
  <c r="GE15" i="116"/>
  <c r="GE16" i="116"/>
  <c r="GE3" i="116"/>
  <c r="GU4" i="115"/>
  <c r="GV4" i="115"/>
  <c r="GW4" i="115"/>
  <c r="GU5" i="115"/>
  <c r="GV5" i="115"/>
  <c r="GW5" i="115"/>
  <c r="GU6" i="115"/>
  <c r="GV6" i="115"/>
  <c r="GW6" i="115"/>
  <c r="GU7" i="115"/>
  <c r="GV7" i="115"/>
  <c r="GW7" i="115"/>
  <c r="GU8" i="115"/>
  <c r="GV8" i="115"/>
  <c r="GW8" i="115"/>
  <c r="GU9" i="115"/>
  <c r="GV9" i="115"/>
  <c r="GW9" i="115"/>
  <c r="GU10" i="115"/>
  <c r="GV10" i="115"/>
  <c r="GW10" i="115"/>
  <c r="GU11" i="115"/>
  <c r="GV11" i="115"/>
  <c r="GW11" i="115"/>
  <c r="GU12" i="115"/>
  <c r="GV12" i="115"/>
  <c r="GW12" i="115"/>
  <c r="GU13" i="115"/>
  <c r="GV13" i="115"/>
  <c r="GW13" i="115"/>
  <c r="GU14" i="115"/>
  <c r="GV14" i="115"/>
  <c r="GW14" i="115"/>
  <c r="GU15" i="115"/>
  <c r="GV15" i="115"/>
  <c r="GW15" i="115"/>
  <c r="GU16" i="115"/>
  <c r="GV16" i="115"/>
  <c r="GW16" i="115"/>
  <c r="GU17" i="115"/>
  <c r="GV17" i="115"/>
  <c r="GW17" i="115"/>
  <c r="GU18" i="115"/>
  <c r="GV18" i="115"/>
  <c r="GW18" i="115"/>
  <c r="GU19" i="115"/>
  <c r="GV19" i="115"/>
  <c r="GW19" i="115"/>
  <c r="GU20" i="115"/>
  <c r="GV20" i="115"/>
  <c r="GW20" i="115"/>
  <c r="GU21" i="115"/>
  <c r="GV21" i="115"/>
  <c r="GW21" i="115"/>
  <c r="GU22" i="115"/>
  <c r="GV22" i="115"/>
  <c r="GW22" i="115"/>
  <c r="GU23" i="115"/>
  <c r="GV23" i="115"/>
  <c r="GW23" i="115"/>
  <c r="GU24" i="115"/>
  <c r="GV24" i="115"/>
  <c r="GW24" i="115"/>
  <c r="GU25" i="115"/>
  <c r="GV25" i="115"/>
  <c r="GW25" i="115"/>
  <c r="GU26" i="115"/>
  <c r="GV26" i="115"/>
  <c r="GW26" i="115"/>
  <c r="GU27" i="115"/>
  <c r="GV27" i="115"/>
  <c r="GW27" i="115"/>
  <c r="GU28" i="115"/>
  <c r="GV28" i="115"/>
  <c r="GW28" i="115"/>
  <c r="GU29" i="115"/>
  <c r="GV29" i="115"/>
  <c r="GW29" i="115"/>
  <c r="GU30" i="115"/>
  <c r="GV30" i="115"/>
  <c r="GW30" i="115"/>
  <c r="GU31" i="115"/>
  <c r="GV31" i="115"/>
  <c r="GW31" i="115"/>
  <c r="GU32" i="115"/>
  <c r="GV32" i="115"/>
  <c r="GW32" i="115"/>
  <c r="GU33" i="115"/>
  <c r="GV33" i="115"/>
  <c r="GW33" i="115"/>
  <c r="GU34" i="115"/>
  <c r="GV34" i="115"/>
  <c r="GW34" i="115"/>
  <c r="GU35" i="115"/>
  <c r="GV35" i="115"/>
  <c r="GW35" i="115"/>
  <c r="GU36" i="115"/>
  <c r="GV36" i="115"/>
  <c r="GW36" i="115"/>
  <c r="GU37" i="115"/>
  <c r="GV37" i="115"/>
  <c r="GW37" i="115"/>
  <c r="GU38" i="115"/>
  <c r="GV38" i="115"/>
  <c r="GW38" i="115"/>
  <c r="GU39" i="115"/>
  <c r="GV39" i="115"/>
  <c r="GW39" i="115"/>
  <c r="GU40" i="115"/>
  <c r="GV40" i="115"/>
  <c r="GW40" i="115"/>
  <c r="GU41" i="115"/>
  <c r="GV41" i="115"/>
  <c r="GW41" i="115"/>
  <c r="GU42" i="115"/>
  <c r="GV42" i="115"/>
  <c r="GW42" i="115"/>
  <c r="GU43" i="115"/>
  <c r="GV43" i="115"/>
  <c r="GW43" i="115"/>
  <c r="GU44" i="115"/>
  <c r="GV44" i="115"/>
  <c r="GW44" i="115"/>
  <c r="GU45" i="115"/>
  <c r="GV45" i="115"/>
  <c r="GW45" i="115"/>
  <c r="GU46" i="115"/>
  <c r="GV46" i="115"/>
  <c r="GW46" i="115"/>
  <c r="GU47" i="115"/>
  <c r="GV47" i="115"/>
  <c r="GW47" i="115"/>
  <c r="GU48" i="115"/>
  <c r="GV48" i="115"/>
  <c r="GW48" i="115"/>
  <c r="GU49" i="115"/>
  <c r="GV49" i="115"/>
  <c r="GW49" i="115"/>
  <c r="GU50" i="115"/>
  <c r="GV50" i="115"/>
  <c r="GW50" i="115"/>
  <c r="GV3" i="115"/>
  <c r="GW3" i="115"/>
  <c r="GU3" i="115"/>
  <c r="GG4" i="115"/>
  <c r="GH4" i="115"/>
  <c r="GI4" i="115"/>
  <c r="GG5" i="115"/>
  <c r="GH5" i="115"/>
  <c r="GI5" i="115"/>
  <c r="AE18" i="37" s="1"/>
  <c r="GG6" i="115"/>
  <c r="GH6" i="115"/>
  <c r="GI6" i="115"/>
  <c r="AE21" i="37" s="1"/>
  <c r="GG7" i="115"/>
  <c r="GH7" i="115"/>
  <c r="GI7" i="115"/>
  <c r="AE17" i="37" s="1"/>
  <c r="GG8" i="115"/>
  <c r="GH8" i="115"/>
  <c r="GI8" i="115"/>
  <c r="GG9" i="115"/>
  <c r="GH9" i="115"/>
  <c r="GI9" i="115"/>
  <c r="AE19" i="37" s="1"/>
  <c r="GG10" i="115"/>
  <c r="GH10" i="115"/>
  <c r="GI10" i="115"/>
  <c r="AE50" i="37" s="1"/>
  <c r="GG11" i="115"/>
  <c r="GH11" i="115"/>
  <c r="GI11" i="115"/>
  <c r="GG12" i="115"/>
  <c r="GH12" i="115"/>
  <c r="GI12" i="115"/>
  <c r="GG13" i="115"/>
  <c r="GH13" i="115"/>
  <c r="GI13" i="115"/>
  <c r="AE38" i="37" s="1"/>
  <c r="GG14" i="115"/>
  <c r="GH14" i="115"/>
  <c r="GI14" i="115"/>
  <c r="AE39" i="37" s="1"/>
  <c r="GG15" i="115"/>
  <c r="GH15" i="115"/>
  <c r="GI15" i="115"/>
  <c r="GG16" i="115"/>
  <c r="GH16" i="115"/>
  <c r="GI16" i="115"/>
  <c r="AE43" i="37" s="1"/>
  <c r="GG17" i="115"/>
  <c r="GH17" i="115"/>
  <c r="GI17" i="115"/>
  <c r="AE44" i="37" s="1"/>
  <c r="GG18" i="115"/>
  <c r="GH18" i="115"/>
  <c r="GI18" i="115"/>
  <c r="GG19" i="115"/>
  <c r="GH19" i="115"/>
  <c r="GI19" i="115"/>
  <c r="AE45" i="37" s="1"/>
  <c r="GG20" i="115"/>
  <c r="GH20" i="115"/>
  <c r="GI20" i="115"/>
  <c r="GG21" i="115"/>
  <c r="GH21" i="115"/>
  <c r="GI21" i="115"/>
  <c r="AE46" i="37" s="1"/>
  <c r="GG22" i="115"/>
  <c r="GH22" i="115"/>
  <c r="GI22" i="115"/>
  <c r="AE47" i="37" s="1"/>
  <c r="GG23" i="115"/>
  <c r="GH23" i="115"/>
  <c r="GI23" i="115"/>
  <c r="AE48" i="37" s="1"/>
  <c r="GG24" i="115"/>
  <c r="GH24" i="115"/>
  <c r="GI24" i="115"/>
  <c r="GH3" i="115"/>
  <c r="GI3" i="115"/>
  <c r="GG3" i="115"/>
  <c r="EN4" i="114"/>
  <c r="EO4" i="114"/>
  <c r="EP4" i="114"/>
  <c r="EN5" i="114"/>
  <c r="EO5" i="114"/>
  <c r="EP5" i="114"/>
  <c r="EN6" i="114"/>
  <c r="EO6" i="114"/>
  <c r="EP6" i="114"/>
  <c r="EN7" i="114"/>
  <c r="EO7" i="114"/>
  <c r="EP7" i="114"/>
  <c r="EO3" i="114"/>
  <c r="EP3" i="114"/>
  <c r="EN3" i="114"/>
  <c r="AE37" i="37" l="1"/>
  <c r="AE42" i="37"/>
  <c r="GR54" i="116"/>
  <c r="GS54" i="116"/>
  <c r="AE51" i="37"/>
  <c r="GQ54" i="116"/>
  <c r="GE17" i="116"/>
  <c r="AE41" i="35"/>
  <c r="AE40" i="35" s="1"/>
  <c r="AE39" i="35" s="1"/>
  <c r="AE20" i="35"/>
  <c r="AE13" i="35" s="1"/>
  <c r="AE10" i="35" s="1"/>
  <c r="GV51" i="115"/>
  <c r="GU51" i="115"/>
  <c r="GW51" i="115"/>
  <c r="AE16" i="37"/>
  <c r="AE14" i="37" s="1"/>
  <c r="AE12" i="37" s="1"/>
  <c r="AE36" i="37" l="1"/>
  <c r="I41" i="35"/>
  <c r="I14" i="35"/>
  <c r="AE9" i="35"/>
  <c r="GE20" i="116" s="1"/>
  <c r="I40" i="35" l="1"/>
  <c r="N41" i="35"/>
  <c r="DW101" i="117"/>
  <c r="I39" i="35" l="1"/>
  <c r="J207" i="39"/>
  <c r="DQ48" i="117" l="1"/>
  <c r="EA4" i="117"/>
  <c r="EB4" i="117"/>
  <c r="EC4" i="117"/>
  <c r="ED4" i="117"/>
  <c r="EA5" i="117"/>
  <c r="EB5" i="117"/>
  <c r="EC5" i="117"/>
  <c r="ED5" i="117"/>
  <c r="EA6" i="117"/>
  <c r="EB6" i="117"/>
  <c r="EC6" i="117"/>
  <c r="ED6" i="117"/>
  <c r="EA7" i="117"/>
  <c r="EB7" i="117"/>
  <c r="EC7" i="117"/>
  <c r="ED7" i="117"/>
  <c r="EA8" i="117"/>
  <c r="EB8" i="117"/>
  <c r="EC8" i="117"/>
  <c r="ED8" i="117"/>
  <c r="EA9" i="117"/>
  <c r="EB9" i="117"/>
  <c r="EC9" i="117"/>
  <c r="ED9" i="117"/>
  <c r="EA10" i="117"/>
  <c r="EB10" i="117"/>
  <c r="EC10" i="117"/>
  <c r="ED10" i="117"/>
  <c r="EA11" i="117"/>
  <c r="EB11" i="117"/>
  <c r="EC11" i="117"/>
  <c r="ED11" i="117"/>
  <c r="EA12" i="117"/>
  <c r="EB12" i="117"/>
  <c r="EC12" i="117"/>
  <c r="ED12" i="117"/>
  <c r="EA13" i="117"/>
  <c r="EB13" i="117"/>
  <c r="EC13" i="117"/>
  <c r="ED13" i="117"/>
  <c r="EA14" i="117"/>
  <c r="EB14" i="117"/>
  <c r="EC14" i="117"/>
  <c r="ED14" i="117"/>
  <c r="EA15" i="117"/>
  <c r="EB15" i="117"/>
  <c r="EC15" i="117"/>
  <c r="ED15" i="117"/>
  <c r="EA16" i="117"/>
  <c r="EB16" i="117"/>
  <c r="EC16" i="117"/>
  <c r="ED16" i="117"/>
  <c r="EA17" i="117"/>
  <c r="EB17" i="117"/>
  <c r="EC17" i="117"/>
  <c r="ED17" i="117"/>
  <c r="EA18" i="117"/>
  <c r="EB18" i="117"/>
  <c r="EC18" i="117"/>
  <c r="ED18" i="117"/>
  <c r="EA19" i="117"/>
  <c r="EB19" i="117"/>
  <c r="EC19" i="117"/>
  <c r="ED19" i="117"/>
  <c r="EA20" i="117"/>
  <c r="EB20" i="117"/>
  <c r="EC20" i="117"/>
  <c r="ED20" i="117"/>
  <c r="EA21" i="117"/>
  <c r="EB21" i="117"/>
  <c r="EC21" i="117"/>
  <c r="ED21" i="117"/>
  <c r="EA22" i="117"/>
  <c r="EB22" i="117"/>
  <c r="EC22" i="117"/>
  <c r="ED22" i="117"/>
  <c r="EA23" i="117"/>
  <c r="EB23" i="117"/>
  <c r="EC23" i="117"/>
  <c r="ED23" i="117"/>
  <c r="EA24" i="117"/>
  <c r="EB24" i="117"/>
  <c r="EC24" i="117"/>
  <c r="ED24" i="117"/>
  <c r="EA25" i="117"/>
  <c r="EB25" i="117"/>
  <c r="EC25" i="117"/>
  <c r="ED25" i="117"/>
  <c r="EA26" i="117"/>
  <c r="EB26" i="117"/>
  <c r="EC26" i="117"/>
  <c r="ED26" i="117"/>
  <c r="EA27" i="117"/>
  <c r="EB27" i="117"/>
  <c r="EC27" i="117"/>
  <c r="ED27" i="117"/>
  <c r="EA28" i="117"/>
  <c r="EB28" i="117"/>
  <c r="EC28" i="117"/>
  <c r="ED28" i="117"/>
  <c r="EA29" i="117"/>
  <c r="EB29" i="117"/>
  <c r="EC29" i="117"/>
  <c r="ED29" i="117"/>
  <c r="EA30" i="117"/>
  <c r="EB30" i="117"/>
  <c r="EC30" i="117"/>
  <c r="ED30" i="117"/>
  <c r="EA31" i="117"/>
  <c r="EB31" i="117"/>
  <c r="EC31" i="117"/>
  <c r="ED31" i="117"/>
  <c r="EA32" i="117"/>
  <c r="EB32" i="117"/>
  <c r="EC32" i="117"/>
  <c r="ED32" i="117"/>
  <c r="EA33" i="117"/>
  <c r="EB33" i="117"/>
  <c r="EC33" i="117"/>
  <c r="ED33" i="117"/>
  <c r="EA34" i="117"/>
  <c r="EB34" i="117"/>
  <c r="EC34" i="117"/>
  <c r="ED34" i="117"/>
  <c r="EA35" i="117"/>
  <c r="EB35" i="117"/>
  <c r="EC35" i="117"/>
  <c r="ED35" i="117"/>
  <c r="EA36" i="117"/>
  <c r="EB36" i="117"/>
  <c r="EC36" i="117"/>
  <c r="ED36" i="117"/>
  <c r="EA37" i="117"/>
  <c r="EB37" i="117"/>
  <c r="EC37" i="117"/>
  <c r="ED37" i="117"/>
  <c r="EA38" i="117"/>
  <c r="EB38" i="117"/>
  <c r="EC38" i="117"/>
  <c r="ED38" i="117"/>
  <c r="EA39" i="117"/>
  <c r="EB39" i="117"/>
  <c r="EC39" i="117"/>
  <c r="ED39" i="117"/>
  <c r="EA40" i="117"/>
  <c r="EB40" i="117"/>
  <c r="EC40" i="117"/>
  <c r="ED40" i="117"/>
  <c r="EA41" i="117"/>
  <c r="EB41" i="117"/>
  <c r="EC41" i="117"/>
  <c r="ED41" i="117"/>
  <c r="EA42" i="117"/>
  <c r="EB42" i="117"/>
  <c r="EC42" i="117"/>
  <c r="ED42" i="117"/>
  <c r="EA43" i="117"/>
  <c r="EB43" i="117"/>
  <c r="EC43" i="117"/>
  <c r="ED43" i="117"/>
  <c r="EA44" i="117"/>
  <c r="EB44" i="117"/>
  <c r="EC44" i="117"/>
  <c r="ED44" i="117"/>
  <c r="EA45" i="117"/>
  <c r="EB45" i="117"/>
  <c r="EC45" i="117"/>
  <c r="ED45" i="117"/>
  <c r="EA46" i="117"/>
  <c r="EB46" i="117"/>
  <c r="EC46" i="117"/>
  <c r="ED46" i="117"/>
  <c r="EA47" i="117"/>
  <c r="EB47" i="117"/>
  <c r="EC47" i="117"/>
  <c r="ED47" i="117"/>
  <c r="EA48" i="117"/>
  <c r="EB48" i="117"/>
  <c r="EC48" i="117"/>
  <c r="ED48" i="117"/>
  <c r="EA49" i="117"/>
  <c r="EB49" i="117"/>
  <c r="EC49" i="117"/>
  <c r="ED49" i="117"/>
  <c r="EA50" i="117"/>
  <c r="EB50" i="117"/>
  <c r="EC50" i="117"/>
  <c r="ED50" i="117"/>
  <c r="EA51" i="117"/>
  <c r="EB51" i="117"/>
  <c r="EC51" i="117"/>
  <c r="ED51" i="117"/>
  <c r="EA52" i="117"/>
  <c r="EB52" i="117"/>
  <c r="EC52" i="117"/>
  <c r="ED52" i="117"/>
  <c r="EA53" i="117"/>
  <c r="EB53" i="117"/>
  <c r="EC53" i="117"/>
  <c r="ED53" i="117"/>
  <c r="EA54" i="117"/>
  <c r="EB54" i="117"/>
  <c r="EC54" i="117"/>
  <c r="ED54" i="117"/>
  <c r="EA55" i="117"/>
  <c r="EB55" i="117"/>
  <c r="EC55" i="117"/>
  <c r="ED55" i="117"/>
  <c r="EA56" i="117"/>
  <c r="EB56" i="117"/>
  <c r="EC56" i="117"/>
  <c r="ED56" i="117"/>
  <c r="EA57" i="117"/>
  <c r="EB57" i="117"/>
  <c r="EC57" i="117"/>
  <c r="ED57" i="117"/>
  <c r="EA58" i="117"/>
  <c r="EB58" i="117"/>
  <c r="EC58" i="117"/>
  <c r="ED58" i="117"/>
  <c r="EA59" i="117"/>
  <c r="EB59" i="117"/>
  <c r="EC59" i="117"/>
  <c r="ED59" i="117"/>
  <c r="EA60" i="117"/>
  <c r="EB60" i="117"/>
  <c r="EC60" i="117"/>
  <c r="ED60" i="117"/>
  <c r="EA61" i="117"/>
  <c r="EB61" i="117"/>
  <c r="EC61" i="117"/>
  <c r="ED61" i="117"/>
  <c r="EA62" i="117"/>
  <c r="EB62" i="117"/>
  <c r="EC62" i="117"/>
  <c r="ED62" i="117"/>
  <c r="EA63" i="117"/>
  <c r="EB63" i="117"/>
  <c r="EC63" i="117"/>
  <c r="ED63" i="117"/>
  <c r="EA64" i="117"/>
  <c r="EB64" i="117"/>
  <c r="EC64" i="117"/>
  <c r="ED64" i="117"/>
  <c r="EA65" i="117"/>
  <c r="EB65" i="117"/>
  <c r="EC65" i="117"/>
  <c r="ED65" i="117"/>
  <c r="EA66" i="117"/>
  <c r="EB66" i="117"/>
  <c r="EC66" i="117"/>
  <c r="ED66" i="117"/>
  <c r="EA67" i="117"/>
  <c r="EB67" i="117"/>
  <c r="EC67" i="117"/>
  <c r="ED67" i="117"/>
  <c r="EA68" i="117"/>
  <c r="EB68" i="117"/>
  <c r="EC68" i="117"/>
  <c r="ED68" i="117"/>
  <c r="EA69" i="117"/>
  <c r="EB69" i="117"/>
  <c r="EC69" i="117"/>
  <c r="ED69" i="117"/>
  <c r="EA70" i="117"/>
  <c r="EB70" i="117"/>
  <c r="EC70" i="117"/>
  <c r="ED70" i="117"/>
  <c r="EA71" i="117"/>
  <c r="EB71" i="117"/>
  <c r="EC71" i="117"/>
  <c r="ED71" i="117"/>
  <c r="EA72" i="117"/>
  <c r="EB72" i="117"/>
  <c r="EC72" i="117"/>
  <c r="ED72" i="117"/>
  <c r="EA73" i="117"/>
  <c r="EB73" i="117"/>
  <c r="EC73" i="117"/>
  <c r="ED73" i="117"/>
  <c r="EA74" i="117"/>
  <c r="EB74" i="117"/>
  <c r="EC74" i="117"/>
  <c r="ED74" i="117"/>
  <c r="EA75" i="117"/>
  <c r="EB75" i="117"/>
  <c r="EC75" i="117"/>
  <c r="ED75" i="117"/>
  <c r="EA76" i="117"/>
  <c r="EB76" i="117"/>
  <c r="EC76" i="117"/>
  <c r="ED76" i="117"/>
  <c r="EA77" i="117"/>
  <c r="EB77" i="117"/>
  <c r="EC77" i="117"/>
  <c r="ED77" i="117"/>
  <c r="EA78" i="117"/>
  <c r="EB78" i="117"/>
  <c r="EC78" i="117"/>
  <c r="ED78" i="117"/>
  <c r="EA79" i="117"/>
  <c r="EB79" i="117"/>
  <c r="EC79" i="117"/>
  <c r="ED79" i="117"/>
  <c r="EA80" i="117"/>
  <c r="EB80" i="117"/>
  <c r="EC80" i="117"/>
  <c r="ED80" i="117"/>
  <c r="EA81" i="117"/>
  <c r="EB81" i="117"/>
  <c r="EC81" i="117"/>
  <c r="ED81" i="117"/>
  <c r="EA82" i="117"/>
  <c r="EB82" i="117"/>
  <c r="EC82" i="117"/>
  <c r="ED82" i="117"/>
  <c r="EA83" i="117"/>
  <c r="EB83" i="117"/>
  <c r="EC83" i="117"/>
  <c r="ED83" i="117"/>
  <c r="EA84" i="117"/>
  <c r="EB84" i="117"/>
  <c r="EC84" i="117"/>
  <c r="ED84" i="117"/>
  <c r="EA85" i="117"/>
  <c r="EB85" i="117"/>
  <c r="EC85" i="117"/>
  <c r="ED85" i="117"/>
  <c r="EA86" i="117"/>
  <c r="EB86" i="117"/>
  <c r="EC86" i="117"/>
  <c r="ED86" i="117"/>
  <c r="EA87" i="117"/>
  <c r="EB87" i="117"/>
  <c r="EC87" i="117"/>
  <c r="ED87" i="117"/>
  <c r="EA88" i="117"/>
  <c r="EB88" i="117"/>
  <c r="EC88" i="117"/>
  <c r="ED88" i="117"/>
  <c r="EA89" i="117"/>
  <c r="EB89" i="117"/>
  <c r="EC89" i="117"/>
  <c r="ED89" i="117"/>
  <c r="EA90" i="117"/>
  <c r="EB90" i="117"/>
  <c r="EC90" i="117"/>
  <c r="ED90" i="117"/>
  <c r="EA91" i="117"/>
  <c r="EB91" i="117"/>
  <c r="EC91" i="117"/>
  <c r="ED91" i="117"/>
  <c r="EA92" i="117"/>
  <c r="EB92" i="117"/>
  <c r="EC92" i="117"/>
  <c r="ED92" i="117"/>
  <c r="EA93" i="117"/>
  <c r="EB93" i="117"/>
  <c r="EC93" i="117"/>
  <c r="ED93" i="117"/>
  <c r="EA94" i="117"/>
  <c r="EB94" i="117"/>
  <c r="EC94" i="117"/>
  <c r="ED94" i="117"/>
  <c r="EA95" i="117"/>
  <c r="EB95" i="117"/>
  <c r="EC95" i="117"/>
  <c r="ED95" i="117"/>
  <c r="EA96" i="117"/>
  <c r="EB96" i="117"/>
  <c r="EC96" i="117"/>
  <c r="ED96" i="117"/>
  <c r="EA97" i="117"/>
  <c r="EB97" i="117"/>
  <c r="EC97" i="117"/>
  <c r="ED97" i="117"/>
  <c r="EA98" i="117"/>
  <c r="EB98" i="117"/>
  <c r="EC98" i="117"/>
  <c r="ED98" i="117"/>
  <c r="EA99" i="117"/>
  <c r="EB99" i="117"/>
  <c r="EC99" i="117"/>
  <c r="ED99" i="117"/>
  <c r="EA100" i="117"/>
  <c r="EB100" i="117"/>
  <c r="EC100" i="117"/>
  <c r="ED100" i="117"/>
  <c r="EA101" i="117"/>
  <c r="EB101" i="117"/>
  <c r="EC101" i="117"/>
  <c r="ED101" i="117"/>
  <c r="EA102" i="117"/>
  <c r="EB102" i="117"/>
  <c r="EC102" i="117"/>
  <c r="ED102" i="117"/>
  <c r="EA103" i="117"/>
  <c r="EB103" i="117"/>
  <c r="EC103" i="117"/>
  <c r="ED103" i="117"/>
  <c r="EA104" i="117"/>
  <c r="EB104" i="117"/>
  <c r="EC104" i="117"/>
  <c r="ED104" i="117"/>
  <c r="EA105" i="117"/>
  <c r="EB105" i="117"/>
  <c r="EC105" i="117"/>
  <c r="ED105" i="117"/>
  <c r="EA106" i="117"/>
  <c r="EB106" i="117"/>
  <c r="EC106" i="117"/>
  <c r="ED106" i="117"/>
  <c r="EA107" i="117"/>
  <c r="EB107" i="117"/>
  <c r="EC107" i="117"/>
  <c r="ED107" i="117"/>
  <c r="EA108" i="117"/>
  <c r="EB108" i="117"/>
  <c r="EC108" i="117"/>
  <c r="ED108" i="117"/>
  <c r="EA109" i="117"/>
  <c r="EB109" i="117"/>
  <c r="EC109" i="117"/>
  <c r="ED109" i="117"/>
  <c r="EA110" i="117"/>
  <c r="EB110" i="117"/>
  <c r="EC110" i="117"/>
  <c r="ED110" i="117"/>
  <c r="EA111" i="117"/>
  <c r="EB111" i="117"/>
  <c r="EC111" i="117"/>
  <c r="ED111" i="117"/>
  <c r="EA112" i="117"/>
  <c r="EB112" i="117"/>
  <c r="EC112" i="117"/>
  <c r="ED112" i="117"/>
  <c r="EA113" i="117"/>
  <c r="EB113" i="117"/>
  <c r="EC113" i="117"/>
  <c r="ED113" i="117"/>
  <c r="EA114" i="117"/>
  <c r="EB114" i="117"/>
  <c r="EC114" i="117"/>
  <c r="ED114" i="117"/>
  <c r="EA115" i="117"/>
  <c r="EB115" i="117"/>
  <c r="EC115" i="117"/>
  <c r="ED115" i="117"/>
  <c r="EA116" i="117"/>
  <c r="EB116" i="117"/>
  <c r="EC116" i="117"/>
  <c r="ED116" i="117"/>
  <c r="EA117" i="117"/>
  <c r="EB117" i="117"/>
  <c r="EC117" i="117"/>
  <c r="ED117" i="117"/>
  <c r="EA118" i="117"/>
  <c r="EB118" i="117"/>
  <c r="EC118" i="117"/>
  <c r="ED118" i="117"/>
  <c r="EA119" i="117"/>
  <c r="EB119" i="117"/>
  <c r="EC119" i="117"/>
  <c r="ED119" i="117"/>
  <c r="EA120" i="117"/>
  <c r="EB120" i="117"/>
  <c r="EC120" i="117"/>
  <c r="ED120" i="117"/>
  <c r="EA121" i="117"/>
  <c r="EB121" i="117"/>
  <c r="EC121" i="117"/>
  <c r="ED121" i="117"/>
  <c r="EA122" i="117"/>
  <c r="EB122" i="117"/>
  <c r="EC122" i="117"/>
  <c r="ED122" i="117"/>
  <c r="EA123" i="117"/>
  <c r="EB123" i="117"/>
  <c r="EC123" i="117"/>
  <c r="ED123" i="117"/>
  <c r="EA124" i="117"/>
  <c r="EB124" i="117"/>
  <c r="EC124" i="117"/>
  <c r="ED124" i="117"/>
  <c r="EA125" i="117"/>
  <c r="EB125" i="117"/>
  <c r="EC125" i="117"/>
  <c r="ED125" i="117"/>
  <c r="EA126" i="117"/>
  <c r="EB126" i="117"/>
  <c r="EC126" i="117"/>
  <c r="ED126" i="117"/>
  <c r="EA127" i="117"/>
  <c r="EB127" i="117"/>
  <c r="EC127" i="117"/>
  <c r="ED127" i="117"/>
  <c r="EA128" i="117"/>
  <c r="EB128" i="117"/>
  <c r="EC128" i="117"/>
  <c r="ED128" i="117"/>
  <c r="EA129" i="117"/>
  <c r="EB129" i="117"/>
  <c r="EC129" i="117"/>
  <c r="ED129" i="117"/>
  <c r="EA130" i="117"/>
  <c r="EB130" i="117"/>
  <c r="EC130" i="117"/>
  <c r="ED130" i="117"/>
  <c r="EA131" i="117"/>
  <c r="EB131" i="117"/>
  <c r="EC131" i="117"/>
  <c r="ED131" i="117"/>
  <c r="EA132" i="117"/>
  <c r="EB132" i="117"/>
  <c r="EC132" i="117"/>
  <c r="ED132" i="117"/>
  <c r="EA133" i="117"/>
  <c r="EB133" i="117"/>
  <c r="EC133" i="117"/>
  <c r="ED133" i="117"/>
  <c r="EA134" i="117"/>
  <c r="EB134" i="117"/>
  <c r="EC134" i="117"/>
  <c r="ED134" i="117"/>
  <c r="EA135" i="117"/>
  <c r="EB135" i="117"/>
  <c r="EC135" i="117"/>
  <c r="ED135" i="117"/>
  <c r="EA136" i="117"/>
  <c r="EB136" i="117"/>
  <c r="EC136" i="117"/>
  <c r="ED136" i="117"/>
  <c r="EA137" i="117"/>
  <c r="EB137" i="117"/>
  <c r="EC137" i="117"/>
  <c r="ED137" i="117"/>
  <c r="EA138" i="117"/>
  <c r="EB138" i="117"/>
  <c r="EC138" i="117"/>
  <c r="ED138" i="117"/>
  <c r="EA139" i="117"/>
  <c r="EB139" i="117"/>
  <c r="EC139" i="117"/>
  <c r="ED139" i="117"/>
  <c r="EA140" i="117"/>
  <c r="EB140" i="117"/>
  <c r="EC140" i="117"/>
  <c r="ED140" i="117"/>
  <c r="EA141" i="117"/>
  <c r="EB141" i="117"/>
  <c r="EC141" i="117"/>
  <c r="ED141" i="117"/>
  <c r="EA142" i="117"/>
  <c r="EB142" i="117"/>
  <c r="EC142" i="117"/>
  <c r="ED142" i="117"/>
  <c r="EA143" i="117"/>
  <c r="EB143" i="117"/>
  <c r="EC143" i="117"/>
  <c r="ED143" i="117"/>
  <c r="EA144" i="117"/>
  <c r="EB144" i="117"/>
  <c r="EC144" i="117"/>
  <c r="ED144" i="117"/>
  <c r="EB3" i="117"/>
  <c r="EC3" i="117"/>
  <c r="ED3" i="117"/>
  <c r="EA3" i="117"/>
  <c r="DQ4" i="117"/>
  <c r="DR4" i="117"/>
  <c r="DQ5" i="117"/>
  <c r="DR5" i="117"/>
  <c r="DQ6" i="117"/>
  <c r="DR6" i="117"/>
  <c r="AD13" i="4" s="1"/>
  <c r="DQ7" i="117"/>
  <c r="DR7" i="117"/>
  <c r="AD14" i="4" s="1"/>
  <c r="DQ8" i="117"/>
  <c r="DR8" i="117"/>
  <c r="AD15" i="4" s="1"/>
  <c r="DQ9" i="117"/>
  <c r="DR9" i="117"/>
  <c r="AD16" i="4" s="1"/>
  <c r="DQ10" i="117"/>
  <c r="DR10" i="117"/>
  <c r="AD17" i="4" s="1"/>
  <c r="DQ11" i="117"/>
  <c r="DR11" i="117"/>
  <c r="AD18" i="4" s="1"/>
  <c r="DQ12" i="117"/>
  <c r="DR12" i="117"/>
  <c r="AD19" i="4" s="1"/>
  <c r="DQ13" i="117"/>
  <c r="DR13" i="117"/>
  <c r="AD20" i="4" s="1"/>
  <c r="DQ14" i="117"/>
  <c r="DR14" i="117"/>
  <c r="AD22" i="4" s="1"/>
  <c r="DQ15" i="117"/>
  <c r="DR15" i="117"/>
  <c r="DQ16" i="117"/>
  <c r="DR16" i="117"/>
  <c r="AD26" i="4" s="1"/>
  <c r="DQ17" i="117"/>
  <c r="DR17" i="117"/>
  <c r="AD27" i="4" s="1"/>
  <c r="DQ18" i="117"/>
  <c r="DR18" i="117"/>
  <c r="DQ19" i="117"/>
  <c r="DR19" i="117"/>
  <c r="AD33" i="4" s="1"/>
  <c r="DQ20" i="117"/>
  <c r="DR20" i="117"/>
  <c r="AD35" i="4" s="1"/>
  <c r="DQ21" i="117"/>
  <c r="DR21" i="117"/>
  <c r="DQ22" i="117"/>
  <c r="DR22" i="117"/>
  <c r="DQ23" i="117"/>
  <c r="DR23" i="117"/>
  <c r="AD43" i="4" s="1"/>
  <c r="DQ24" i="117"/>
  <c r="DR24" i="117"/>
  <c r="AD44" i="4" s="1"/>
  <c r="DQ25" i="117"/>
  <c r="DR25" i="117"/>
  <c r="AD45" i="4" s="1"/>
  <c r="DQ26" i="117"/>
  <c r="DR26" i="117"/>
  <c r="AD46" i="4" s="1"/>
  <c r="DQ27" i="117"/>
  <c r="DR27" i="117"/>
  <c r="AD48" i="4" s="1"/>
  <c r="DQ28" i="117"/>
  <c r="DR28" i="117"/>
  <c r="AD49" i="4" s="1"/>
  <c r="DQ29" i="117"/>
  <c r="DR29" i="117"/>
  <c r="AD50" i="4" s="1"/>
  <c r="DQ30" i="117"/>
  <c r="DR30" i="117"/>
  <c r="AD51" i="4" s="1"/>
  <c r="DQ31" i="117"/>
  <c r="DR31" i="117"/>
  <c r="DQ32" i="117"/>
  <c r="DR32" i="117"/>
  <c r="DQ33" i="117"/>
  <c r="DR33" i="117"/>
  <c r="DQ34" i="117"/>
  <c r="DR34" i="117"/>
  <c r="AD57" i="4" s="1"/>
  <c r="DQ35" i="117"/>
  <c r="DR35" i="117"/>
  <c r="AD58" i="4" s="1"/>
  <c r="DQ36" i="117"/>
  <c r="DR36" i="117"/>
  <c r="DQ37" i="117"/>
  <c r="DR37" i="117"/>
  <c r="AD60" i="4" s="1"/>
  <c r="DQ38" i="117"/>
  <c r="DR38" i="117"/>
  <c r="AD61" i="4" s="1"/>
  <c r="DQ39" i="117"/>
  <c r="DR39" i="117"/>
  <c r="DQ40" i="117"/>
  <c r="DR40" i="117"/>
  <c r="AD64" i="4" s="1"/>
  <c r="DQ41" i="117"/>
  <c r="DR41" i="117"/>
  <c r="AD65" i="4" s="1"/>
  <c r="DQ42" i="117"/>
  <c r="DR42" i="117"/>
  <c r="AD66" i="4" s="1"/>
  <c r="DQ43" i="117"/>
  <c r="DR43" i="117"/>
  <c r="DQ44" i="117"/>
  <c r="DR44" i="117"/>
  <c r="DQ45" i="117"/>
  <c r="DR45" i="117"/>
  <c r="AD74" i="4" s="1"/>
  <c r="DQ46" i="117"/>
  <c r="DR46" i="117"/>
  <c r="AD75" i="4" s="1"/>
  <c r="DQ47" i="117"/>
  <c r="DR47" i="117"/>
  <c r="DR48" i="117"/>
  <c r="DQ49" i="117"/>
  <c r="DR49" i="117"/>
  <c r="DQ50" i="117"/>
  <c r="DR50" i="117"/>
  <c r="DQ51" i="117"/>
  <c r="DR51" i="117"/>
  <c r="DQ52" i="117"/>
  <c r="DR52" i="117"/>
  <c r="DQ53" i="117"/>
  <c r="DR53" i="117"/>
  <c r="AD86" i="4" s="1"/>
  <c r="DQ54" i="117"/>
  <c r="DR54" i="117"/>
  <c r="AD87" i="4" s="1"/>
  <c r="DQ55" i="117"/>
  <c r="DR55" i="117"/>
  <c r="AD89" i="4" s="1"/>
  <c r="DQ56" i="117"/>
  <c r="DR56" i="117"/>
  <c r="AD90" i="4" s="1"/>
  <c r="DQ57" i="117"/>
  <c r="DR57" i="117"/>
  <c r="AD92" i="4" s="1"/>
  <c r="DQ58" i="117"/>
  <c r="DR58" i="117"/>
  <c r="DQ59" i="117"/>
  <c r="DR59" i="117"/>
  <c r="DQ60" i="117"/>
  <c r="DR60" i="117"/>
  <c r="AD95" i="4" s="1"/>
  <c r="DQ61" i="117"/>
  <c r="DR61" i="117"/>
  <c r="AD96" i="4" s="1"/>
  <c r="DQ62" i="117"/>
  <c r="DR62" i="117"/>
  <c r="DQ63" i="117"/>
  <c r="DR63" i="117"/>
  <c r="DQ64" i="117"/>
  <c r="DR64" i="117"/>
  <c r="AD99" i="4" s="1"/>
  <c r="DQ65" i="117"/>
  <c r="DR65" i="117"/>
  <c r="AD100" i="4" s="1"/>
  <c r="DQ66" i="117"/>
  <c r="DR66" i="117"/>
  <c r="AD101" i="4" s="1"/>
  <c r="DQ67" i="117"/>
  <c r="DR67" i="117"/>
  <c r="AD102" i="4" s="1"/>
  <c r="DQ68" i="117"/>
  <c r="DR68" i="117"/>
  <c r="AD103" i="4" s="1"/>
  <c r="DQ69" i="117"/>
  <c r="DR69" i="117"/>
  <c r="AD104" i="4" s="1"/>
  <c r="DQ70" i="117"/>
  <c r="DR70" i="117"/>
  <c r="AD105" i="4" s="1"/>
  <c r="DQ71" i="117"/>
  <c r="DR71" i="117"/>
  <c r="AD106" i="4" s="1"/>
  <c r="DQ72" i="117"/>
  <c r="DR72" i="117"/>
  <c r="DQ73" i="117"/>
  <c r="DR73" i="117"/>
  <c r="AD108" i="4" s="1"/>
  <c r="DQ74" i="117"/>
  <c r="DR74" i="117"/>
  <c r="AD109" i="4" s="1"/>
  <c r="DQ75" i="117"/>
  <c r="DR75" i="117"/>
  <c r="DQ76" i="117"/>
  <c r="DR76" i="117"/>
  <c r="DQ77" i="117"/>
  <c r="DR77" i="117"/>
  <c r="AD113" i="4" s="1"/>
  <c r="DQ78" i="117"/>
  <c r="DR78" i="117"/>
  <c r="DQ79" i="117"/>
  <c r="DR79" i="117"/>
  <c r="AD117" i="4" s="1"/>
  <c r="DQ80" i="117"/>
  <c r="DR80" i="117"/>
  <c r="DQ81" i="117"/>
  <c r="DR81" i="117"/>
  <c r="AD119" i="4" s="1"/>
  <c r="DQ82" i="117"/>
  <c r="DR82" i="117"/>
  <c r="AD121" i="4" s="1"/>
  <c r="DQ83" i="117"/>
  <c r="DR83" i="117"/>
  <c r="AD122" i="4" s="1"/>
  <c r="DQ84" i="117"/>
  <c r="DR84" i="117"/>
  <c r="AD123" i="4" s="1"/>
  <c r="DQ85" i="117"/>
  <c r="DR85" i="117"/>
  <c r="AD124" i="4" s="1"/>
  <c r="DQ86" i="117"/>
  <c r="DR86" i="117"/>
  <c r="DQ87" i="117"/>
  <c r="DR87" i="117"/>
  <c r="AD126" i="4" s="1"/>
  <c r="DQ88" i="117"/>
  <c r="DR88" i="117"/>
  <c r="AD127" i="4" s="1"/>
  <c r="DQ89" i="117"/>
  <c r="DR89" i="117"/>
  <c r="AD128" i="4" s="1"/>
  <c r="DQ90" i="117"/>
  <c r="DR90" i="117"/>
  <c r="AD129" i="4" s="1"/>
  <c r="DQ91" i="117"/>
  <c r="DR91" i="117"/>
  <c r="DQ92" i="117"/>
  <c r="DR92" i="117"/>
  <c r="AD131" i="4" s="1"/>
  <c r="DQ93" i="117"/>
  <c r="DR93" i="117"/>
  <c r="DQ94" i="117"/>
  <c r="DR94" i="117"/>
  <c r="AD134" i="4" s="1"/>
  <c r="DQ95" i="117"/>
  <c r="DR95" i="117"/>
  <c r="AD135" i="4" s="1"/>
  <c r="DQ96" i="117"/>
  <c r="DR96" i="117"/>
  <c r="AD136" i="4" s="1"/>
  <c r="DQ97" i="117"/>
  <c r="DR97" i="117"/>
  <c r="AD137" i="4" s="1"/>
  <c r="DQ98" i="117"/>
  <c r="DR98" i="117"/>
  <c r="DQ99" i="117"/>
  <c r="DR99" i="117"/>
  <c r="AD139" i="4" s="1"/>
  <c r="DQ100" i="117"/>
  <c r="DR100" i="117"/>
  <c r="AD140" i="4" s="1"/>
  <c r="DQ101" i="117"/>
  <c r="DR101" i="117"/>
  <c r="AD141" i="4" s="1"/>
  <c r="DQ102" i="117"/>
  <c r="DR102" i="117"/>
  <c r="DQ103" i="117"/>
  <c r="DR103" i="117"/>
  <c r="DQ104" i="117"/>
  <c r="DR104" i="117"/>
  <c r="AD158" i="4" s="1"/>
  <c r="DQ105" i="117"/>
  <c r="DR105" i="117"/>
  <c r="DQ106" i="117"/>
  <c r="DR106" i="117"/>
  <c r="DQ107" i="117"/>
  <c r="DR107" i="117"/>
  <c r="AD173" i="4" s="1"/>
  <c r="AD172" i="4" s="1"/>
  <c r="AD169" i="4" s="1"/>
  <c r="DQ108" i="117"/>
  <c r="DR108" i="117"/>
  <c r="DQ109" i="117"/>
  <c r="DR109" i="117"/>
  <c r="DR3" i="117"/>
  <c r="DQ3" i="117"/>
  <c r="FS3" i="116"/>
  <c r="AD26" i="35"/>
  <c r="FS4" i="116"/>
  <c r="FT4" i="116"/>
  <c r="FU4" i="116"/>
  <c r="FS5" i="116"/>
  <c r="FT5" i="116"/>
  <c r="FU5" i="116"/>
  <c r="FS6" i="116"/>
  <c r="FT6" i="116"/>
  <c r="FU6" i="116"/>
  <c r="FS7" i="116"/>
  <c r="FT7" i="116"/>
  <c r="FU7" i="116"/>
  <c r="FS8" i="116"/>
  <c r="FT8" i="116"/>
  <c r="FU8" i="116"/>
  <c r="FS9" i="116"/>
  <c r="FT9" i="116"/>
  <c r="FU9" i="116"/>
  <c r="FS10" i="116"/>
  <c r="FT10" i="116"/>
  <c r="FU10" i="116"/>
  <c r="FS11" i="116"/>
  <c r="FT11" i="116"/>
  <c r="FU11" i="116"/>
  <c r="FS12" i="116"/>
  <c r="FT12" i="116"/>
  <c r="FU12" i="116"/>
  <c r="FS13" i="116"/>
  <c r="FT13" i="116"/>
  <c r="FU13" i="116"/>
  <c r="FS14" i="116"/>
  <c r="FT14" i="116"/>
  <c r="FU14" i="116"/>
  <c r="FS15" i="116"/>
  <c r="FT15" i="116"/>
  <c r="FU15" i="116"/>
  <c r="FS16" i="116"/>
  <c r="FT16" i="116"/>
  <c r="FU16" i="116"/>
  <c r="FS17" i="116"/>
  <c r="FT17" i="116"/>
  <c r="FU17" i="116"/>
  <c r="FS18" i="116"/>
  <c r="FT18" i="116"/>
  <c r="FU18" i="116"/>
  <c r="FS19" i="116"/>
  <c r="FT19" i="116"/>
  <c r="FU19" i="116"/>
  <c r="FS20" i="116"/>
  <c r="FT20" i="116"/>
  <c r="FU20" i="116"/>
  <c r="FS21" i="116"/>
  <c r="FT21" i="116"/>
  <c r="FU21" i="116"/>
  <c r="FS22" i="116"/>
  <c r="FT22" i="116"/>
  <c r="FU22" i="116"/>
  <c r="FS23" i="116"/>
  <c r="FT23" i="116"/>
  <c r="FU23" i="116"/>
  <c r="FS24" i="116"/>
  <c r="FT24" i="116"/>
  <c r="FU24" i="116"/>
  <c r="FS25" i="116"/>
  <c r="FT25" i="116"/>
  <c r="FU25" i="116"/>
  <c r="FS26" i="116"/>
  <c r="FT26" i="116"/>
  <c r="FU26" i="116"/>
  <c r="FS27" i="116"/>
  <c r="FT27" i="116"/>
  <c r="FU27" i="116"/>
  <c r="FS28" i="116"/>
  <c r="FT28" i="116"/>
  <c r="FU28" i="116"/>
  <c r="FS29" i="116"/>
  <c r="FT29" i="116"/>
  <c r="FU29" i="116"/>
  <c r="FS30" i="116"/>
  <c r="FT30" i="116"/>
  <c r="FU30" i="116"/>
  <c r="FS31" i="116"/>
  <c r="FT31" i="116"/>
  <c r="FU31" i="116"/>
  <c r="FS32" i="116"/>
  <c r="FT32" i="116"/>
  <c r="FU32" i="116"/>
  <c r="FS33" i="116"/>
  <c r="FT33" i="116"/>
  <c r="FU33" i="116"/>
  <c r="FS34" i="116"/>
  <c r="FT34" i="116"/>
  <c r="FU34" i="116"/>
  <c r="FS35" i="116"/>
  <c r="FT35" i="116"/>
  <c r="FU35" i="116"/>
  <c r="FS36" i="116"/>
  <c r="FT36" i="116"/>
  <c r="FU36" i="116"/>
  <c r="FS37" i="116"/>
  <c r="FT37" i="116"/>
  <c r="FU37" i="116"/>
  <c r="FS38" i="116"/>
  <c r="FT38" i="116"/>
  <c r="FU38" i="116"/>
  <c r="FS39" i="116"/>
  <c r="FT39" i="116"/>
  <c r="FU39" i="116"/>
  <c r="FS40" i="116"/>
  <c r="FT40" i="116"/>
  <c r="FU40" i="116"/>
  <c r="FS41" i="116"/>
  <c r="FT41" i="116"/>
  <c r="FU41" i="116"/>
  <c r="FS42" i="116"/>
  <c r="FT42" i="116"/>
  <c r="FU42" i="116"/>
  <c r="FS43" i="116"/>
  <c r="FT43" i="116"/>
  <c r="FU43" i="116"/>
  <c r="FS44" i="116"/>
  <c r="FT44" i="116"/>
  <c r="FU44" i="116"/>
  <c r="FS45" i="116"/>
  <c r="FT45" i="116"/>
  <c r="FU45" i="116"/>
  <c r="FS46" i="116"/>
  <c r="FT46" i="116"/>
  <c r="FU46" i="116"/>
  <c r="FS47" i="116"/>
  <c r="FT47" i="116"/>
  <c r="FU47" i="116"/>
  <c r="FS48" i="116"/>
  <c r="FT48" i="116"/>
  <c r="FU48" i="116"/>
  <c r="FS49" i="116"/>
  <c r="FT49" i="116"/>
  <c r="FU49" i="116"/>
  <c r="FS50" i="116"/>
  <c r="FT50" i="116"/>
  <c r="FU50" i="116"/>
  <c r="FS51" i="116"/>
  <c r="FT51" i="116"/>
  <c r="FU51" i="116"/>
  <c r="FS52" i="116"/>
  <c r="FT52" i="116"/>
  <c r="FU52" i="116"/>
  <c r="FT3" i="116"/>
  <c r="FU3" i="116"/>
  <c r="FE4" i="116"/>
  <c r="FF4" i="116"/>
  <c r="FG4" i="116"/>
  <c r="AD15" i="35" s="1"/>
  <c r="AD14" i="35" s="1"/>
  <c r="FE5" i="116"/>
  <c r="FF5" i="116"/>
  <c r="FG5" i="116"/>
  <c r="FE6" i="116"/>
  <c r="FF6" i="116"/>
  <c r="FG6" i="116"/>
  <c r="AD22" i="35" s="1"/>
  <c r="FE7" i="116"/>
  <c r="FF7" i="116"/>
  <c r="FG7" i="116"/>
  <c r="FE8" i="116"/>
  <c r="FF8" i="116"/>
  <c r="FG8" i="116"/>
  <c r="AD21" i="35" s="1"/>
  <c r="FE9" i="116"/>
  <c r="FF9" i="116"/>
  <c r="FG9" i="116"/>
  <c r="AD25" i="35" s="1"/>
  <c r="FE10" i="116"/>
  <c r="FF10" i="116"/>
  <c r="FG10" i="116"/>
  <c r="AD23" i="35" s="1"/>
  <c r="FE11" i="116"/>
  <c r="FF11" i="116"/>
  <c r="FG11" i="116"/>
  <c r="FE12" i="116"/>
  <c r="FF12" i="116"/>
  <c r="FG12" i="116"/>
  <c r="AD24" i="35" s="1"/>
  <c r="FE13" i="116"/>
  <c r="FF13" i="116"/>
  <c r="FG13" i="116"/>
  <c r="FE14" i="116"/>
  <c r="FF14" i="116"/>
  <c r="FG14" i="116"/>
  <c r="FE15" i="116"/>
  <c r="FF15" i="116"/>
  <c r="FG15" i="116"/>
  <c r="FE16" i="116"/>
  <c r="FF16" i="116"/>
  <c r="FG16" i="116"/>
  <c r="FE17" i="116"/>
  <c r="FF17" i="116"/>
  <c r="FG17" i="116"/>
  <c r="FE18" i="116"/>
  <c r="FF18" i="116"/>
  <c r="FG18" i="116"/>
  <c r="AD33" i="35" s="1"/>
  <c r="AD30" i="35" s="1"/>
  <c r="FE19" i="116"/>
  <c r="FF19" i="116"/>
  <c r="FG19" i="116"/>
  <c r="FE20" i="116"/>
  <c r="FF20" i="116"/>
  <c r="FG20" i="116"/>
  <c r="AD42" i="35" s="1"/>
  <c r="FE21" i="116"/>
  <c r="FF21" i="116"/>
  <c r="FG21" i="116"/>
  <c r="AD43" i="35" s="1"/>
  <c r="FE22" i="116"/>
  <c r="FF22" i="116"/>
  <c r="FG22" i="116"/>
  <c r="AD44" i="35" s="1"/>
  <c r="FE23" i="116"/>
  <c r="FF23" i="116"/>
  <c r="FG23" i="116"/>
  <c r="AD45" i="35" s="1"/>
  <c r="FF3" i="116"/>
  <c r="FG3" i="116"/>
  <c r="FE3" i="116"/>
  <c r="FS3" i="115"/>
  <c r="FS4" i="115"/>
  <c r="FT4" i="115"/>
  <c r="FU4" i="115"/>
  <c r="FS5" i="115"/>
  <c r="FT5" i="115"/>
  <c r="FU5" i="115"/>
  <c r="FS6" i="115"/>
  <c r="FT6" i="115"/>
  <c r="FU6" i="115"/>
  <c r="FS7" i="115"/>
  <c r="FT7" i="115"/>
  <c r="FU7" i="115"/>
  <c r="FS8" i="115"/>
  <c r="FT8" i="115"/>
  <c r="FU8" i="115"/>
  <c r="FS9" i="115"/>
  <c r="FT9" i="115"/>
  <c r="FU9" i="115"/>
  <c r="FS10" i="115"/>
  <c r="FT10" i="115"/>
  <c r="FU10" i="115"/>
  <c r="FS11" i="115"/>
  <c r="FT11" i="115"/>
  <c r="FU11" i="115"/>
  <c r="FS12" i="115"/>
  <c r="FT12" i="115"/>
  <c r="FU12" i="115"/>
  <c r="FS13" i="115"/>
  <c r="FT13" i="115"/>
  <c r="FU13" i="115"/>
  <c r="FS14" i="115"/>
  <c r="FT14" i="115"/>
  <c r="FU14" i="115"/>
  <c r="FS15" i="115"/>
  <c r="FT15" i="115"/>
  <c r="FU15" i="115"/>
  <c r="FS16" i="115"/>
  <c r="FT16" i="115"/>
  <c r="FU16" i="115"/>
  <c r="FS17" i="115"/>
  <c r="FT17" i="115"/>
  <c r="FU17" i="115"/>
  <c r="FS18" i="115"/>
  <c r="FT18" i="115"/>
  <c r="FU18" i="115"/>
  <c r="FS19" i="115"/>
  <c r="FT19" i="115"/>
  <c r="FU19" i="115"/>
  <c r="FS20" i="115"/>
  <c r="FT20" i="115"/>
  <c r="FU20" i="115"/>
  <c r="FS21" i="115"/>
  <c r="FT21" i="115"/>
  <c r="FU21" i="115"/>
  <c r="FS22" i="115"/>
  <c r="FT22" i="115"/>
  <c r="FU22" i="115"/>
  <c r="FS23" i="115"/>
  <c r="FT23" i="115"/>
  <c r="FU23" i="115"/>
  <c r="FS24" i="115"/>
  <c r="FT24" i="115"/>
  <c r="FU24" i="115"/>
  <c r="FS25" i="115"/>
  <c r="FT25" i="115"/>
  <c r="FU25" i="115"/>
  <c r="FS26" i="115"/>
  <c r="FT26" i="115"/>
  <c r="FU26" i="115"/>
  <c r="FS27" i="115"/>
  <c r="FT27" i="115"/>
  <c r="FU27" i="115"/>
  <c r="FS28" i="115"/>
  <c r="FT28" i="115"/>
  <c r="FU28" i="115"/>
  <c r="FS29" i="115"/>
  <c r="FT29" i="115"/>
  <c r="FU29" i="115"/>
  <c r="FS30" i="115"/>
  <c r="FT30" i="115"/>
  <c r="FU30" i="115"/>
  <c r="FS31" i="115"/>
  <c r="FT31" i="115"/>
  <c r="FU31" i="115"/>
  <c r="FS32" i="115"/>
  <c r="FT32" i="115"/>
  <c r="FU32" i="115"/>
  <c r="FS33" i="115"/>
  <c r="FT33" i="115"/>
  <c r="FU33" i="115"/>
  <c r="FS34" i="115"/>
  <c r="FT34" i="115"/>
  <c r="FU34" i="115"/>
  <c r="FS35" i="115"/>
  <c r="FT35" i="115"/>
  <c r="FU35" i="115"/>
  <c r="FS36" i="115"/>
  <c r="FT36" i="115"/>
  <c r="FU36" i="115"/>
  <c r="FS37" i="115"/>
  <c r="FT37" i="115"/>
  <c r="FU37" i="115"/>
  <c r="FS38" i="115"/>
  <c r="FT38" i="115"/>
  <c r="FU38" i="115"/>
  <c r="FS39" i="115"/>
  <c r="FT39" i="115"/>
  <c r="FU39" i="115"/>
  <c r="FS40" i="115"/>
  <c r="FT40" i="115"/>
  <c r="FU40" i="115"/>
  <c r="FS41" i="115"/>
  <c r="FT41" i="115"/>
  <c r="FU41" i="115"/>
  <c r="FS42" i="115"/>
  <c r="FT42" i="115"/>
  <c r="FU42" i="115"/>
  <c r="FS43" i="115"/>
  <c r="FT43" i="115"/>
  <c r="FU43" i="115"/>
  <c r="FS44" i="115"/>
  <c r="FT44" i="115"/>
  <c r="FU44" i="115"/>
  <c r="FS45" i="115"/>
  <c r="FT45" i="115"/>
  <c r="FU45" i="115"/>
  <c r="FS46" i="115"/>
  <c r="FT46" i="115"/>
  <c r="FU46" i="115"/>
  <c r="FS47" i="115"/>
  <c r="FT47" i="115"/>
  <c r="FU47" i="115"/>
  <c r="FS48" i="115"/>
  <c r="FT48" i="115"/>
  <c r="FU48" i="115"/>
  <c r="FS49" i="115"/>
  <c r="FT49" i="115"/>
  <c r="FU49" i="115"/>
  <c r="FS50" i="115"/>
  <c r="FT50" i="115"/>
  <c r="FU50" i="115"/>
  <c r="FS51" i="115"/>
  <c r="FT51" i="115"/>
  <c r="FU51" i="115"/>
  <c r="FT3" i="115"/>
  <c r="FU3" i="115"/>
  <c r="FE4" i="115"/>
  <c r="FF4" i="115"/>
  <c r="FG4" i="115"/>
  <c r="AD19" i="37" s="1"/>
  <c r="FE5" i="115"/>
  <c r="FF5" i="115"/>
  <c r="FG5" i="115"/>
  <c r="FE6" i="115"/>
  <c r="FF6" i="115"/>
  <c r="FG6" i="115"/>
  <c r="AD17" i="37" s="1"/>
  <c r="FE7" i="115"/>
  <c r="FF7" i="115"/>
  <c r="FG7" i="115"/>
  <c r="AD18" i="37" s="1"/>
  <c r="FE8" i="115"/>
  <c r="FF8" i="115"/>
  <c r="FG8" i="115"/>
  <c r="AD50" i="37" s="1"/>
  <c r="FE9" i="115"/>
  <c r="FF9" i="115"/>
  <c r="FG9" i="115"/>
  <c r="FE10" i="115"/>
  <c r="FF10" i="115"/>
  <c r="FG10" i="115"/>
  <c r="FE11" i="115"/>
  <c r="FF11" i="115"/>
  <c r="FG11" i="115"/>
  <c r="FE12" i="115"/>
  <c r="FF12" i="115"/>
  <c r="FG12" i="115"/>
  <c r="AD38" i="37" s="1"/>
  <c r="FE13" i="115"/>
  <c r="FF13" i="115"/>
  <c r="FG13" i="115"/>
  <c r="FE14" i="115"/>
  <c r="FF14" i="115"/>
  <c r="FG14" i="115"/>
  <c r="AD39" i="37" s="1"/>
  <c r="FE15" i="115"/>
  <c r="FF15" i="115"/>
  <c r="FG15" i="115"/>
  <c r="AD40" i="37" s="1"/>
  <c r="FE16" i="115"/>
  <c r="FF16" i="115"/>
  <c r="FG16" i="115"/>
  <c r="AD43" i="37" s="1"/>
  <c r="FE17" i="115"/>
  <c r="FF17" i="115"/>
  <c r="FG17" i="115"/>
  <c r="AD44" i="37" s="1"/>
  <c r="FE18" i="115"/>
  <c r="FF18" i="115"/>
  <c r="FG18" i="115"/>
  <c r="AD45" i="37" s="1"/>
  <c r="FE19" i="115"/>
  <c r="FF19" i="115"/>
  <c r="FG19" i="115"/>
  <c r="AD46" i="37" s="1"/>
  <c r="FE20" i="115"/>
  <c r="FF20" i="115"/>
  <c r="FG20" i="115"/>
  <c r="AD47" i="37" s="1"/>
  <c r="FE21" i="115"/>
  <c r="FF21" i="115"/>
  <c r="FG21" i="115"/>
  <c r="FE22" i="115"/>
  <c r="FF22" i="115"/>
  <c r="FG22" i="115"/>
  <c r="AD48" i="37" s="1"/>
  <c r="FE23" i="115"/>
  <c r="FF23" i="115"/>
  <c r="FG23" i="115"/>
  <c r="FF3" i="115"/>
  <c r="FG3" i="115"/>
  <c r="FE3" i="115"/>
  <c r="AD11" i="54"/>
  <c r="AD10" i="54" s="1"/>
  <c r="DU4" i="114"/>
  <c r="DV4" i="114"/>
  <c r="DW4" i="114"/>
  <c r="DU5" i="114"/>
  <c r="DV5" i="114"/>
  <c r="DW5" i="114"/>
  <c r="DU6" i="114"/>
  <c r="DV6" i="114"/>
  <c r="DW6" i="114"/>
  <c r="DU7" i="114"/>
  <c r="DV7" i="114"/>
  <c r="DW7" i="114"/>
  <c r="DV3" i="114"/>
  <c r="DW3" i="114"/>
  <c r="DU3" i="114"/>
  <c r="DK4" i="114"/>
  <c r="DK3" i="114"/>
  <c r="AD42" i="37" l="1"/>
  <c r="AD37" i="37"/>
  <c r="AD154" i="4"/>
  <c r="AD146" i="4" s="1"/>
  <c r="AD138" i="4" s="1"/>
  <c r="AD133" i="4" s="1"/>
  <c r="AD130" i="4" s="1"/>
  <c r="AD125" i="4" s="1"/>
  <c r="AD118" i="4" s="1"/>
  <c r="AD115" i="4" s="1"/>
  <c r="AD107" i="4" s="1"/>
  <c r="AD98" i="4" s="1"/>
  <c r="AD85" i="4" s="1"/>
  <c r="AD51" i="37"/>
  <c r="FG24" i="116"/>
  <c r="FG24" i="115"/>
  <c r="I77" i="39"/>
  <c r="M77" i="39" s="1"/>
  <c r="AD41" i="35"/>
  <c r="AD40" i="35" s="1"/>
  <c r="AD39" i="35" s="1"/>
  <c r="AD20" i="35"/>
  <c r="AD13" i="35" s="1"/>
  <c r="AD10" i="35" s="1"/>
  <c r="I207" i="39"/>
  <c r="AD16" i="37"/>
  <c r="AD14" i="37" s="1"/>
  <c r="AD12" i="37" s="1"/>
  <c r="M207" i="39" l="1"/>
  <c r="O207" i="39"/>
  <c r="K207" i="39"/>
  <c r="AD36" i="37"/>
  <c r="AD83" i="4"/>
  <c r="AD79" i="4"/>
  <c r="N77" i="39"/>
  <c r="O77" i="39" s="1"/>
  <c r="AD9" i="35"/>
  <c r="AD78" i="4" l="1"/>
  <c r="AD73" i="4" s="1"/>
  <c r="AD72" i="4" s="1"/>
  <c r="AD63" i="4" s="1"/>
  <c r="AD59" i="4" s="1"/>
  <c r="AD56" i="4" s="1"/>
  <c r="AD42" i="4" s="1"/>
  <c r="AD41" i="4" s="1"/>
  <c r="AD32" i="4" s="1"/>
  <c r="AD25" i="4" s="1"/>
  <c r="AD12" i="4" s="1"/>
  <c r="AD11" i="4" s="1"/>
  <c r="AD10" i="4" s="1"/>
  <c r="AD9" i="4" l="1"/>
  <c r="O70" i="54"/>
  <c r="O11" i="54"/>
  <c r="M70" i="54"/>
  <c r="M11" i="54"/>
  <c r="AC172" i="4" l="1"/>
  <c r="CX4" i="117" l="1"/>
  <c r="CY4" i="117"/>
  <c r="CX5" i="117"/>
  <c r="CY5" i="117"/>
  <c r="CX6" i="117"/>
  <c r="CY6" i="117"/>
  <c r="AC13" i="4" s="1"/>
  <c r="CX7" i="117"/>
  <c r="CY7" i="117"/>
  <c r="AC14" i="4" s="1"/>
  <c r="CX8" i="117"/>
  <c r="CY8" i="117"/>
  <c r="AC15" i="4" s="1"/>
  <c r="CX9" i="117"/>
  <c r="CY9" i="117"/>
  <c r="AC16" i="4" s="1"/>
  <c r="CX10" i="117"/>
  <c r="CY10" i="117"/>
  <c r="AC17" i="4" s="1"/>
  <c r="CX11" i="117"/>
  <c r="CY11" i="117"/>
  <c r="AC18" i="4" s="1"/>
  <c r="CX12" i="117"/>
  <c r="CY12" i="117"/>
  <c r="AC19" i="4" s="1"/>
  <c r="CX13" i="117"/>
  <c r="CY13" i="117"/>
  <c r="AC20" i="4" s="1"/>
  <c r="CX14" i="117"/>
  <c r="CY14" i="117"/>
  <c r="AC21" i="4" s="1"/>
  <c r="CX15" i="117"/>
  <c r="CY15" i="117"/>
  <c r="AC22" i="4" s="1"/>
  <c r="CX16" i="117"/>
  <c r="CY16" i="117"/>
  <c r="CX17" i="117"/>
  <c r="CY17" i="117"/>
  <c r="AC26" i="4" s="1"/>
  <c r="CX18" i="117"/>
  <c r="CY18" i="117"/>
  <c r="AC27" i="4" s="1"/>
  <c r="CX19" i="117"/>
  <c r="CY19" i="117"/>
  <c r="CX20" i="117"/>
  <c r="CY20" i="117"/>
  <c r="CX21" i="117"/>
  <c r="CY21" i="117"/>
  <c r="CX22" i="117"/>
  <c r="CY22" i="117"/>
  <c r="CX23" i="117"/>
  <c r="CY23" i="117"/>
  <c r="AC33" i="4" s="1"/>
  <c r="CX24" i="117"/>
  <c r="CY24" i="117"/>
  <c r="AC35" i="4" s="1"/>
  <c r="CX25" i="117"/>
  <c r="CY25" i="117"/>
  <c r="CX26" i="117"/>
  <c r="CY26" i="117"/>
  <c r="CX27" i="117"/>
  <c r="CY27" i="117"/>
  <c r="CX28" i="117"/>
  <c r="CY28" i="117"/>
  <c r="CX29" i="117"/>
  <c r="CY29" i="117"/>
  <c r="AC43" i="4" s="1"/>
  <c r="CX30" i="117"/>
  <c r="CY30" i="117"/>
  <c r="AC44" i="4" s="1"/>
  <c r="CX31" i="117"/>
  <c r="CY31" i="117"/>
  <c r="AC45" i="4" s="1"/>
  <c r="CX32" i="117"/>
  <c r="CY32" i="117"/>
  <c r="AC46" i="4" s="1"/>
  <c r="CX33" i="117"/>
  <c r="CY33" i="117"/>
  <c r="AC48" i="4" s="1"/>
  <c r="CX34" i="117"/>
  <c r="CY34" i="117"/>
  <c r="AC49" i="4" s="1"/>
  <c r="CX35" i="117"/>
  <c r="CY35" i="117"/>
  <c r="AC50" i="4" s="1"/>
  <c r="CX36" i="117"/>
  <c r="CY36" i="117"/>
  <c r="AC51" i="4" s="1"/>
  <c r="CX37" i="117"/>
  <c r="CY37" i="117"/>
  <c r="AC52" i="4" s="1"/>
  <c r="CX38" i="117"/>
  <c r="CY38" i="117"/>
  <c r="AC53" i="4" s="1"/>
  <c r="CX39" i="117"/>
  <c r="CY39" i="117"/>
  <c r="CX40" i="117"/>
  <c r="CY40" i="117"/>
  <c r="AC57" i="4" s="1"/>
  <c r="CX41" i="117"/>
  <c r="CY41" i="117"/>
  <c r="AC58" i="4" s="1"/>
  <c r="CX42" i="117"/>
  <c r="CY42" i="117"/>
  <c r="CX43" i="117"/>
  <c r="CY43" i="117"/>
  <c r="AC60" i="4" s="1"/>
  <c r="CX44" i="117"/>
  <c r="CY44" i="117"/>
  <c r="AC61" i="4" s="1"/>
  <c r="CX45" i="117"/>
  <c r="CY45" i="117"/>
  <c r="CX46" i="117"/>
  <c r="CY46" i="117"/>
  <c r="AC64" i="4" s="1"/>
  <c r="CX47" i="117"/>
  <c r="CY47" i="117"/>
  <c r="AC65" i="4" s="1"/>
  <c r="CX48" i="117"/>
  <c r="CY48" i="117"/>
  <c r="AC66" i="4" s="1"/>
  <c r="CX49" i="117"/>
  <c r="CY49" i="117"/>
  <c r="CX50" i="117"/>
  <c r="CY50" i="117"/>
  <c r="CX51" i="117"/>
  <c r="CY51" i="117"/>
  <c r="CX52" i="117"/>
  <c r="CY52" i="117"/>
  <c r="CX53" i="117"/>
  <c r="CY53" i="117"/>
  <c r="AC74" i="4" s="1"/>
  <c r="CX54" i="117"/>
  <c r="CY54" i="117"/>
  <c r="AC75" i="4" s="1"/>
  <c r="CX55" i="117"/>
  <c r="CY55" i="117"/>
  <c r="CX56" i="117"/>
  <c r="CY56" i="117"/>
  <c r="CX57" i="117"/>
  <c r="CY57" i="117"/>
  <c r="AC81" i="4" s="1"/>
  <c r="CX58" i="117"/>
  <c r="CY58" i="117"/>
  <c r="AC82" i="4" s="1"/>
  <c r="CX59" i="117"/>
  <c r="CY59" i="117"/>
  <c r="CX60" i="117"/>
  <c r="CY60" i="117"/>
  <c r="AC86" i="4" s="1"/>
  <c r="CX61" i="117"/>
  <c r="CY61" i="117"/>
  <c r="AC87" i="4" s="1"/>
  <c r="CX62" i="117"/>
  <c r="CY62" i="117"/>
  <c r="AC89" i="4" s="1"/>
  <c r="CX63" i="117"/>
  <c r="CY63" i="117"/>
  <c r="AC90" i="4" s="1"/>
  <c r="CX64" i="117"/>
  <c r="CY64" i="117"/>
  <c r="AC93" i="4" s="1"/>
  <c r="CX65" i="117"/>
  <c r="CY65" i="117"/>
  <c r="AC94" i="4" s="1"/>
  <c r="CX66" i="117"/>
  <c r="CY66" i="117"/>
  <c r="AC95" i="4" s="1"/>
  <c r="CX67" i="117"/>
  <c r="CY67" i="117"/>
  <c r="AC96" i="4" s="1"/>
  <c r="CX68" i="117"/>
  <c r="CY68" i="117"/>
  <c r="AC97" i="4" s="1"/>
  <c r="CX69" i="117"/>
  <c r="CY69" i="117"/>
  <c r="CX70" i="117"/>
  <c r="CY70" i="117"/>
  <c r="AC99" i="4" s="1"/>
  <c r="CX71" i="117"/>
  <c r="CY71" i="117"/>
  <c r="AC100" i="4" s="1"/>
  <c r="CX72" i="117"/>
  <c r="CY72" i="117"/>
  <c r="AC101" i="4" s="1"/>
  <c r="CX73" i="117"/>
  <c r="CY73" i="117"/>
  <c r="AC102" i="4" s="1"/>
  <c r="CX74" i="117"/>
  <c r="CY74" i="117"/>
  <c r="AC103" i="4" s="1"/>
  <c r="CX75" i="117"/>
  <c r="CY75" i="117"/>
  <c r="AC104" i="4" s="1"/>
  <c r="CX76" i="117"/>
  <c r="CY76" i="117"/>
  <c r="AC105" i="4" s="1"/>
  <c r="CX77" i="117"/>
  <c r="CY77" i="117"/>
  <c r="AC106" i="4" s="1"/>
  <c r="CX78" i="117"/>
  <c r="CY78" i="117"/>
  <c r="CX79" i="117"/>
  <c r="CY79" i="117"/>
  <c r="AC108" i="4" s="1"/>
  <c r="CX80" i="117"/>
  <c r="CY80" i="117"/>
  <c r="AC109" i="4" s="1"/>
  <c r="CX81" i="117"/>
  <c r="CY81" i="117"/>
  <c r="AC112" i="4" s="1"/>
  <c r="CX82" i="117"/>
  <c r="CY82" i="117"/>
  <c r="AC113" i="4" s="1"/>
  <c r="CX83" i="117"/>
  <c r="CY83" i="117"/>
  <c r="CX84" i="117"/>
  <c r="CY84" i="117"/>
  <c r="AC116" i="4" s="1"/>
  <c r="CX85" i="117"/>
  <c r="CY85" i="117"/>
  <c r="AC117" i="4" s="1"/>
  <c r="CX86" i="117"/>
  <c r="CY86" i="117"/>
  <c r="CX87" i="117"/>
  <c r="CY87" i="117"/>
  <c r="AC119" i="4" s="1"/>
  <c r="CX88" i="117"/>
  <c r="CY88" i="117"/>
  <c r="AC121" i="4" s="1"/>
  <c r="CX89" i="117"/>
  <c r="CY89" i="117"/>
  <c r="AC122" i="4" s="1"/>
  <c r="CX90" i="117"/>
  <c r="CY90" i="117"/>
  <c r="AC124" i="4" s="1"/>
  <c r="CX91" i="117"/>
  <c r="CY91" i="117"/>
  <c r="CX92" i="117"/>
  <c r="CY92" i="117"/>
  <c r="AC126" i="4" s="1"/>
  <c r="CX93" i="117"/>
  <c r="CY93" i="117"/>
  <c r="AC127" i="4" s="1"/>
  <c r="CX94" i="117"/>
  <c r="CY94" i="117"/>
  <c r="AC128" i="4" s="1"/>
  <c r="CX95" i="117"/>
  <c r="CY95" i="117"/>
  <c r="AC129" i="4" s="1"/>
  <c r="CX96" i="117"/>
  <c r="CY96" i="117"/>
  <c r="CX97" i="117"/>
  <c r="CY97" i="117"/>
  <c r="AC131" i="4" s="1"/>
  <c r="CX98" i="117"/>
  <c r="CY98" i="117"/>
  <c r="CX99" i="117"/>
  <c r="CY99" i="117"/>
  <c r="AC134" i="4" s="1"/>
  <c r="CX100" i="117"/>
  <c r="CY100" i="117"/>
  <c r="AC135" i="4" s="1"/>
  <c r="CX101" i="117"/>
  <c r="CY101" i="117"/>
  <c r="AC136" i="4" s="1"/>
  <c r="CX102" i="117"/>
  <c r="CY102" i="117"/>
  <c r="AC137" i="4" s="1"/>
  <c r="CX103" i="117"/>
  <c r="CY103" i="117"/>
  <c r="CX104" i="117"/>
  <c r="CY104" i="117"/>
  <c r="AC139" i="4" s="1"/>
  <c r="CX105" i="117"/>
  <c r="CY105" i="117"/>
  <c r="CX106" i="117"/>
  <c r="CY106" i="117"/>
  <c r="CX107" i="117"/>
  <c r="CY107" i="117"/>
  <c r="CX108" i="117"/>
  <c r="CY108" i="117"/>
  <c r="AC158" i="4" s="1"/>
  <c r="CX109" i="117"/>
  <c r="CY109" i="117"/>
  <c r="CX110" i="117"/>
  <c r="CY110" i="117"/>
  <c r="AC168" i="4" s="1"/>
  <c r="CX111" i="117"/>
  <c r="CY111" i="117"/>
  <c r="CX112" i="117"/>
  <c r="CY112" i="117"/>
  <c r="CX113" i="117"/>
  <c r="CY113" i="117"/>
  <c r="AC175" i="4" s="1"/>
  <c r="AC174" i="4" s="1"/>
  <c r="CX114" i="117"/>
  <c r="CY114" i="117"/>
  <c r="CX115" i="117"/>
  <c r="CY115" i="117"/>
  <c r="CX116" i="117"/>
  <c r="CY116" i="117"/>
  <c r="CX117" i="117"/>
  <c r="CY117" i="117"/>
  <c r="AC179" i="4" s="1"/>
  <c r="CX118" i="117"/>
  <c r="CY118" i="117"/>
  <c r="CX119" i="117"/>
  <c r="CY119" i="117"/>
  <c r="CX120" i="117"/>
  <c r="CY120" i="117"/>
  <c r="AC180" i="4" s="1"/>
  <c r="CX121" i="117"/>
  <c r="CY121" i="117"/>
  <c r="CY3" i="117"/>
  <c r="CX3" i="117"/>
  <c r="DG4" i="117"/>
  <c r="DH4" i="117"/>
  <c r="DI4" i="117"/>
  <c r="DJ4" i="117"/>
  <c r="DG5" i="117"/>
  <c r="DH5" i="117"/>
  <c r="DI5" i="117"/>
  <c r="DJ5" i="117"/>
  <c r="DG6" i="117"/>
  <c r="DH6" i="117"/>
  <c r="DI6" i="117"/>
  <c r="DJ6" i="117"/>
  <c r="DG7" i="117"/>
  <c r="DH7" i="117"/>
  <c r="DI7" i="117"/>
  <c r="DJ7" i="117"/>
  <c r="DG8" i="117"/>
  <c r="DH8" i="117"/>
  <c r="DI8" i="117"/>
  <c r="DJ8" i="117"/>
  <c r="DG9" i="117"/>
  <c r="DH9" i="117"/>
  <c r="DI9" i="117"/>
  <c r="DJ9" i="117"/>
  <c r="DG10" i="117"/>
  <c r="DH10" i="117"/>
  <c r="DI10" i="117"/>
  <c r="DJ10" i="117"/>
  <c r="DG11" i="117"/>
  <c r="DH11" i="117"/>
  <c r="DI11" i="117"/>
  <c r="DJ11" i="117"/>
  <c r="DG12" i="117"/>
  <c r="DH12" i="117"/>
  <c r="DI12" i="117"/>
  <c r="DJ12" i="117"/>
  <c r="DG13" i="117"/>
  <c r="DH13" i="117"/>
  <c r="DI13" i="117"/>
  <c r="DJ13" i="117"/>
  <c r="DG14" i="117"/>
  <c r="DH14" i="117"/>
  <c r="DI14" i="117"/>
  <c r="DJ14" i="117"/>
  <c r="DG15" i="117"/>
  <c r="DH15" i="117"/>
  <c r="DI15" i="117"/>
  <c r="DJ15" i="117"/>
  <c r="DG16" i="117"/>
  <c r="DH16" i="117"/>
  <c r="DI16" i="117"/>
  <c r="DJ16" i="117"/>
  <c r="DG17" i="117"/>
  <c r="DH17" i="117"/>
  <c r="DI17" i="117"/>
  <c r="DJ17" i="117"/>
  <c r="DG18" i="117"/>
  <c r="DH18" i="117"/>
  <c r="DI18" i="117"/>
  <c r="DJ18" i="117"/>
  <c r="DG19" i="117"/>
  <c r="DH19" i="117"/>
  <c r="DI19" i="117"/>
  <c r="DJ19" i="117"/>
  <c r="DG20" i="117"/>
  <c r="DH20" i="117"/>
  <c r="DI20" i="117"/>
  <c r="DJ20" i="117"/>
  <c r="DG21" i="117"/>
  <c r="DH21" i="117"/>
  <c r="DI21" i="117"/>
  <c r="DJ21" i="117"/>
  <c r="DG22" i="117"/>
  <c r="DH22" i="117"/>
  <c r="DI22" i="117"/>
  <c r="DJ22" i="117"/>
  <c r="DG23" i="117"/>
  <c r="DH23" i="117"/>
  <c r="DI23" i="117"/>
  <c r="DJ23" i="117"/>
  <c r="DG24" i="117"/>
  <c r="DH24" i="117"/>
  <c r="DI24" i="117"/>
  <c r="DJ24" i="117"/>
  <c r="DG25" i="117"/>
  <c r="DH25" i="117"/>
  <c r="DI25" i="117"/>
  <c r="DJ25" i="117"/>
  <c r="DG26" i="117"/>
  <c r="DH26" i="117"/>
  <c r="DI26" i="117"/>
  <c r="DJ26" i="117"/>
  <c r="DG27" i="117"/>
  <c r="DH27" i="117"/>
  <c r="DI27" i="117"/>
  <c r="DJ27" i="117"/>
  <c r="DG28" i="117"/>
  <c r="DH28" i="117"/>
  <c r="DI28" i="117"/>
  <c r="DJ28" i="117"/>
  <c r="DG29" i="117"/>
  <c r="DH29" i="117"/>
  <c r="DI29" i="117"/>
  <c r="DJ29" i="117"/>
  <c r="DG30" i="117"/>
  <c r="DH30" i="117"/>
  <c r="DI30" i="117"/>
  <c r="DJ30" i="117"/>
  <c r="DG31" i="117"/>
  <c r="DH31" i="117"/>
  <c r="DI31" i="117"/>
  <c r="DJ31" i="117"/>
  <c r="DG32" i="117"/>
  <c r="DH32" i="117"/>
  <c r="DI32" i="117"/>
  <c r="DJ32" i="117"/>
  <c r="DG33" i="117"/>
  <c r="DH33" i="117"/>
  <c r="DI33" i="117"/>
  <c r="DJ33" i="117"/>
  <c r="DG34" i="117"/>
  <c r="DH34" i="117"/>
  <c r="DI34" i="117"/>
  <c r="DJ34" i="117"/>
  <c r="DG35" i="117"/>
  <c r="DH35" i="117"/>
  <c r="DI35" i="117"/>
  <c r="DJ35" i="117"/>
  <c r="DG36" i="117"/>
  <c r="DH36" i="117"/>
  <c r="DI36" i="117"/>
  <c r="DJ36" i="117"/>
  <c r="DG37" i="117"/>
  <c r="DH37" i="117"/>
  <c r="DI37" i="117"/>
  <c r="DJ37" i="117"/>
  <c r="DG38" i="117"/>
  <c r="DH38" i="117"/>
  <c r="DI38" i="117"/>
  <c r="DJ38" i="117"/>
  <c r="DG39" i="117"/>
  <c r="DH39" i="117"/>
  <c r="DI39" i="117"/>
  <c r="DJ39" i="117"/>
  <c r="DG40" i="117"/>
  <c r="DH40" i="117"/>
  <c r="DI40" i="117"/>
  <c r="DJ40" i="117"/>
  <c r="DG41" i="117"/>
  <c r="DH41" i="117"/>
  <c r="DI41" i="117"/>
  <c r="DJ41" i="117"/>
  <c r="DG42" i="117"/>
  <c r="DH42" i="117"/>
  <c r="DI42" i="117"/>
  <c r="DJ42" i="117"/>
  <c r="DG43" i="117"/>
  <c r="DH43" i="117"/>
  <c r="DI43" i="117"/>
  <c r="DJ43" i="117"/>
  <c r="DG44" i="117"/>
  <c r="DH44" i="117"/>
  <c r="DI44" i="117"/>
  <c r="DJ44" i="117"/>
  <c r="DG45" i="117"/>
  <c r="DH45" i="117"/>
  <c r="DI45" i="117"/>
  <c r="DJ45" i="117"/>
  <c r="DG46" i="117"/>
  <c r="DH46" i="117"/>
  <c r="DI46" i="117"/>
  <c r="DJ46" i="117"/>
  <c r="DG47" i="117"/>
  <c r="DH47" i="117"/>
  <c r="DI47" i="117"/>
  <c r="DJ47" i="117"/>
  <c r="DG48" i="117"/>
  <c r="DH48" i="117"/>
  <c r="DI48" i="117"/>
  <c r="DJ48" i="117"/>
  <c r="DG49" i="117"/>
  <c r="DH49" i="117"/>
  <c r="DI49" i="117"/>
  <c r="DJ49" i="117"/>
  <c r="DG50" i="117"/>
  <c r="DH50" i="117"/>
  <c r="DI50" i="117"/>
  <c r="DJ50" i="117"/>
  <c r="DG51" i="117"/>
  <c r="DH51" i="117"/>
  <c r="DI51" i="117"/>
  <c r="DJ51" i="117"/>
  <c r="DG52" i="117"/>
  <c r="DH52" i="117"/>
  <c r="DI52" i="117"/>
  <c r="DJ52" i="117"/>
  <c r="DG53" i="117"/>
  <c r="DH53" i="117"/>
  <c r="DI53" i="117"/>
  <c r="DJ53" i="117"/>
  <c r="DG54" i="117"/>
  <c r="DH54" i="117"/>
  <c r="DI54" i="117"/>
  <c r="DJ54" i="117"/>
  <c r="DG55" i="117"/>
  <c r="DH55" i="117"/>
  <c r="DI55" i="117"/>
  <c r="DJ55" i="117"/>
  <c r="DG56" i="117"/>
  <c r="DH56" i="117"/>
  <c r="DI56" i="117"/>
  <c r="DJ56" i="117"/>
  <c r="DG57" i="117"/>
  <c r="DH57" i="117"/>
  <c r="DI57" i="117"/>
  <c r="DJ57" i="117"/>
  <c r="DG58" i="117"/>
  <c r="DH58" i="117"/>
  <c r="DI58" i="117"/>
  <c r="DJ58" i="117"/>
  <c r="DG59" i="117"/>
  <c r="DH59" i="117"/>
  <c r="DI59" i="117"/>
  <c r="DJ59" i="117"/>
  <c r="DG60" i="117"/>
  <c r="DH60" i="117"/>
  <c r="DI60" i="117"/>
  <c r="DJ60" i="117"/>
  <c r="DG61" i="117"/>
  <c r="DH61" i="117"/>
  <c r="DI61" i="117"/>
  <c r="DJ61" i="117"/>
  <c r="DG62" i="117"/>
  <c r="DH62" i="117"/>
  <c r="DI62" i="117"/>
  <c r="DJ62" i="117"/>
  <c r="DG63" i="117"/>
  <c r="DH63" i="117"/>
  <c r="DI63" i="117"/>
  <c r="DJ63" i="117"/>
  <c r="DG64" i="117"/>
  <c r="DH64" i="117"/>
  <c r="DI64" i="117"/>
  <c r="DJ64" i="117"/>
  <c r="DG65" i="117"/>
  <c r="DH65" i="117"/>
  <c r="DI65" i="117"/>
  <c r="DJ65" i="117"/>
  <c r="DG66" i="117"/>
  <c r="DH66" i="117"/>
  <c r="DI66" i="117"/>
  <c r="DJ66" i="117"/>
  <c r="DG67" i="117"/>
  <c r="DH67" i="117"/>
  <c r="DI67" i="117"/>
  <c r="DJ67" i="117"/>
  <c r="DG68" i="117"/>
  <c r="DH68" i="117"/>
  <c r="DI68" i="117"/>
  <c r="DJ68" i="117"/>
  <c r="DG69" i="117"/>
  <c r="DH69" i="117"/>
  <c r="DI69" i="117"/>
  <c r="DJ69" i="117"/>
  <c r="DG70" i="117"/>
  <c r="DH70" i="117"/>
  <c r="DI70" i="117"/>
  <c r="DJ70" i="117"/>
  <c r="DG71" i="117"/>
  <c r="DH71" i="117"/>
  <c r="DI71" i="117"/>
  <c r="DJ71" i="117"/>
  <c r="DG72" i="117"/>
  <c r="DH72" i="117"/>
  <c r="DI72" i="117"/>
  <c r="DJ72" i="117"/>
  <c r="DG73" i="117"/>
  <c r="DH73" i="117"/>
  <c r="DI73" i="117"/>
  <c r="DJ73" i="117"/>
  <c r="DG74" i="117"/>
  <c r="DH74" i="117"/>
  <c r="DI74" i="117"/>
  <c r="DJ74" i="117"/>
  <c r="DG75" i="117"/>
  <c r="DH75" i="117"/>
  <c r="DI75" i="117"/>
  <c r="DJ75" i="117"/>
  <c r="DG76" i="117"/>
  <c r="DH76" i="117"/>
  <c r="DI76" i="117"/>
  <c r="DJ76" i="117"/>
  <c r="DG77" i="117"/>
  <c r="DH77" i="117"/>
  <c r="DI77" i="117"/>
  <c r="DJ77" i="117"/>
  <c r="DG78" i="117"/>
  <c r="DH78" i="117"/>
  <c r="DI78" i="117"/>
  <c r="DJ78" i="117"/>
  <c r="DG79" i="117"/>
  <c r="DH79" i="117"/>
  <c r="DI79" i="117"/>
  <c r="DJ79" i="117"/>
  <c r="DG80" i="117"/>
  <c r="DH80" i="117"/>
  <c r="DI80" i="117"/>
  <c r="DJ80" i="117"/>
  <c r="DG81" i="117"/>
  <c r="DH81" i="117"/>
  <c r="DI81" i="117"/>
  <c r="DJ81" i="117"/>
  <c r="DG82" i="117"/>
  <c r="DH82" i="117"/>
  <c r="DI82" i="117"/>
  <c r="DJ82" i="117"/>
  <c r="DG83" i="117"/>
  <c r="DH83" i="117"/>
  <c r="DI83" i="117"/>
  <c r="DJ83" i="117"/>
  <c r="DG84" i="117"/>
  <c r="DH84" i="117"/>
  <c r="DI84" i="117"/>
  <c r="DJ84" i="117"/>
  <c r="DG85" i="117"/>
  <c r="DH85" i="117"/>
  <c r="DI85" i="117"/>
  <c r="DJ85" i="117"/>
  <c r="DG86" i="117"/>
  <c r="DH86" i="117"/>
  <c r="DI86" i="117"/>
  <c r="DJ86" i="117"/>
  <c r="DG87" i="117"/>
  <c r="DH87" i="117"/>
  <c r="DI87" i="117"/>
  <c r="DJ87" i="117"/>
  <c r="DG88" i="117"/>
  <c r="DH88" i="117"/>
  <c r="DI88" i="117"/>
  <c r="DJ88" i="117"/>
  <c r="DG89" i="117"/>
  <c r="DH89" i="117"/>
  <c r="DI89" i="117"/>
  <c r="DJ89" i="117"/>
  <c r="DG90" i="117"/>
  <c r="DH90" i="117"/>
  <c r="DI90" i="117"/>
  <c r="DJ90" i="117"/>
  <c r="DG91" i="117"/>
  <c r="DH91" i="117"/>
  <c r="DI91" i="117"/>
  <c r="DJ91" i="117"/>
  <c r="DG92" i="117"/>
  <c r="DH92" i="117"/>
  <c r="DI92" i="117"/>
  <c r="DJ92" i="117"/>
  <c r="DG93" i="117"/>
  <c r="DH93" i="117"/>
  <c r="DI93" i="117"/>
  <c r="DJ93" i="117"/>
  <c r="DG94" i="117"/>
  <c r="DH94" i="117"/>
  <c r="DI94" i="117"/>
  <c r="DJ94" i="117"/>
  <c r="DG95" i="117"/>
  <c r="DH95" i="117"/>
  <c r="DI95" i="117"/>
  <c r="DJ95" i="117"/>
  <c r="DG96" i="117"/>
  <c r="DH96" i="117"/>
  <c r="DI96" i="117"/>
  <c r="DJ96" i="117"/>
  <c r="DG97" i="117"/>
  <c r="DH97" i="117"/>
  <c r="DI97" i="117"/>
  <c r="DJ97" i="117"/>
  <c r="DG98" i="117"/>
  <c r="DH98" i="117"/>
  <c r="DI98" i="117"/>
  <c r="DJ98" i="117"/>
  <c r="DG99" i="117"/>
  <c r="DH99" i="117"/>
  <c r="DI99" i="117"/>
  <c r="DJ99" i="117"/>
  <c r="DG100" i="117"/>
  <c r="DH100" i="117"/>
  <c r="DI100" i="117"/>
  <c r="DJ100" i="117"/>
  <c r="DG101" i="117"/>
  <c r="DH101" i="117"/>
  <c r="DI101" i="117"/>
  <c r="DJ101" i="117"/>
  <c r="DG102" i="117"/>
  <c r="DH102" i="117"/>
  <c r="DI102" i="117"/>
  <c r="DJ102" i="117"/>
  <c r="DG103" i="117"/>
  <c r="DH103" i="117"/>
  <c r="DI103" i="117"/>
  <c r="DJ103" i="117"/>
  <c r="DG104" i="117"/>
  <c r="DH104" i="117"/>
  <c r="DI104" i="117"/>
  <c r="DJ104" i="117"/>
  <c r="DG105" i="117"/>
  <c r="DH105" i="117"/>
  <c r="DI105" i="117"/>
  <c r="DJ105" i="117"/>
  <c r="DG106" i="117"/>
  <c r="DH106" i="117"/>
  <c r="DI106" i="117"/>
  <c r="DJ106" i="117"/>
  <c r="DG107" i="117"/>
  <c r="DH107" i="117"/>
  <c r="DI107" i="117"/>
  <c r="DJ107" i="117"/>
  <c r="DG108" i="117"/>
  <c r="DH108" i="117"/>
  <c r="DI108" i="117"/>
  <c r="DJ108" i="117"/>
  <c r="DG109" i="117"/>
  <c r="DH109" i="117"/>
  <c r="DI109" i="117"/>
  <c r="DJ109" i="117"/>
  <c r="DG110" i="117"/>
  <c r="DH110" i="117"/>
  <c r="DI110" i="117"/>
  <c r="DJ110" i="117"/>
  <c r="DG111" i="117"/>
  <c r="DH111" i="117"/>
  <c r="DI111" i="117"/>
  <c r="DJ111" i="117"/>
  <c r="DG112" i="117"/>
  <c r="DH112" i="117"/>
  <c r="DI112" i="117"/>
  <c r="DJ112" i="117"/>
  <c r="DG113" i="117"/>
  <c r="DH113" i="117"/>
  <c r="DI113" i="117"/>
  <c r="DJ113" i="117"/>
  <c r="DG114" i="117"/>
  <c r="DH114" i="117"/>
  <c r="DI114" i="117"/>
  <c r="DJ114" i="117"/>
  <c r="DG115" i="117"/>
  <c r="DH115" i="117"/>
  <c r="DI115" i="117"/>
  <c r="DJ115" i="117"/>
  <c r="DG116" i="117"/>
  <c r="DH116" i="117"/>
  <c r="DI116" i="117"/>
  <c r="DJ116" i="117"/>
  <c r="DG117" i="117"/>
  <c r="DH117" i="117"/>
  <c r="DI117" i="117"/>
  <c r="DJ117" i="117"/>
  <c r="DG118" i="117"/>
  <c r="DH118" i="117"/>
  <c r="DI118" i="117"/>
  <c r="DJ118" i="117"/>
  <c r="DG119" i="117"/>
  <c r="DH119" i="117"/>
  <c r="DI119" i="117"/>
  <c r="DJ119" i="117"/>
  <c r="DG120" i="117"/>
  <c r="DH120" i="117"/>
  <c r="DI120" i="117"/>
  <c r="DJ120" i="117"/>
  <c r="DG121" i="117"/>
  <c r="DH121" i="117"/>
  <c r="DI121" i="117"/>
  <c r="DJ121" i="117"/>
  <c r="DG122" i="117"/>
  <c r="DH122" i="117"/>
  <c r="DI122" i="117"/>
  <c r="DJ122" i="117"/>
  <c r="DG123" i="117"/>
  <c r="DH123" i="117"/>
  <c r="DI123" i="117"/>
  <c r="DJ123" i="117"/>
  <c r="DG124" i="117"/>
  <c r="DH124" i="117"/>
  <c r="DI124" i="117"/>
  <c r="DJ124" i="117"/>
  <c r="DG125" i="117"/>
  <c r="DH125" i="117"/>
  <c r="DI125" i="117"/>
  <c r="DJ125" i="117"/>
  <c r="DG126" i="117"/>
  <c r="DH126" i="117"/>
  <c r="DI126" i="117"/>
  <c r="DJ126" i="117"/>
  <c r="DG127" i="117"/>
  <c r="DH127" i="117"/>
  <c r="DI127" i="117"/>
  <c r="DJ127" i="117"/>
  <c r="DG128" i="117"/>
  <c r="DH128" i="117"/>
  <c r="DI128" i="117"/>
  <c r="DJ128" i="117"/>
  <c r="DG129" i="117"/>
  <c r="DH129" i="117"/>
  <c r="DI129" i="117"/>
  <c r="DJ129" i="117"/>
  <c r="DG130" i="117"/>
  <c r="DH130" i="117"/>
  <c r="DI130" i="117"/>
  <c r="DJ130" i="117"/>
  <c r="DG131" i="117"/>
  <c r="DH131" i="117"/>
  <c r="DI131" i="117"/>
  <c r="DJ131" i="117"/>
  <c r="DG132" i="117"/>
  <c r="DH132" i="117"/>
  <c r="DI132" i="117"/>
  <c r="DJ132" i="117"/>
  <c r="DG133" i="117"/>
  <c r="DH133" i="117"/>
  <c r="DI133" i="117"/>
  <c r="DJ133" i="117"/>
  <c r="DG134" i="117"/>
  <c r="DH134" i="117"/>
  <c r="DI134" i="117"/>
  <c r="DJ134" i="117"/>
  <c r="DG135" i="117"/>
  <c r="DH135" i="117"/>
  <c r="DI135" i="117"/>
  <c r="DJ135" i="117"/>
  <c r="DG136" i="117"/>
  <c r="DH136" i="117"/>
  <c r="DI136" i="117"/>
  <c r="DJ136" i="117"/>
  <c r="DG137" i="117"/>
  <c r="DH137" i="117"/>
  <c r="DI137" i="117"/>
  <c r="DJ137" i="117"/>
  <c r="DG138" i="117"/>
  <c r="DH138" i="117"/>
  <c r="DI138" i="117"/>
  <c r="DJ138" i="117"/>
  <c r="DG139" i="117"/>
  <c r="DH139" i="117"/>
  <c r="DI139" i="117"/>
  <c r="DJ139" i="117"/>
  <c r="DG140" i="117"/>
  <c r="DH140" i="117"/>
  <c r="DI140" i="117"/>
  <c r="DJ140" i="117"/>
  <c r="DG141" i="117"/>
  <c r="DH141" i="117"/>
  <c r="DI141" i="117"/>
  <c r="DJ141" i="117"/>
  <c r="DG142" i="117"/>
  <c r="DH142" i="117"/>
  <c r="DI142" i="117"/>
  <c r="DJ142" i="117"/>
  <c r="DG143" i="117"/>
  <c r="DH143" i="117"/>
  <c r="DI143" i="117"/>
  <c r="DJ143" i="117"/>
  <c r="DG144" i="117"/>
  <c r="DH144" i="117"/>
  <c r="DI144" i="117"/>
  <c r="DJ144" i="117"/>
  <c r="DG145" i="117"/>
  <c r="DH145" i="117"/>
  <c r="DI145" i="117"/>
  <c r="DJ145" i="117"/>
  <c r="DG146" i="117"/>
  <c r="DH146" i="117"/>
  <c r="DI146" i="117"/>
  <c r="DJ146" i="117"/>
  <c r="DG147" i="117"/>
  <c r="DH147" i="117"/>
  <c r="DI147" i="117"/>
  <c r="DJ147" i="117"/>
  <c r="DG148" i="117"/>
  <c r="DH148" i="117"/>
  <c r="DI148" i="117"/>
  <c r="DJ148" i="117"/>
  <c r="DG149" i="117"/>
  <c r="DH149" i="117"/>
  <c r="DI149" i="117"/>
  <c r="DJ149" i="117"/>
  <c r="DG150" i="117"/>
  <c r="DH150" i="117"/>
  <c r="DI150" i="117"/>
  <c r="DJ150" i="117"/>
  <c r="DG151" i="117"/>
  <c r="DH151" i="117"/>
  <c r="DI151" i="117"/>
  <c r="DJ151" i="117"/>
  <c r="DG152" i="117"/>
  <c r="DH152" i="117"/>
  <c r="DI152" i="117"/>
  <c r="DJ152" i="117"/>
  <c r="DG153" i="117"/>
  <c r="DH153" i="117"/>
  <c r="DI153" i="117"/>
  <c r="DJ153" i="117"/>
  <c r="DG154" i="117"/>
  <c r="DH154" i="117"/>
  <c r="DI154" i="117"/>
  <c r="DJ154" i="117"/>
  <c r="DG155" i="117"/>
  <c r="DH155" i="117"/>
  <c r="DI155" i="117"/>
  <c r="DJ155" i="117"/>
  <c r="DG156" i="117"/>
  <c r="DH156" i="117"/>
  <c r="DI156" i="117"/>
  <c r="DJ156" i="117"/>
  <c r="DG157" i="117"/>
  <c r="DH157" i="117"/>
  <c r="DI157" i="117"/>
  <c r="DJ157" i="117"/>
  <c r="DG158" i="117"/>
  <c r="DH158" i="117"/>
  <c r="DI158" i="117"/>
  <c r="DJ158" i="117"/>
  <c r="DG159" i="117"/>
  <c r="DH159" i="117"/>
  <c r="DI159" i="117"/>
  <c r="DJ159" i="117"/>
  <c r="DG160" i="117"/>
  <c r="DH160" i="117"/>
  <c r="DI160" i="117"/>
  <c r="DJ160" i="117"/>
  <c r="DG161" i="117"/>
  <c r="DH161" i="117"/>
  <c r="DI161" i="117"/>
  <c r="DJ161" i="117"/>
  <c r="DG162" i="117"/>
  <c r="DH162" i="117"/>
  <c r="DI162" i="117"/>
  <c r="DJ162" i="117"/>
  <c r="DG163" i="117"/>
  <c r="DH163" i="117"/>
  <c r="DI163" i="117"/>
  <c r="DJ163" i="117"/>
  <c r="DG164" i="117"/>
  <c r="DH164" i="117"/>
  <c r="DI164" i="117"/>
  <c r="DJ164" i="117"/>
  <c r="DG165" i="117"/>
  <c r="DH165" i="117"/>
  <c r="DI165" i="117"/>
  <c r="DJ165" i="117"/>
  <c r="DG166" i="117"/>
  <c r="DH166" i="117"/>
  <c r="DI166" i="117"/>
  <c r="DJ166" i="117"/>
  <c r="DG167" i="117"/>
  <c r="DH167" i="117"/>
  <c r="DI167" i="117"/>
  <c r="DJ167" i="117"/>
  <c r="DG168" i="117"/>
  <c r="DH168" i="117"/>
  <c r="DI168" i="117"/>
  <c r="DJ168" i="117"/>
  <c r="DG169" i="117"/>
  <c r="DH169" i="117"/>
  <c r="DI169" i="117"/>
  <c r="DJ169" i="117"/>
  <c r="DG170" i="117"/>
  <c r="DH170" i="117"/>
  <c r="DI170" i="117"/>
  <c r="DJ170" i="117"/>
  <c r="DG171" i="117"/>
  <c r="DH171" i="117"/>
  <c r="DI171" i="117"/>
  <c r="DJ171" i="117"/>
  <c r="DG172" i="117"/>
  <c r="DH172" i="117"/>
  <c r="DI172" i="117"/>
  <c r="DJ172" i="117"/>
  <c r="DG173" i="117"/>
  <c r="DH173" i="117"/>
  <c r="DI173" i="117"/>
  <c r="DJ173" i="117"/>
  <c r="DG174" i="117"/>
  <c r="DH174" i="117"/>
  <c r="DI174" i="117"/>
  <c r="DJ174" i="117"/>
  <c r="DG175" i="117"/>
  <c r="DH175" i="117"/>
  <c r="DI175" i="117"/>
  <c r="DJ175" i="117"/>
  <c r="DG176" i="117"/>
  <c r="DH176" i="117"/>
  <c r="DI176" i="117"/>
  <c r="DJ176" i="117"/>
  <c r="DG177" i="117"/>
  <c r="DH177" i="117"/>
  <c r="DI177" i="117"/>
  <c r="DJ177" i="117"/>
  <c r="DG178" i="117"/>
  <c r="DH178" i="117"/>
  <c r="DI178" i="117"/>
  <c r="DJ178" i="117"/>
  <c r="DG179" i="117"/>
  <c r="DH179" i="117"/>
  <c r="DI179" i="117"/>
  <c r="DJ179" i="117"/>
  <c r="DG180" i="117"/>
  <c r="DH180" i="117"/>
  <c r="DI180" i="117"/>
  <c r="DJ180" i="117"/>
  <c r="DG181" i="117"/>
  <c r="DH181" i="117"/>
  <c r="DI181" i="117"/>
  <c r="DJ181" i="117"/>
  <c r="DG182" i="117"/>
  <c r="DH182" i="117"/>
  <c r="DI182" i="117"/>
  <c r="DJ182" i="117"/>
  <c r="DG183" i="117"/>
  <c r="DH183" i="117"/>
  <c r="DI183" i="117"/>
  <c r="DJ183" i="117"/>
  <c r="DG184" i="117"/>
  <c r="DH184" i="117"/>
  <c r="DI184" i="117"/>
  <c r="DJ184" i="117"/>
  <c r="DG185" i="117"/>
  <c r="DH185" i="117"/>
  <c r="DI185" i="117"/>
  <c r="DJ185" i="117"/>
  <c r="DG186" i="117"/>
  <c r="DH186" i="117"/>
  <c r="DI186" i="117"/>
  <c r="DJ186" i="117"/>
  <c r="DG187" i="117"/>
  <c r="DH187" i="117"/>
  <c r="DI187" i="117"/>
  <c r="DJ187" i="117"/>
  <c r="DG188" i="117"/>
  <c r="DH188" i="117"/>
  <c r="DI188" i="117"/>
  <c r="DJ188" i="117"/>
  <c r="DG189" i="117"/>
  <c r="DH189" i="117"/>
  <c r="DI189" i="117"/>
  <c r="DJ189" i="117"/>
  <c r="DG190" i="117"/>
  <c r="DH190" i="117"/>
  <c r="DI190" i="117"/>
  <c r="DJ190" i="117"/>
  <c r="DG191" i="117"/>
  <c r="DH191" i="117"/>
  <c r="DI191" i="117"/>
  <c r="DJ191" i="117"/>
  <c r="DG192" i="117"/>
  <c r="DH192" i="117"/>
  <c r="DI192" i="117"/>
  <c r="DJ192" i="117"/>
  <c r="DG193" i="117"/>
  <c r="DH193" i="117"/>
  <c r="DI193" i="117"/>
  <c r="DJ193" i="117"/>
  <c r="DG194" i="117"/>
  <c r="DH194" i="117"/>
  <c r="DI194" i="117"/>
  <c r="DJ194" i="117"/>
  <c r="DG195" i="117"/>
  <c r="DH195" i="117"/>
  <c r="DI195" i="117"/>
  <c r="DJ195" i="117"/>
  <c r="DG196" i="117"/>
  <c r="DH196" i="117"/>
  <c r="DI196" i="117"/>
  <c r="DJ196" i="117"/>
  <c r="DG197" i="117"/>
  <c r="DH197" i="117"/>
  <c r="DI197" i="117"/>
  <c r="DJ197" i="117"/>
  <c r="DG198" i="117"/>
  <c r="DH198" i="117"/>
  <c r="DI198" i="117"/>
  <c r="DJ198" i="117"/>
  <c r="DG199" i="117"/>
  <c r="DH199" i="117"/>
  <c r="DI199" i="117"/>
  <c r="DJ199" i="117"/>
  <c r="DG200" i="117"/>
  <c r="DH200" i="117"/>
  <c r="DI200" i="117"/>
  <c r="DJ200" i="117"/>
  <c r="DG201" i="117"/>
  <c r="DH201" i="117"/>
  <c r="DI201" i="117"/>
  <c r="DJ201" i="117"/>
  <c r="DG202" i="117"/>
  <c r="DH202" i="117"/>
  <c r="DI202" i="117"/>
  <c r="DJ202" i="117"/>
  <c r="DG203" i="117"/>
  <c r="DH203" i="117"/>
  <c r="DI203" i="117"/>
  <c r="DJ203" i="117"/>
  <c r="DG204" i="117"/>
  <c r="DH204" i="117"/>
  <c r="DI204" i="117"/>
  <c r="DJ204" i="117"/>
  <c r="DG205" i="117"/>
  <c r="DH205" i="117"/>
  <c r="DI205" i="117"/>
  <c r="DJ205" i="117"/>
  <c r="DG206" i="117"/>
  <c r="DH206" i="117"/>
  <c r="DI206" i="117"/>
  <c r="DJ206" i="117"/>
  <c r="DG207" i="117"/>
  <c r="DH207" i="117"/>
  <c r="DI207" i="117"/>
  <c r="DJ207" i="117"/>
  <c r="DG208" i="117"/>
  <c r="DH208" i="117"/>
  <c r="DI208" i="117"/>
  <c r="DJ208" i="117"/>
  <c r="DG209" i="117"/>
  <c r="DH209" i="117"/>
  <c r="DI209" i="117"/>
  <c r="DJ209" i="117"/>
  <c r="DG210" i="117"/>
  <c r="DH210" i="117"/>
  <c r="DI210" i="117"/>
  <c r="DJ210" i="117"/>
  <c r="DG211" i="117"/>
  <c r="DH211" i="117"/>
  <c r="DI211" i="117"/>
  <c r="DJ211" i="117"/>
  <c r="DG212" i="117"/>
  <c r="DH212" i="117"/>
  <c r="DI212" i="117"/>
  <c r="DJ212" i="117"/>
  <c r="DG213" i="117"/>
  <c r="DH213" i="117"/>
  <c r="DI213" i="117"/>
  <c r="DJ213" i="117"/>
  <c r="DG214" i="117"/>
  <c r="DH214" i="117"/>
  <c r="DI214" i="117"/>
  <c r="DJ214" i="117"/>
  <c r="DG215" i="117"/>
  <c r="DH215" i="117"/>
  <c r="DI215" i="117"/>
  <c r="DJ215" i="117"/>
  <c r="DG216" i="117"/>
  <c r="DH216" i="117"/>
  <c r="DI216" i="117"/>
  <c r="DJ216" i="117"/>
  <c r="DG217" i="117"/>
  <c r="DH217" i="117"/>
  <c r="DI217" i="117"/>
  <c r="DJ217" i="117"/>
  <c r="DG218" i="117"/>
  <c r="DH218" i="117"/>
  <c r="DI218" i="117"/>
  <c r="DJ218" i="117"/>
  <c r="DG219" i="117"/>
  <c r="DH219" i="117"/>
  <c r="DI219" i="117"/>
  <c r="DJ219" i="117"/>
  <c r="DG220" i="117"/>
  <c r="DH220" i="117"/>
  <c r="DI220" i="117"/>
  <c r="DJ220" i="117"/>
  <c r="DG221" i="117"/>
  <c r="DH221" i="117"/>
  <c r="DI221" i="117"/>
  <c r="DJ221" i="117"/>
  <c r="DG222" i="117"/>
  <c r="DH222" i="117"/>
  <c r="DI222" i="117"/>
  <c r="DJ222" i="117"/>
  <c r="DG223" i="117"/>
  <c r="DH223" i="117"/>
  <c r="DI223" i="117"/>
  <c r="DJ223" i="117"/>
  <c r="DG224" i="117"/>
  <c r="DH224" i="117"/>
  <c r="DI224" i="117"/>
  <c r="DJ224" i="117"/>
  <c r="DG225" i="117"/>
  <c r="DH225" i="117"/>
  <c r="DI225" i="117"/>
  <c r="DJ225" i="117"/>
  <c r="DG226" i="117"/>
  <c r="DH226" i="117"/>
  <c r="DI226" i="117"/>
  <c r="DJ226" i="117"/>
  <c r="DG227" i="117"/>
  <c r="DH227" i="117"/>
  <c r="DI227" i="117"/>
  <c r="DJ227" i="117"/>
  <c r="DG228" i="117"/>
  <c r="DH228" i="117"/>
  <c r="DI228" i="117"/>
  <c r="DJ228" i="117"/>
  <c r="DG229" i="117"/>
  <c r="DH229" i="117"/>
  <c r="DI229" i="117"/>
  <c r="DJ229" i="117"/>
  <c r="DG230" i="117"/>
  <c r="DH230" i="117"/>
  <c r="DI230" i="117"/>
  <c r="DJ230" i="117"/>
  <c r="DG231" i="117"/>
  <c r="DH231" i="117"/>
  <c r="DI231" i="117"/>
  <c r="DJ231" i="117"/>
  <c r="DG232" i="117"/>
  <c r="DH232" i="117"/>
  <c r="DI232" i="117"/>
  <c r="DJ232" i="117"/>
  <c r="DG233" i="117"/>
  <c r="DH233" i="117"/>
  <c r="DI233" i="117"/>
  <c r="DJ233" i="117"/>
  <c r="DH3" i="117"/>
  <c r="DI3" i="117"/>
  <c r="DJ3" i="117"/>
  <c r="DG3" i="117"/>
  <c r="AC177" i="4" l="1"/>
  <c r="AC169" i="4" s="1"/>
  <c r="AC167" i="4" s="1"/>
  <c r="AC154" i="4" s="1"/>
  <c r="AC146" i="4" s="1"/>
  <c r="AC138" i="4" s="1"/>
  <c r="AC133" i="4" s="1"/>
  <c r="AC130" i="4" s="1"/>
  <c r="AC125" i="4" s="1"/>
  <c r="AC118" i="4" s="1"/>
  <c r="AC115" i="4" s="1"/>
  <c r="AC107" i="4" s="1"/>
  <c r="AC98" i="4" s="1"/>
  <c r="AC85" i="4" s="1"/>
  <c r="AC79" i="4" s="1"/>
  <c r="EQ4" i="116"/>
  <c r="ER4" i="116"/>
  <c r="ES4" i="116"/>
  <c r="EQ5" i="116"/>
  <c r="ER5" i="116"/>
  <c r="ES5" i="116"/>
  <c r="EQ6" i="116"/>
  <c r="ER6" i="116"/>
  <c r="ES6" i="116"/>
  <c r="EQ7" i="116"/>
  <c r="ER7" i="116"/>
  <c r="ES7" i="116"/>
  <c r="EQ8" i="116"/>
  <c r="ER8" i="116"/>
  <c r="ES8" i="116"/>
  <c r="EQ9" i="116"/>
  <c r="ER9" i="116"/>
  <c r="ES9" i="116"/>
  <c r="EQ10" i="116"/>
  <c r="ER10" i="116"/>
  <c r="ES10" i="116"/>
  <c r="EQ11" i="116"/>
  <c r="ER11" i="116"/>
  <c r="ES11" i="116"/>
  <c r="EQ12" i="116"/>
  <c r="ER12" i="116"/>
  <c r="ES12" i="116"/>
  <c r="EQ13" i="116"/>
  <c r="ER13" i="116"/>
  <c r="ES13" i="116"/>
  <c r="EQ14" i="116"/>
  <c r="ER14" i="116"/>
  <c r="ES14" i="116"/>
  <c r="EQ15" i="116"/>
  <c r="ER15" i="116"/>
  <c r="ES15" i="116"/>
  <c r="EQ16" i="116"/>
  <c r="ER16" i="116"/>
  <c r="ES16" i="116"/>
  <c r="EQ17" i="116"/>
  <c r="ER17" i="116"/>
  <c r="ES17" i="116"/>
  <c r="EQ18" i="116"/>
  <c r="ER18" i="116"/>
  <c r="ES18" i="116"/>
  <c r="EQ19" i="116"/>
  <c r="ER19" i="116"/>
  <c r="ES19" i="116"/>
  <c r="EQ20" i="116"/>
  <c r="ER20" i="116"/>
  <c r="ES20" i="116"/>
  <c r="EQ21" i="116"/>
  <c r="ER21" i="116"/>
  <c r="ES21" i="116"/>
  <c r="EQ22" i="116"/>
  <c r="ER22" i="116"/>
  <c r="ES22" i="116"/>
  <c r="EQ23" i="116"/>
  <c r="ER23" i="116"/>
  <c r="ES23" i="116"/>
  <c r="EQ24" i="116"/>
  <c r="ER24" i="116"/>
  <c r="ES24" i="116"/>
  <c r="EQ25" i="116"/>
  <c r="ER25" i="116"/>
  <c r="ES25" i="116"/>
  <c r="EQ26" i="116"/>
  <c r="ER26" i="116"/>
  <c r="ES26" i="116"/>
  <c r="EQ27" i="116"/>
  <c r="ER27" i="116"/>
  <c r="ES27" i="116"/>
  <c r="EQ28" i="116"/>
  <c r="ER28" i="116"/>
  <c r="ES28" i="116"/>
  <c r="EQ29" i="116"/>
  <c r="ER29" i="116"/>
  <c r="ES29" i="116"/>
  <c r="EQ30" i="116"/>
  <c r="ER30" i="116"/>
  <c r="ES30" i="116"/>
  <c r="EQ31" i="116"/>
  <c r="ER31" i="116"/>
  <c r="ES31" i="116"/>
  <c r="EQ32" i="116"/>
  <c r="ER32" i="116"/>
  <c r="ES32" i="116"/>
  <c r="EQ33" i="116"/>
  <c r="ER33" i="116"/>
  <c r="ES33" i="116"/>
  <c r="EQ34" i="116"/>
  <c r="ER34" i="116"/>
  <c r="ES34" i="116"/>
  <c r="EQ35" i="116"/>
  <c r="ER35" i="116"/>
  <c r="ES35" i="116"/>
  <c r="EQ36" i="116"/>
  <c r="ER36" i="116"/>
  <c r="ES36" i="116"/>
  <c r="EQ37" i="116"/>
  <c r="ER37" i="116"/>
  <c r="ES37" i="116"/>
  <c r="EQ38" i="116"/>
  <c r="ER38" i="116"/>
  <c r="ES38" i="116"/>
  <c r="EQ39" i="116"/>
  <c r="ER39" i="116"/>
  <c r="ES39" i="116"/>
  <c r="EQ40" i="116"/>
  <c r="ER40" i="116"/>
  <c r="ES40" i="116"/>
  <c r="EQ41" i="116"/>
  <c r="ER41" i="116"/>
  <c r="ES41" i="116"/>
  <c r="EQ42" i="116"/>
  <c r="ER42" i="116"/>
  <c r="ES42" i="116"/>
  <c r="EQ43" i="116"/>
  <c r="ER43" i="116"/>
  <c r="ES43" i="116"/>
  <c r="EQ44" i="116"/>
  <c r="ER44" i="116"/>
  <c r="ES44" i="116"/>
  <c r="EQ45" i="116"/>
  <c r="ER45" i="116"/>
  <c r="ES45" i="116"/>
  <c r="EQ46" i="116"/>
  <c r="ER46" i="116"/>
  <c r="ES46" i="116"/>
  <c r="EQ47" i="116"/>
  <c r="ER47" i="116"/>
  <c r="ES47" i="116"/>
  <c r="EQ48" i="116"/>
  <c r="ER48" i="116"/>
  <c r="ES48" i="116"/>
  <c r="EQ49" i="116"/>
  <c r="ER49" i="116"/>
  <c r="ES49" i="116"/>
  <c r="EQ50" i="116"/>
  <c r="ER50" i="116"/>
  <c r="ES50" i="116"/>
  <c r="EQ51" i="116"/>
  <c r="ER51" i="116"/>
  <c r="ES51" i="116"/>
  <c r="EQ52" i="116"/>
  <c r="ER52" i="116"/>
  <c r="ES52" i="116"/>
  <c r="ER3" i="116"/>
  <c r="ES3" i="116"/>
  <c r="EQ3" i="116"/>
  <c r="ED4" i="116"/>
  <c r="EE4" i="116"/>
  <c r="EF4" i="116"/>
  <c r="ED5" i="116"/>
  <c r="EE5" i="116"/>
  <c r="EF5" i="116"/>
  <c r="AC15" i="35" s="1"/>
  <c r="AC14" i="35" s="1"/>
  <c r="ED6" i="116"/>
  <c r="EE6" i="116"/>
  <c r="EF6" i="116"/>
  <c r="ED7" i="116"/>
  <c r="EE7" i="116"/>
  <c r="EF7" i="116"/>
  <c r="ED8" i="116"/>
  <c r="EE8" i="116"/>
  <c r="EF8" i="116"/>
  <c r="ED9" i="116"/>
  <c r="EE9" i="116"/>
  <c r="EF9" i="116"/>
  <c r="ED10" i="116"/>
  <c r="EE10" i="116"/>
  <c r="EF10" i="116"/>
  <c r="AC21" i="35" s="1"/>
  <c r="ED11" i="116"/>
  <c r="EE11" i="116"/>
  <c r="EF11" i="116"/>
  <c r="AC24" i="35" s="1"/>
  <c r="ED12" i="116"/>
  <c r="EE12" i="116"/>
  <c r="EF12" i="116"/>
  <c r="AC22" i="35" s="1"/>
  <c r="ED13" i="116"/>
  <c r="EE13" i="116"/>
  <c r="EF13" i="116"/>
  <c r="AC23" i="35" s="1"/>
  <c r="ED14" i="116"/>
  <c r="EE14" i="116"/>
  <c r="EF14" i="116"/>
  <c r="ED15" i="116"/>
  <c r="EE15" i="116"/>
  <c r="EF15" i="116"/>
  <c r="ED16" i="116"/>
  <c r="EE16" i="116"/>
  <c r="EF16" i="116"/>
  <c r="AC31" i="35" s="1"/>
  <c r="ED17" i="116"/>
  <c r="EE17" i="116"/>
  <c r="EF17" i="116"/>
  <c r="ED18" i="116"/>
  <c r="EE18" i="116"/>
  <c r="EF18" i="116"/>
  <c r="AC36" i="35" s="1"/>
  <c r="ED19" i="116"/>
  <c r="EE19" i="116"/>
  <c r="EF19" i="116"/>
  <c r="AC33" i="35" s="1"/>
  <c r="ED20" i="116"/>
  <c r="EE20" i="116"/>
  <c r="EF20" i="116"/>
  <c r="AC35" i="35" s="1"/>
  <c r="ED21" i="116"/>
  <c r="EE21" i="116"/>
  <c r="EF21" i="116"/>
  <c r="ED22" i="116"/>
  <c r="EE22" i="116"/>
  <c r="EF22" i="116"/>
  <c r="AC43" i="35" s="1"/>
  <c r="ED23" i="116"/>
  <c r="EE23" i="116"/>
  <c r="EF23" i="116"/>
  <c r="AC44" i="35" s="1"/>
  <c r="ED24" i="116"/>
  <c r="EE24" i="116"/>
  <c r="EF24" i="116"/>
  <c r="AC45" i="35" s="1"/>
  <c r="ED25" i="116"/>
  <c r="EE25" i="116"/>
  <c r="EF25" i="116"/>
  <c r="EE3" i="116"/>
  <c r="EF3" i="116"/>
  <c r="ED3" i="116"/>
  <c r="EF26" i="116" l="1"/>
  <c r="AC78" i="4"/>
  <c r="AC73" i="4" s="1"/>
  <c r="AC72" i="4" s="1"/>
  <c r="AC68" i="4" s="1"/>
  <c r="AC63" i="4" s="1"/>
  <c r="AC59" i="4" s="1"/>
  <c r="AC56" i="4" s="1"/>
  <c r="AC42" i="4" s="1"/>
  <c r="AC41" i="4" s="1"/>
  <c r="AC32" i="4" s="1"/>
  <c r="AC28" i="4" s="1"/>
  <c r="AC25" i="4" s="1"/>
  <c r="AC12" i="4" s="1"/>
  <c r="AC11" i="4" s="1"/>
  <c r="AC30" i="35"/>
  <c r="AC41" i="35"/>
  <c r="AC40" i="35" s="1"/>
  <c r="AC39" i="35" s="1"/>
  <c r="AC20" i="35"/>
  <c r="AC10" i="4" l="1"/>
  <c r="AC9" i="4" s="1"/>
  <c r="AC13" i="35"/>
  <c r="AC10" i="35" s="1"/>
  <c r="AC9" i="35" s="1"/>
  <c r="AC29" i="37"/>
  <c r="AC27" i="37"/>
  <c r="AC25" i="37"/>
  <c r="AC23" i="37"/>
  <c r="EQ4" i="115"/>
  <c r="ER4" i="115"/>
  <c r="ES4" i="115"/>
  <c r="EQ5" i="115"/>
  <c r="ER5" i="115"/>
  <c r="ES5" i="115"/>
  <c r="EQ6" i="115"/>
  <c r="ER6" i="115"/>
  <c r="ES6" i="115"/>
  <c r="EQ7" i="115"/>
  <c r="ER7" i="115"/>
  <c r="ES7" i="115"/>
  <c r="EQ8" i="115"/>
  <c r="ER8" i="115"/>
  <c r="ES8" i="115"/>
  <c r="EQ9" i="115"/>
  <c r="ER9" i="115"/>
  <c r="ES9" i="115"/>
  <c r="EQ10" i="115"/>
  <c r="ER10" i="115"/>
  <c r="ES10" i="115"/>
  <c r="EQ11" i="115"/>
  <c r="ER11" i="115"/>
  <c r="ES11" i="115"/>
  <c r="EQ12" i="115"/>
  <c r="ER12" i="115"/>
  <c r="ES12" i="115"/>
  <c r="EQ13" i="115"/>
  <c r="ER13" i="115"/>
  <c r="ES13" i="115"/>
  <c r="EQ14" i="115"/>
  <c r="ER14" i="115"/>
  <c r="ES14" i="115"/>
  <c r="EQ15" i="115"/>
  <c r="ER15" i="115"/>
  <c r="ES15" i="115"/>
  <c r="EQ16" i="115"/>
  <c r="ER16" i="115"/>
  <c r="ES16" i="115"/>
  <c r="EQ17" i="115"/>
  <c r="ER17" i="115"/>
  <c r="ES17" i="115"/>
  <c r="EQ18" i="115"/>
  <c r="ER18" i="115"/>
  <c r="ES18" i="115"/>
  <c r="EQ19" i="115"/>
  <c r="ER19" i="115"/>
  <c r="ES19" i="115"/>
  <c r="EQ20" i="115"/>
  <c r="ER20" i="115"/>
  <c r="ES20" i="115"/>
  <c r="EQ21" i="115"/>
  <c r="ER21" i="115"/>
  <c r="ES21" i="115"/>
  <c r="EQ22" i="115"/>
  <c r="ER22" i="115"/>
  <c r="ES22" i="115"/>
  <c r="EQ23" i="115"/>
  <c r="ER23" i="115"/>
  <c r="ES23" i="115"/>
  <c r="EQ24" i="115"/>
  <c r="ER24" i="115"/>
  <c r="ES24" i="115"/>
  <c r="EQ25" i="115"/>
  <c r="ER25" i="115"/>
  <c r="ES25" i="115"/>
  <c r="EQ26" i="115"/>
  <c r="ER26" i="115"/>
  <c r="ES26" i="115"/>
  <c r="EQ27" i="115"/>
  <c r="ER27" i="115"/>
  <c r="ES27" i="115"/>
  <c r="EQ28" i="115"/>
  <c r="ER28" i="115"/>
  <c r="ES28" i="115"/>
  <c r="EQ29" i="115"/>
  <c r="ER29" i="115"/>
  <c r="ES29" i="115"/>
  <c r="EQ30" i="115"/>
  <c r="ER30" i="115"/>
  <c r="ES30" i="115"/>
  <c r="EQ31" i="115"/>
  <c r="ER31" i="115"/>
  <c r="ES31" i="115"/>
  <c r="EQ32" i="115"/>
  <c r="ER32" i="115"/>
  <c r="ES32" i="115"/>
  <c r="EQ33" i="115"/>
  <c r="ER33" i="115"/>
  <c r="ES33" i="115"/>
  <c r="EQ34" i="115"/>
  <c r="ER34" i="115"/>
  <c r="ES34" i="115"/>
  <c r="EQ35" i="115"/>
  <c r="ER35" i="115"/>
  <c r="ES35" i="115"/>
  <c r="EQ36" i="115"/>
  <c r="ER36" i="115"/>
  <c r="ES36" i="115"/>
  <c r="EQ37" i="115"/>
  <c r="ER37" i="115"/>
  <c r="ES37" i="115"/>
  <c r="EQ38" i="115"/>
  <c r="ER38" i="115"/>
  <c r="ES38" i="115"/>
  <c r="EQ39" i="115"/>
  <c r="ER39" i="115"/>
  <c r="ES39" i="115"/>
  <c r="EQ40" i="115"/>
  <c r="ER40" i="115"/>
  <c r="ES40" i="115"/>
  <c r="EQ41" i="115"/>
  <c r="ER41" i="115"/>
  <c r="ES41" i="115"/>
  <c r="EQ42" i="115"/>
  <c r="ER42" i="115"/>
  <c r="ES42" i="115"/>
  <c r="EQ43" i="115"/>
  <c r="ER43" i="115"/>
  <c r="ES43" i="115"/>
  <c r="EQ44" i="115"/>
  <c r="ER44" i="115"/>
  <c r="ES44" i="115"/>
  <c r="EQ45" i="115"/>
  <c r="ER45" i="115"/>
  <c r="ES45" i="115"/>
  <c r="EQ46" i="115"/>
  <c r="ER46" i="115"/>
  <c r="ES46" i="115"/>
  <c r="EQ47" i="115"/>
  <c r="ER47" i="115"/>
  <c r="ES47" i="115"/>
  <c r="EQ48" i="115"/>
  <c r="ER48" i="115"/>
  <c r="ES48" i="115"/>
  <c r="EQ49" i="115"/>
  <c r="ER49" i="115"/>
  <c r="ES49" i="115"/>
  <c r="ER3" i="115"/>
  <c r="ES3" i="115"/>
  <c r="EQ3" i="115"/>
  <c r="EC4" i="115"/>
  <c r="ED4" i="115"/>
  <c r="EE4" i="115"/>
  <c r="EC5" i="115"/>
  <c r="ED5" i="115"/>
  <c r="EE5" i="115"/>
  <c r="AC18" i="37" s="1"/>
  <c r="EC6" i="115"/>
  <c r="ED6" i="115"/>
  <c r="EE6" i="115"/>
  <c r="AC17" i="37" s="1"/>
  <c r="EC7" i="115"/>
  <c r="ED7" i="115"/>
  <c r="EE7" i="115"/>
  <c r="AC50" i="37" s="1"/>
  <c r="EC8" i="115"/>
  <c r="ED8" i="115"/>
  <c r="EE8" i="115"/>
  <c r="AC51" i="37" s="1"/>
  <c r="EC9" i="115"/>
  <c r="ED9" i="115"/>
  <c r="EE9" i="115"/>
  <c r="AC38" i="37" s="1"/>
  <c r="EC10" i="115"/>
  <c r="ED10" i="115"/>
  <c r="EE10" i="115"/>
  <c r="AC39" i="37" s="1"/>
  <c r="EC11" i="115"/>
  <c r="ED11" i="115"/>
  <c r="EE11" i="115"/>
  <c r="AC40" i="37" s="1"/>
  <c r="EC12" i="115"/>
  <c r="ED12" i="115"/>
  <c r="EE12" i="115"/>
  <c r="AC43" i="37" s="1"/>
  <c r="EC13" i="115"/>
  <c r="ED13" i="115"/>
  <c r="EE13" i="115"/>
  <c r="AC45" i="37" s="1"/>
  <c r="EC14" i="115"/>
  <c r="ED14" i="115"/>
  <c r="EE14" i="115"/>
  <c r="AC46" i="37" s="1"/>
  <c r="EC15" i="115"/>
  <c r="ED15" i="115"/>
  <c r="EE15" i="115"/>
  <c r="EC16" i="115"/>
  <c r="ED16" i="115"/>
  <c r="EE16" i="115"/>
  <c r="AC48" i="37" s="1"/>
  <c r="EC17" i="115"/>
  <c r="ED17" i="115"/>
  <c r="EE17" i="115"/>
  <c r="AC49" i="37" s="1"/>
  <c r="ED3" i="115"/>
  <c r="EE3" i="115"/>
  <c r="AC19" i="37" s="1"/>
  <c r="EC3" i="115"/>
  <c r="CD7" i="114"/>
  <c r="CY4" i="114"/>
  <c r="CZ4" i="114"/>
  <c r="DA4" i="114"/>
  <c r="CY5" i="114"/>
  <c r="CZ5" i="114"/>
  <c r="DA5" i="114"/>
  <c r="CY6" i="114"/>
  <c r="CZ6" i="114"/>
  <c r="DA6" i="114"/>
  <c r="CY7" i="114"/>
  <c r="CZ7" i="114"/>
  <c r="DA7" i="114"/>
  <c r="CZ3" i="114"/>
  <c r="DA3" i="114"/>
  <c r="CY3" i="114"/>
  <c r="CO4" i="114"/>
  <c r="CO5" i="114"/>
  <c r="CO3" i="114"/>
  <c r="AC42" i="37" l="1"/>
  <c r="AC37" i="37"/>
  <c r="M33" i="54"/>
  <c r="M57" i="54"/>
  <c r="AC16" i="37"/>
  <c r="AC14" i="37" s="1"/>
  <c r="AC12" i="37" s="1"/>
  <c r="EE18" i="115"/>
  <c r="AC36" i="37" l="1"/>
  <c r="O57" i="54"/>
  <c r="Q204" i="39" l="1"/>
  <c r="P204" i="39"/>
  <c r="F140" i="39"/>
  <c r="F36" i="39"/>
  <c r="K209" i="39" l="1"/>
  <c r="M209" i="39"/>
  <c r="R204" i="39"/>
  <c r="O209" i="39"/>
  <c r="DD26" i="115"/>
  <c r="AB53" i="37" s="1"/>
  <c r="N38" i="35" l="1"/>
  <c r="CN4" i="117"/>
  <c r="CO4" i="117"/>
  <c r="CP4" i="117"/>
  <c r="CQ4" i="117"/>
  <c r="CN5" i="117"/>
  <c r="CO5" i="117"/>
  <c r="CP5" i="117"/>
  <c r="CQ5" i="117"/>
  <c r="CN6" i="117"/>
  <c r="CO6" i="117"/>
  <c r="CP6" i="117"/>
  <c r="CQ6" i="117"/>
  <c r="CN7" i="117"/>
  <c r="CO7" i="117"/>
  <c r="CP7" i="117"/>
  <c r="CQ7" i="117"/>
  <c r="CN8" i="117"/>
  <c r="CO8" i="117"/>
  <c r="CP8" i="117"/>
  <c r="CQ8" i="117"/>
  <c r="CN9" i="117"/>
  <c r="CO9" i="117"/>
  <c r="CP9" i="117"/>
  <c r="CQ9" i="117"/>
  <c r="CN10" i="117"/>
  <c r="CO10" i="117"/>
  <c r="CP10" i="117"/>
  <c r="CQ10" i="117"/>
  <c r="CN11" i="117"/>
  <c r="CO11" i="117"/>
  <c r="CP11" i="117"/>
  <c r="CQ11" i="117"/>
  <c r="CN12" i="117"/>
  <c r="CO12" i="117"/>
  <c r="CP12" i="117"/>
  <c r="CQ12" i="117"/>
  <c r="CN13" i="117"/>
  <c r="CO13" i="117"/>
  <c r="CP13" i="117"/>
  <c r="CQ13" i="117"/>
  <c r="CN14" i="117"/>
  <c r="CO14" i="117"/>
  <c r="CP14" i="117"/>
  <c r="CQ14" i="117"/>
  <c r="CN15" i="117"/>
  <c r="CO15" i="117"/>
  <c r="CP15" i="117"/>
  <c r="CQ15" i="117"/>
  <c r="CN16" i="117"/>
  <c r="CO16" i="117"/>
  <c r="CP16" i="117"/>
  <c r="CQ16" i="117"/>
  <c r="CN17" i="117"/>
  <c r="CO17" i="117"/>
  <c r="CP17" i="117"/>
  <c r="CQ17" i="117"/>
  <c r="CN18" i="117"/>
  <c r="CO18" i="117"/>
  <c r="CP18" i="117"/>
  <c r="CQ18" i="117"/>
  <c r="CN19" i="117"/>
  <c r="CO19" i="117"/>
  <c r="CP19" i="117"/>
  <c r="CQ19" i="117"/>
  <c r="CN20" i="117"/>
  <c r="CO20" i="117"/>
  <c r="CP20" i="117"/>
  <c r="CQ20" i="117"/>
  <c r="CN21" i="117"/>
  <c r="CO21" i="117"/>
  <c r="CP21" i="117"/>
  <c r="CQ21" i="117"/>
  <c r="CN22" i="117"/>
  <c r="CO22" i="117"/>
  <c r="CP22" i="117"/>
  <c r="CQ22" i="117"/>
  <c r="CN23" i="117"/>
  <c r="CO23" i="117"/>
  <c r="CP23" i="117"/>
  <c r="CQ23" i="117"/>
  <c r="CN24" i="117"/>
  <c r="CO24" i="117"/>
  <c r="CP24" i="117"/>
  <c r="CQ24" i="117"/>
  <c r="CN25" i="117"/>
  <c r="CO25" i="117"/>
  <c r="CP25" i="117"/>
  <c r="CQ25" i="117"/>
  <c r="CN26" i="117"/>
  <c r="CO26" i="117"/>
  <c r="CP26" i="117"/>
  <c r="CQ26" i="117"/>
  <c r="CN27" i="117"/>
  <c r="CO27" i="117"/>
  <c r="CP27" i="117"/>
  <c r="CQ27" i="117"/>
  <c r="CN28" i="117"/>
  <c r="CO28" i="117"/>
  <c r="CP28" i="117"/>
  <c r="CQ28" i="117"/>
  <c r="CN29" i="117"/>
  <c r="CO29" i="117"/>
  <c r="CP29" i="117"/>
  <c r="CQ29" i="117"/>
  <c r="CN30" i="117"/>
  <c r="CO30" i="117"/>
  <c r="CP30" i="117"/>
  <c r="CQ30" i="117"/>
  <c r="CN31" i="117"/>
  <c r="CO31" i="117"/>
  <c r="CP31" i="117"/>
  <c r="CQ31" i="117"/>
  <c r="CN32" i="117"/>
  <c r="CO32" i="117"/>
  <c r="CP32" i="117"/>
  <c r="CQ32" i="117"/>
  <c r="CN33" i="117"/>
  <c r="CO33" i="117"/>
  <c r="CP33" i="117"/>
  <c r="CQ33" i="117"/>
  <c r="CN34" i="117"/>
  <c r="CO34" i="117"/>
  <c r="CP34" i="117"/>
  <c r="CQ34" i="117"/>
  <c r="CN35" i="117"/>
  <c r="CO35" i="117"/>
  <c r="CP35" i="117"/>
  <c r="CQ35" i="117"/>
  <c r="CN36" i="117"/>
  <c r="CO36" i="117"/>
  <c r="CP36" i="117"/>
  <c r="CQ36" i="117"/>
  <c r="CN37" i="117"/>
  <c r="CO37" i="117"/>
  <c r="CP37" i="117"/>
  <c r="CQ37" i="117"/>
  <c r="CN38" i="117"/>
  <c r="CO38" i="117"/>
  <c r="CP38" i="117"/>
  <c r="CQ38" i="117"/>
  <c r="CN39" i="117"/>
  <c r="CO39" i="117"/>
  <c r="CP39" i="117"/>
  <c r="CQ39" i="117"/>
  <c r="CN40" i="117"/>
  <c r="CO40" i="117"/>
  <c r="CP40" i="117"/>
  <c r="CQ40" i="117"/>
  <c r="CN41" i="117"/>
  <c r="CO41" i="117"/>
  <c r="CP41" i="117"/>
  <c r="CQ41" i="117"/>
  <c r="CN42" i="117"/>
  <c r="CO42" i="117"/>
  <c r="CP42" i="117"/>
  <c r="CQ42" i="117"/>
  <c r="CN43" i="117"/>
  <c r="CO43" i="117"/>
  <c r="CP43" i="117"/>
  <c r="CQ43" i="117"/>
  <c r="CN44" i="117"/>
  <c r="CO44" i="117"/>
  <c r="CP44" i="117"/>
  <c r="CQ44" i="117"/>
  <c r="CN45" i="117"/>
  <c r="CO45" i="117"/>
  <c r="CP45" i="117"/>
  <c r="CQ45" i="117"/>
  <c r="CN46" i="117"/>
  <c r="CO46" i="117"/>
  <c r="CP46" i="117"/>
  <c r="CQ46" i="117"/>
  <c r="CN47" i="117"/>
  <c r="CO47" i="117"/>
  <c r="CP47" i="117"/>
  <c r="CQ47" i="117"/>
  <c r="CN48" i="117"/>
  <c r="CO48" i="117"/>
  <c r="CP48" i="117"/>
  <c r="CQ48" i="117"/>
  <c r="CN49" i="117"/>
  <c r="CO49" i="117"/>
  <c r="CP49" i="117"/>
  <c r="CQ49" i="117"/>
  <c r="CN50" i="117"/>
  <c r="CO50" i="117"/>
  <c r="CP50" i="117"/>
  <c r="CQ50" i="117"/>
  <c r="CN51" i="117"/>
  <c r="CO51" i="117"/>
  <c r="CP51" i="117"/>
  <c r="CQ51" i="117"/>
  <c r="CN52" i="117"/>
  <c r="CO52" i="117"/>
  <c r="CP52" i="117"/>
  <c r="CQ52" i="117"/>
  <c r="CN53" i="117"/>
  <c r="CO53" i="117"/>
  <c r="CP53" i="117"/>
  <c r="CQ53" i="117"/>
  <c r="CN54" i="117"/>
  <c r="CO54" i="117"/>
  <c r="CP54" i="117"/>
  <c r="CQ54" i="117"/>
  <c r="CN55" i="117"/>
  <c r="CO55" i="117"/>
  <c r="CP55" i="117"/>
  <c r="CQ55" i="117"/>
  <c r="CN56" i="117"/>
  <c r="CO56" i="117"/>
  <c r="CP56" i="117"/>
  <c r="CQ56" i="117"/>
  <c r="CN57" i="117"/>
  <c r="CO57" i="117"/>
  <c r="CP57" i="117"/>
  <c r="CQ57" i="117"/>
  <c r="CN58" i="117"/>
  <c r="CO58" i="117"/>
  <c r="CP58" i="117"/>
  <c r="CQ58" i="117"/>
  <c r="CN59" i="117"/>
  <c r="CO59" i="117"/>
  <c r="CP59" i="117"/>
  <c r="CQ59" i="117"/>
  <c r="CN60" i="117"/>
  <c r="CO60" i="117"/>
  <c r="CP60" i="117"/>
  <c r="CQ60" i="117"/>
  <c r="CN61" i="117"/>
  <c r="CO61" i="117"/>
  <c r="CP61" i="117"/>
  <c r="CQ61" i="117"/>
  <c r="CN62" i="117"/>
  <c r="CO62" i="117"/>
  <c r="CP62" i="117"/>
  <c r="CQ62" i="117"/>
  <c r="CN63" i="117"/>
  <c r="CO63" i="117"/>
  <c r="CP63" i="117"/>
  <c r="CQ63" i="117"/>
  <c r="CN64" i="117"/>
  <c r="CO64" i="117"/>
  <c r="CP64" i="117"/>
  <c r="CQ64" i="117"/>
  <c r="CN65" i="117"/>
  <c r="CO65" i="117"/>
  <c r="CP65" i="117"/>
  <c r="CQ65" i="117"/>
  <c r="CN66" i="117"/>
  <c r="CO66" i="117"/>
  <c r="CP66" i="117"/>
  <c r="CQ66" i="117"/>
  <c r="CN67" i="117"/>
  <c r="CO67" i="117"/>
  <c r="CP67" i="117"/>
  <c r="CQ67" i="117"/>
  <c r="CN68" i="117"/>
  <c r="CO68" i="117"/>
  <c r="CP68" i="117"/>
  <c r="CQ68" i="117"/>
  <c r="CN69" i="117"/>
  <c r="CO69" i="117"/>
  <c r="CP69" i="117"/>
  <c r="CQ69" i="117"/>
  <c r="CN70" i="117"/>
  <c r="CO70" i="117"/>
  <c r="CP70" i="117"/>
  <c r="CQ70" i="117"/>
  <c r="CN71" i="117"/>
  <c r="CO71" i="117"/>
  <c r="CP71" i="117"/>
  <c r="CQ71" i="117"/>
  <c r="CN72" i="117"/>
  <c r="CO72" i="117"/>
  <c r="CP72" i="117"/>
  <c r="CQ72" i="117"/>
  <c r="CN73" i="117"/>
  <c r="CO73" i="117"/>
  <c r="CP73" i="117"/>
  <c r="CQ73" i="117"/>
  <c r="CN74" i="117"/>
  <c r="CO74" i="117"/>
  <c r="CP74" i="117"/>
  <c r="CQ74" i="117"/>
  <c r="CN75" i="117"/>
  <c r="CO75" i="117"/>
  <c r="CP75" i="117"/>
  <c r="CQ75" i="117"/>
  <c r="CN76" i="117"/>
  <c r="CO76" i="117"/>
  <c r="CP76" i="117"/>
  <c r="CQ76" i="117"/>
  <c r="CN77" i="117"/>
  <c r="CO77" i="117"/>
  <c r="CP77" i="117"/>
  <c r="CQ77" i="117"/>
  <c r="CN78" i="117"/>
  <c r="CO78" i="117"/>
  <c r="CP78" i="117"/>
  <c r="CQ78" i="117"/>
  <c r="CN79" i="117"/>
  <c r="CO79" i="117"/>
  <c r="CP79" i="117"/>
  <c r="CQ79" i="117"/>
  <c r="CN80" i="117"/>
  <c r="CO80" i="117"/>
  <c r="CP80" i="117"/>
  <c r="CQ80" i="117"/>
  <c r="CN81" i="117"/>
  <c r="CO81" i="117"/>
  <c r="CP81" i="117"/>
  <c r="CQ81" i="117"/>
  <c r="CN82" i="117"/>
  <c r="CO82" i="117"/>
  <c r="CP82" i="117"/>
  <c r="CQ82" i="117"/>
  <c r="CN83" i="117"/>
  <c r="CO83" i="117"/>
  <c r="CP83" i="117"/>
  <c r="CQ83" i="117"/>
  <c r="CN84" i="117"/>
  <c r="CO84" i="117"/>
  <c r="CP84" i="117"/>
  <c r="CQ84" i="117"/>
  <c r="CN85" i="117"/>
  <c r="CO85" i="117"/>
  <c r="CP85" i="117"/>
  <c r="CQ85" i="117"/>
  <c r="CN86" i="117"/>
  <c r="CO86" i="117"/>
  <c r="CP86" i="117"/>
  <c r="CQ86" i="117"/>
  <c r="CN87" i="117"/>
  <c r="CO87" i="117"/>
  <c r="CP87" i="117"/>
  <c r="CQ87" i="117"/>
  <c r="CN88" i="117"/>
  <c r="CO88" i="117"/>
  <c r="CP88" i="117"/>
  <c r="CQ88" i="117"/>
  <c r="CN89" i="117"/>
  <c r="CO89" i="117"/>
  <c r="CP89" i="117"/>
  <c r="CQ89" i="117"/>
  <c r="CN90" i="117"/>
  <c r="CO90" i="117"/>
  <c r="CP90" i="117"/>
  <c r="CQ90" i="117"/>
  <c r="CN91" i="117"/>
  <c r="CO91" i="117"/>
  <c r="CP91" i="117"/>
  <c r="CQ91" i="117"/>
  <c r="CN92" i="117"/>
  <c r="CO92" i="117"/>
  <c r="CP92" i="117"/>
  <c r="CQ92" i="117"/>
  <c r="CN93" i="117"/>
  <c r="CO93" i="117"/>
  <c r="CP93" i="117"/>
  <c r="CQ93" i="117"/>
  <c r="CN94" i="117"/>
  <c r="CO94" i="117"/>
  <c r="CP94" i="117"/>
  <c r="CQ94" i="117"/>
  <c r="CN95" i="117"/>
  <c r="CO95" i="117"/>
  <c r="CP95" i="117"/>
  <c r="CQ95" i="117"/>
  <c r="CN96" i="117"/>
  <c r="CO96" i="117"/>
  <c r="CP96" i="117"/>
  <c r="CQ96" i="117"/>
  <c r="CN97" i="117"/>
  <c r="CO97" i="117"/>
  <c r="CP97" i="117"/>
  <c r="CQ97" i="117"/>
  <c r="CN98" i="117"/>
  <c r="CO98" i="117"/>
  <c r="CP98" i="117"/>
  <c r="CQ98" i="117"/>
  <c r="CN99" i="117"/>
  <c r="CO99" i="117"/>
  <c r="CP99" i="117"/>
  <c r="CQ99" i="117"/>
  <c r="CN100" i="117"/>
  <c r="CO100" i="117"/>
  <c r="CP100" i="117"/>
  <c r="CQ100" i="117"/>
  <c r="CN101" i="117"/>
  <c r="CO101" i="117"/>
  <c r="CP101" i="117"/>
  <c r="CQ101" i="117"/>
  <c r="CN102" i="117"/>
  <c r="CO102" i="117"/>
  <c r="CP102" i="117"/>
  <c r="CQ102" i="117"/>
  <c r="CN103" i="117"/>
  <c r="CO103" i="117"/>
  <c r="CP103" i="117"/>
  <c r="CQ103" i="117"/>
  <c r="CN104" i="117"/>
  <c r="CO104" i="117"/>
  <c r="CP104" i="117"/>
  <c r="CQ104" i="117"/>
  <c r="CN105" i="117"/>
  <c r="CO105" i="117"/>
  <c r="CP105" i="117"/>
  <c r="CQ105" i="117"/>
  <c r="CN106" i="117"/>
  <c r="CO106" i="117"/>
  <c r="CP106" i="117"/>
  <c r="CQ106" i="117"/>
  <c r="CN107" i="117"/>
  <c r="CO107" i="117"/>
  <c r="CP107" i="117"/>
  <c r="CQ107" i="117"/>
  <c r="CN108" i="117"/>
  <c r="CO108" i="117"/>
  <c r="CP108" i="117"/>
  <c r="CQ108" i="117"/>
  <c r="CN109" i="117"/>
  <c r="CO109" i="117"/>
  <c r="CP109" i="117"/>
  <c r="CQ109" i="117"/>
  <c r="CN110" i="117"/>
  <c r="CO110" i="117"/>
  <c r="CP110" i="117"/>
  <c r="CQ110" i="117"/>
  <c r="CN111" i="117"/>
  <c r="CO111" i="117"/>
  <c r="CP111" i="117"/>
  <c r="CQ111" i="117"/>
  <c r="CN112" i="117"/>
  <c r="CO112" i="117"/>
  <c r="CP112" i="117"/>
  <c r="CQ112" i="117"/>
  <c r="CN113" i="117"/>
  <c r="CO113" i="117"/>
  <c r="CP113" i="117"/>
  <c r="CQ113" i="117"/>
  <c r="CN114" i="117"/>
  <c r="CO114" i="117"/>
  <c r="CP114" i="117"/>
  <c r="CQ114" i="117"/>
  <c r="CN115" i="117"/>
  <c r="CO115" i="117"/>
  <c r="CP115" i="117"/>
  <c r="CQ115" i="117"/>
  <c r="CN116" i="117"/>
  <c r="CO116" i="117"/>
  <c r="CP116" i="117"/>
  <c r="CQ116" i="117"/>
  <c r="CN117" i="117"/>
  <c r="CO117" i="117"/>
  <c r="CP117" i="117"/>
  <c r="CQ117" i="117"/>
  <c r="CN118" i="117"/>
  <c r="CO118" i="117"/>
  <c r="CP118" i="117"/>
  <c r="CQ118" i="117"/>
  <c r="CN119" i="117"/>
  <c r="CO119" i="117"/>
  <c r="CP119" i="117"/>
  <c r="CQ119" i="117"/>
  <c r="CN120" i="117"/>
  <c r="CO120" i="117"/>
  <c r="CP120" i="117"/>
  <c r="CQ120" i="117"/>
  <c r="CN121" i="117"/>
  <c r="CO121" i="117"/>
  <c r="CP121" i="117"/>
  <c r="CQ121" i="117"/>
  <c r="CN122" i="117"/>
  <c r="CO122" i="117"/>
  <c r="CP122" i="117"/>
  <c r="CQ122" i="117"/>
  <c r="CN123" i="117"/>
  <c r="CO123" i="117"/>
  <c r="CP123" i="117"/>
  <c r="CQ123" i="117"/>
  <c r="CN124" i="117"/>
  <c r="CO124" i="117"/>
  <c r="CP124" i="117"/>
  <c r="CQ124" i="117"/>
  <c r="CN125" i="117"/>
  <c r="CO125" i="117"/>
  <c r="CP125" i="117"/>
  <c r="CQ125" i="117"/>
  <c r="CN126" i="117"/>
  <c r="CO126" i="117"/>
  <c r="CP126" i="117"/>
  <c r="CQ126" i="117"/>
  <c r="CN127" i="117"/>
  <c r="CO127" i="117"/>
  <c r="CP127" i="117"/>
  <c r="CQ127" i="117"/>
  <c r="CN128" i="117"/>
  <c r="CO128" i="117"/>
  <c r="CP128" i="117"/>
  <c r="CQ128" i="117"/>
  <c r="CN129" i="117"/>
  <c r="CO129" i="117"/>
  <c r="CP129" i="117"/>
  <c r="CQ129" i="117"/>
  <c r="CN130" i="117"/>
  <c r="CO130" i="117"/>
  <c r="CP130" i="117"/>
  <c r="CQ130" i="117"/>
  <c r="CN131" i="117"/>
  <c r="CO131" i="117"/>
  <c r="CP131" i="117"/>
  <c r="CQ131" i="117"/>
  <c r="CN132" i="117"/>
  <c r="CO132" i="117"/>
  <c r="CP132" i="117"/>
  <c r="CQ132" i="117"/>
  <c r="CN133" i="117"/>
  <c r="CO133" i="117"/>
  <c r="CP133" i="117"/>
  <c r="CQ133" i="117"/>
  <c r="CN134" i="117"/>
  <c r="CO134" i="117"/>
  <c r="CP134" i="117"/>
  <c r="CQ134" i="117"/>
  <c r="CN135" i="117"/>
  <c r="CO135" i="117"/>
  <c r="CP135" i="117"/>
  <c r="CQ135" i="117"/>
  <c r="CN136" i="117"/>
  <c r="CO136" i="117"/>
  <c r="CP136" i="117"/>
  <c r="CQ136" i="117"/>
  <c r="CN137" i="117"/>
  <c r="CO137" i="117"/>
  <c r="CP137" i="117"/>
  <c r="CQ137" i="117"/>
  <c r="CN138" i="117"/>
  <c r="CO138" i="117"/>
  <c r="CP138" i="117"/>
  <c r="CQ138" i="117"/>
  <c r="CN139" i="117"/>
  <c r="CO139" i="117"/>
  <c r="CP139" i="117"/>
  <c r="CQ139" i="117"/>
  <c r="CN140" i="117"/>
  <c r="CO140" i="117"/>
  <c r="CP140" i="117"/>
  <c r="CQ140" i="117"/>
  <c r="CN141" i="117"/>
  <c r="CO141" i="117"/>
  <c r="CP141" i="117"/>
  <c r="CQ141" i="117"/>
  <c r="CN142" i="117"/>
  <c r="CO142" i="117"/>
  <c r="CP142" i="117"/>
  <c r="CQ142" i="117"/>
  <c r="CQ3" i="117"/>
  <c r="CP3" i="117"/>
  <c r="CO3" i="117"/>
  <c r="CN3" i="117"/>
  <c r="CC4" i="117"/>
  <c r="CC5" i="117"/>
  <c r="CC6" i="117"/>
  <c r="AB13" i="4" s="1"/>
  <c r="CC7" i="117"/>
  <c r="AB14" i="4" s="1"/>
  <c r="CC8" i="117"/>
  <c r="AB15" i="4" s="1"/>
  <c r="CC9" i="117"/>
  <c r="AB16" i="4" s="1"/>
  <c r="CC10" i="117"/>
  <c r="AB17" i="4" s="1"/>
  <c r="CC11" i="117"/>
  <c r="AB18" i="4" s="1"/>
  <c r="CC12" i="117"/>
  <c r="AB19" i="4" s="1"/>
  <c r="CC13" i="117"/>
  <c r="AB20" i="4" s="1"/>
  <c r="CC14" i="117"/>
  <c r="AB21" i="4" s="1"/>
  <c r="CC15" i="117"/>
  <c r="AB22" i="4" s="1"/>
  <c r="CC16" i="117"/>
  <c r="CC17" i="117"/>
  <c r="AB26" i="4" s="1"/>
  <c r="CC18" i="117"/>
  <c r="AB27" i="4" s="1"/>
  <c r="CC19" i="117"/>
  <c r="CC20" i="117"/>
  <c r="AB29" i="4" s="1"/>
  <c r="CC21" i="117"/>
  <c r="AB30" i="4" s="1"/>
  <c r="CC22" i="117"/>
  <c r="CC23" i="117"/>
  <c r="AB33" i="4" s="1"/>
  <c r="CC24" i="117"/>
  <c r="AB35" i="4" s="1"/>
  <c r="CC25" i="117"/>
  <c r="CC26" i="117"/>
  <c r="CC27" i="117"/>
  <c r="AB39" i="4" s="1"/>
  <c r="CC28" i="117"/>
  <c r="CC29" i="117"/>
  <c r="CC30" i="117"/>
  <c r="AB43" i="4" s="1"/>
  <c r="CC31" i="117"/>
  <c r="AB44" i="4" s="1"/>
  <c r="CC32" i="117"/>
  <c r="AB45" i="4" s="1"/>
  <c r="CC33" i="117"/>
  <c r="AB46" i="4" s="1"/>
  <c r="CC34" i="117"/>
  <c r="AB47" i="4" s="1"/>
  <c r="CC35" i="117"/>
  <c r="AB48" i="4" s="1"/>
  <c r="CC36" i="117"/>
  <c r="AB49" i="4" s="1"/>
  <c r="CC37" i="117"/>
  <c r="AB50" i="4" s="1"/>
  <c r="CC38" i="117"/>
  <c r="AB51" i="4" s="1"/>
  <c r="CC39" i="117"/>
  <c r="AB52" i="4" s="1"/>
  <c r="CC40" i="117"/>
  <c r="AB53" i="4" s="1"/>
  <c r="CC41" i="117"/>
  <c r="CC42" i="117"/>
  <c r="AB57" i="4" s="1"/>
  <c r="CC43" i="117"/>
  <c r="AB58" i="4" s="1"/>
  <c r="CC44" i="117"/>
  <c r="CC45" i="117"/>
  <c r="AB60" i="4" s="1"/>
  <c r="CC46" i="117"/>
  <c r="AB61" i="4" s="1"/>
  <c r="CC47" i="117"/>
  <c r="CC48" i="117"/>
  <c r="AB64" i="4" s="1"/>
  <c r="CC49" i="117"/>
  <c r="AB65" i="4" s="1"/>
  <c r="CC50" i="117"/>
  <c r="AB66" i="4" s="1"/>
  <c r="CC51" i="117"/>
  <c r="CC52" i="117"/>
  <c r="AB70" i="4" s="1"/>
  <c r="CC53" i="117"/>
  <c r="CC54" i="117"/>
  <c r="CC55" i="117"/>
  <c r="AB74" i="4" s="1"/>
  <c r="CC56" i="117"/>
  <c r="AB75" i="4" s="1"/>
  <c r="CC57" i="117"/>
  <c r="AB76" i="4" s="1"/>
  <c r="CC58" i="117"/>
  <c r="CC59" i="117"/>
  <c r="CC60" i="117"/>
  <c r="AB81" i="4" s="1"/>
  <c r="CC61" i="117"/>
  <c r="AB82" i="4" s="1"/>
  <c r="CC62" i="117"/>
  <c r="CC63" i="117"/>
  <c r="AB86" i="4" s="1"/>
  <c r="CC64" i="117"/>
  <c r="CC65" i="117"/>
  <c r="AB90" i="4" s="1"/>
  <c r="CC66" i="117"/>
  <c r="CC67" i="117"/>
  <c r="CC68" i="117"/>
  <c r="CC69" i="117"/>
  <c r="AB96" i="4" s="1"/>
  <c r="CC70" i="117"/>
  <c r="AB97" i="4" s="1"/>
  <c r="CC71" i="117"/>
  <c r="CC72" i="117"/>
  <c r="AB99" i="4" s="1"/>
  <c r="CC73" i="117"/>
  <c r="AB100" i="4" s="1"/>
  <c r="CC74" i="117"/>
  <c r="AB101" i="4" s="1"/>
  <c r="CC75" i="117"/>
  <c r="AB102" i="4" s="1"/>
  <c r="CC76" i="117"/>
  <c r="AB103" i="4" s="1"/>
  <c r="CC77" i="117"/>
  <c r="AB104" i="4" s="1"/>
  <c r="CC78" i="117"/>
  <c r="AB105" i="4" s="1"/>
  <c r="CC79" i="117"/>
  <c r="AB106" i="4" s="1"/>
  <c r="CC80" i="117"/>
  <c r="CC81" i="117"/>
  <c r="AB108" i="4" s="1"/>
  <c r="CC82" i="117"/>
  <c r="AB109" i="4" s="1"/>
  <c r="CC83" i="117"/>
  <c r="AB113" i="4" s="1"/>
  <c r="CC84" i="117"/>
  <c r="CC85" i="117"/>
  <c r="AB116" i="4" s="1"/>
  <c r="CC86" i="117"/>
  <c r="CC87" i="117"/>
  <c r="AB119" i="4" s="1"/>
  <c r="CC88" i="117"/>
  <c r="AB121" i="4" s="1"/>
  <c r="CC89" i="117"/>
  <c r="AB122" i="4" s="1"/>
  <c r="CC90" i="117"/>
  <c r="AB123" i="4" s="1"/>
  <c r="CC91" i="117"/>
  <c r="AB124" i="4" s="1"/>
  <c r="CC92" i="117"/>
  <c r="CC93" i="117"/>
  <c r="AB126" i="4" s="1"/>
  <c r="CC94" i="117"/>
  <c r="AB127" i="4" s="1"/>
  <c r="CC95" i="117"/>
  <c r="AB128" i="4" s="1"/>
  <c r="CC96" i="117"/>
  <c r="AB129" i="4" s="1"/>
  <c r="CC97" i="117"/>
  <c r="CC98" i="117"/>
  <c r="CC99" i="117"/>
  <c r="CC100" i="117"/>
  <c r="AB134" i="4" s="1"/>
  <c r="CC101" i="117"/>
  <c r="AB135" i="4" s="1"/>
  <c r="CC102" i="117"/>
  <c r="AB136" i="4" s="1"/>
  <c r="CC103" i="117"/>
  <c r="AB137" i="4" s="1"/>
  <c r="CC104" i="117"/>
  <c r="CC105" i="117"/>
  <c r="AB139" i="4" s="1"/>
  <c r="CC106" i="117"/>
  <c r="CC107" i="117"/>
  <c r="AB141" i="4" s="1"/>
  <c r="CC108" i="117"/>
  <c r="CC109" i="117"/>
  <c r="CC110" i="117"/>
  <c r="CC111" i="117"/>
  <c r="AB158" i="4" s="1"/>
  <c r="CC112" i="117"/>
  <c r="CC113" i="117"/>
  <c r="CC114" i="117"/>
  <c r="AB175" i="4" s="1"/>
  <c r="AB174" i="4" s="1"/>
  <c r="CC115" i="117"/>
  <c r="CC116" i="117"/>
  <c r="AB178" i="4" s="1"/>
  <c r="CC117" i="117"/>
  <c r="CC118" i="117"/>
  <c r="AB179" i="4" s="1"/>
  <c r="CC119" i="117"/>
  <c r="CC120" i="117"/>
  <c r="CC121" i="117"/>
  <c r="CC3" i="117"/>
  <c r="AB47" i="35"/>
  <c r="AB37" i="35"/>
  <c r="AB28" i="35"/>
  <c r="AB26" i="35"/>
  <c r="DP4" i="116"/>
  <c r="DQ4" i="116"/>
  <c r="DR4" i="116"/>
  <c r="DP5" i="116"/>
  <c r="DQ5" i="116"/>
  <c r="DR5" i="116"/>
  <c r="DP6" i="116"/>
  <c r="DQ6" i="116"/>
  <c r="DR6" i="116"/>
  <c r="DP7" i="116"/>
  <c r="DQ7" i="116"/>
  <c r="DR7" i="116"/>
  <c r="DP8" i="116"/>
  <c r="DQ8" i="116"/>
  <c r="DR8" i="116"/>
  <c r="DP9" i="116"/>
  <c r="DQ9" i="116"/>
  <c r="DR9" i="116"/>
  <c r="DP10" i="116"/>
  <c r="DQ10" i="116"/>
  <c r="DR10" i="116"/>
  <c r="DP11" i="116"/>
  <c r="DQ11" i="116"/>
  <c r="DR11" i="116"/>
  <c r="DP12" i="116"/>
  <c r="DQ12" i="116"/>
  <c r="DR12" i="116"/>
  <c r="DP13" i="116"/>
  <c r="DQ13" i="116"/>
  <c r="DR13" i="116"/>
  <c r="DP14" i="116"/>
  <c r="DQ14" i="116"/>
  <c r="DR14" i="116"/>
  <c r="DP15" i="116"/>
  <c r="DQ15" i="116"/>
  <c r="DR15" i="116"/>
  <c r="DP16" i="116"/>
  <c r="DQ16" i="116"/>
  <c r="DR16" i="116"/>
  <c r="DP17" i="116"/>
  <c r="DQ17" i="116"/>
  <c r="DR17" i="116"/>
  <c r="DP18" i="116"/>
  <c r="DQ18" i="116"/>
  <c r="DR18" i="116"/>
  <c r="DP19" i="116"/>
  <c r="DQ19" i="116"/>
  <c r="DR19" i="116"/>
  <c r="DP20" i="116"/>
  <c r="DQ20" i="116"/>
  <c r="DR20" i="116"/>
  <c r="DP21" i="116"/>
  <c r="DQ21" i="116"/>
  <c r="DR21" i="116"/>
  <c r="DP22" i="116"/>
  <c r="DQ22" i="116"/>
  <c r="DR22" i="116"/>
  <c r="DP23" i="116"/>
  <c r="DQ23" i="116"/>
  <c r="DR23" i="116"/>
  <c r="DP24" i="116"/>
  <c r="DQ24" i="116"/>
  <c r="DR24" i="116"/>
  <c r="DP25" i="116"/>
  <c r="DQ25" i="116"/>
  <c r="DR25" i="116"/>
  <c r="DP26" i="116"/>
  <c r="DQ26" i="116"/>
  <c r="DR26" i="116"/>
  <c r="DP27" i="116"/>
  <c r="DQ27" i="116"/>
  <c r="DR27" i="116"/>
  <c r="DP28" i="116"/>
  <c r="DQ28" i="116"/>
  <c r="DR28" i="116"/>
  <c r="DP29" i="116"/>
  <c r="DQ29" i="116"/>
  <c r="DR29" i="116"/>
  <c r="DP30" i="116"/>
  <c r="DQ30" i="116"/>
  <c r="DR30" i="116"/>
  <c r="DP31" i="116"/>
  <c r="DQ31" i="116"/>
  <c r="DR31" i="116"/>
  <c r="DP32" i="116"/>
  <c r="DQ32" i="116"/>
  <c r="DR32" i="116"/>
  <c r="DP33" i="116"/>
  <c r="DQ33" i="116"/>
  <c r="DR33" i="116"/>
  <c r="DP34" i="116"/>
  <c r="DQ34" i="116"/>
  <c r="DR34" i="116"/>
  <c r="DP35" i="116"/>
  <c r="DQ35" i="116"/>
  <c r="DR35" i="116"/>
  <c r="DP36" i="116"/>
  <c r="DQ36" i="116"/>
  <c r="DR36" i="116"/>
  <c r="DP37" i="116"/>
  <c r="DQ37" i="116"/>
  <c r="DR37" i="116"/>
  <c r="DP38" i="116"/>
  <c r="DQ38" i="116"/>
  <c r="DR38" i="116"/>
  <c r="DP39" i="116"/>
  <c r="DQ39" i="116"/>
  <c r="DR39" i="116"/>
  <c r="DP40" i="116"/>
  <c r="DQ40" i="116"/>
  <c r="DR40" i="116"/>
  <c r="DP41" i="116"/>
  <c r="DQ41" i="116"/>
  <c r="DR41" i="116"/>
  <c r="DP42" i="116"/>
  <c r="DQ42" i="116"/>
  <c r="DR42" i="116"/>
  <c r="DP43" i="116"/>
  <c r="DQ43" i="116"/>
  <c r="DR43" i="116"/>
  <c r="DP44" i="116"/>
  <c r="DQ44" i="116"/>
  <c r="DR44" i="116"/>
  <c r="DP45" i="116"/>
  <c r="DQ45" i="116"/>
  <c r="DR45" i="116"/>
  <c r="DP46" i="116"/>
  <c r="DQ46" i="116"/>
  <c r="DR46" i="116"/>
  <c r="DP47" i="116"/>
  <c r="DQ47" i="116"/>
  <c r="DR47" i="116"/>
  <c r="DP48" i="116"/>
  <c r="DQ48" i="116"/>
  <c r="DR48" i="116"/>
  <c r="DP49" i="116"/>
  <c r="DQ49" i="116"/>
  <c r="DR49" i="116"/>
  <c r="DP50" i="116"/>
  <c r="DQ50" i="116"/>
  <c r="DR50" i="116"/>
  <c r="DP51" i="116"/>
  <c r="DQ51" i="116"/>
  <c r="DR51" i="116"/>
  <c r="DQ3" i="116"/>
  <c r="DR3" i="116"/>
  <c r="DP3" i="116"/>
  <c r="DC4" i="116"/>
  <c r="DD4" i="116"/>
  <c r="DE4" i="116"/>
  <c r="DC5" i="116"/>
  <c r="DD5" i="116"/>
  <c r="DE5" i="116"/>
  <c r="AB15" i="35" s="1"/>
  <c r="AB14" i="35" s="1"/>
  <c r="DC6" i="116"/>
  <c r="DD6" i="116"/>
  <c r="DE6" i="116"/>
  <c r="DC7" i="116"/>
  <c r="DD7" i="116"/>
  <c r="DE7" i="116"/>
  <c r="DC8" i="116"/>
  <c r="DD8" i="116"/>
  <c r="DE8" i="116"/>
  <c r="DC9" i="116"/>
  <c r="DD9" i="116"/>
  <c r="DE9" i="116"/>
  <c r="DC10" i="116"/>
  <c r="DD10" i="116"/>
  <c r="DE10" i="116"/>
  <c r="AB22" i="35" s="1"/>
  <c r="DC11" i="116"/>
  <c r="DD11" i="116"/>
  <c r="DE11" i="116"/>
  <c r="AB21" i="35" s="1"/>
  <c r="DC12" i="116"/>
  <c r="DD12" i="116"/>
  <c r="DE12" i="116"/>
  <c r="AB23" i="35" s="1"/>
  <c r="DC13" i="116"/>
  <c r="DD13" i="116"/>
  <c r="DE13" i="116"/>
  <c r="DC14" i="116"/>
  <c r="DD14" i="116"/>
  <c r="DE14" i="116"/>
  <c r="DC15" i="116"/>
  <c r="DD15" i="116"/>
  <c r="DE15" i="116"/>
  <c r="DC16" i="116"/>
  <c r="DD16" i="116"/>
  <c r="DE16" i="116"/>
  <c r="DC17" i="116"/>
  <c r="DD17" i="116"/>
  <c r="DE17" i="116"/>
  <c r="DC18" i="116"/>
  <c r="DD18" i="116"/>
  <c r="DE18" i="116"/>
  <c r="AB36" i="35" s="1"/>
  <c r="AB30" i="35" s="1"/>
  <c r="DC19" i="116"/>
  <c r="DD19" i="116"/>
  <c r="DE19" i="116"/>
  <c r="DC20" i="116"/>
  <c r="DD20" i="116"/>
  <c r="DE20" i="116"/>
  <c r="DC21" i="116"/>
  <c r="DD21" i="116"/>
  <c r="DE21" i="116"/>
  <c r="AB43" i="35" s="1"/>
  <c r="AB41" i="35" s="1"/>
  <c r="AB40" i="35" s="1"/>
  <c r="AB39" i="35" s="1"/>
  <c r="DC22" i="116"/>
  <c r="DD22" i="116"/>
  <c r="DE22" i="116"/>
  <c r="DC23" i="116"/>
  <c r="DD23" i="116"/>
  <c r="DE23" i="116"/>
  <c r="DC24" i="116"/>
  <c r="DD24" i="116"/>
  <c r="DE24" i="116"/>
  <c r="DD3" i="116"/>
  <c r="DE3" i="116"/>
  <c r="DC3" i="116"/>
  <c r="AB29" i="37"/>
  <c r="AB27" i="37"/>
  <c r="AB25" i="37"/>
  <c r="AB23" i="37"/>
  <c r="DO4" i="115"/>
  <c r="DP4" i="115"/>
  <c r="DQ4" i="115"/>
  <c r="DO5" i="115"/>
  <c r="DP5" i="115"/>
  <c r="DQ5" i="115"/>
  <c r="DO6" i="115"/>
  <c r="DP6" i="115"/>
  <c r="DQ6" i="115"/>
  <c r="DO7" i="115"/>
  <c r="DP7" i="115"/>
  <c r="DQ7" i="115"/>
  <c r="DO8" i="115"/>
  <c r="DP8" i="115"/>
  <c r="DQ8" i="115"/>
  <c r="DO9" i="115"/>
  <c r="DP9" i="115"/>
  <c r="DQ9" i="115"/>
  <c r="DO10" i="115"/>
  <c r="DP10" i="115"/>
  <c r="DQ10" i="115"/>
  <c r="DO11" i="115"/>
  <c r="DP11" i="115"/>
  <c r="DQ11" i="115"/>
  <c r="DO12" i="115"/>
  <c r="DP12" i="115"/>
  <c r="DQ12" i="115"/>
  <c r="DO13" i="115"/>
  <c r="DP13" i="115"/>
  <c r="DQ13" i="115"/>
  <c r="DO14" i="115"/>
  <c r="DP14" i="115"/>
  <c r="DQ14" i="115"/>
  <c r="DO15" i="115"/>
  <c r="DP15" i="115"/>
  <c r="DQ15" i="115"/>
  <c r="DO16" i="115"/>
  <c r="DP16" i="115"/>
  <c r="DQ16" i="115"/>
  <c r="DO17" i="115"/>
  <c r="DP17" i="115"/>
  <c r="DQ17" i="115"/>
  <c r="DO18" i="115"/>
  <c r="DP18" i="115"/>
  <c r="DQ18" i="115"/>
  <c r="DO19" i="115"/>
  <c r="DP19" i="115"/>
  <c r="DQ19" i="115"/>
  <c r="DO20" i="115"/>
  <c r="DP20" i="115"/>
  <c r="DQ20" i="115"/>
  <c r="DO21" i="115"/>
  <c r="DP21" i="115"/>
  <c r="DQ21" i="115"/>
  <c r="DO22" i="115"/>
  <c r="DP22" i="115"/>
  <c r="DQ22" i="115"/>
  <c r="DO23" i="115"/>
  <c r="DP23" i="115"/>
  <c r="DQ23" i="115"/>
  <c r="DO24" i="115"/>
  <c r="DP24" i="115"/>
  <c r="DQ24" i="115"/>
  <c r="DO25" i="115"/>
  <c r="DP25" i="115"/>
  <c r="DQ25" i="115"/>
  <c r="DO26" i="115"/>
  <c r="DP26" i="115"/>
  <c r="DQ26" i="115"/>
  <c r="DO27" i="115"/>
  <c r="DP27" i="115"/>
  <c r="DQ27" i="115"/>
  <c r="DO28" i="115"/>
  <c r="DP28" i="115"/>
  <c r="DQ28" i="115"/>
  <c r="DO29" i="115"/>
  <c r="DP29" i="115"/>
  <c r="DQ29" i="115"/>
  <c r="DO30" i="115"/>
  <c r="DP30" i="115"/>
  <c r="DQ30" i="115"/>
  <c r="DO31" i="115"/>
  <c r="DP31" i="115"/>
  <c r="DQ31" i="115"/>
  <c r="DO32" i="115"/>
  <c r="DP32" i="115"/>
  <c r="DQ32" i="115"/>
  <c r="DO33" i="115"/>
  <c r="DP33" i="115"/>
  <c r="DQ33" i="115"/>
  <c r="DO34" i="115"/>
  <c r="DP34" i="115"/>
  <c r="DQ34" i="115"/>
  <c r="DO35" i="115"/>
  <c r="DP35" i="115"/>
  <c r="DQ35" i="115"/>
  <c r="DO36" i="115"/>
  <c r="DP36" i="115"/>
  <c r="DQ36" i="115"/>
  <c r="DO37" i="115"/>
  <c r="DP37" i="115"/>
  <c r="DQ37" i="115"/>
  <c r="DO38" i="115"/>
  <c r="DP38" i="115"/>
  <c r="DQ38" i="115"/>
  <c r="DO39" i="115"/>
  <c r="DP39" i="115"/>
  <c r="DQ39" i="115"/>
  <c r="DO40" i="115"/>
  <c r="DP40" i="115"/>
  <c r="DQ40" i="115"/>
  <c r="DO41" i="115"/>
  <c r="DP41" i="115"/>
  <c r="DQ41" i="115"/>
  <c r="DO42" i="115"/>
  <c r="DP42" i="115"/>
  <c r="DQ42" i="115"/>
  <c r="DO43" i="115"/>
  <c r="DP43" i="115"/>
  <c r="DQ43" i="115"/>
  <c r="DO44" i="115"/>
  <c r="DP44" i="115"/>
  <c r="DQ44" i="115"/>
  <c r="DO45" i="115"/>
  <c r="DP45" i="115"/>
  <c r="DQ45" i="115"/>
  <c r="DO46" i="115"/>
  <c r="DP46" i="115"/>
  <c r="DQ46" i="115"/>
  <c r="DO47" i="115"/>
  <c r="DP47" i="115"/>
  <c r="DQ47" i="115"/>
  <c r="DO48" i="115"/>
  <c r="DP48" i="115"/>
  <c r="DQ48" i="115"/>
  <c r="DP3" i="115"/>
  <c r="DQ3" i="115"/>
  <c r="DO3" i="115"/>
  <c r="DB4" i="115"/>
  <c r="DC4" i="115"/>
  <c r="DD4" i="115"/>
  <c r="AB15" i="37" s="1"/>
  <c r="DB5" i="115"/>
  <c r="DC5" i="115"/>
  <c r="DD5" i="115"/>
  <c r="AB21" i="37" s="1"/>
  <c r="DB6" i="115"/>
  <c r="DC6" i="115"/>
  <c r="DD6" i="115"/>
  <c r="AB18" i="37" s="1"/>
  <c r="DB7" i="115"/>
  <c r="DC7" i="115"/>
  <c r="DD7" i="115"/>
  <c r="DB8" i="115"/>
  <c r="DC8" i="115"/>
  <c r="DD8" i="115"/>
  <c r="DB9" i="115"/>
  <c r="DC9" i="115"/>
  <c r="DD9" i="115"/>
  <c r="AB17" i="37" s="1"/>
  <c r="DB10" i="115"/>
  <c r="DC10" i="115"/>
  <c r="DD10" i="115"/>
  <c r="DB11" i="115"/>
  <c r="DC11" i="115"/>
  <c r="DD11" i="115"/>
  <c r="AB51" i="37" s="1"/>
  <c r="DB12" i="115"/>
  <c r="DC12" i="115"/>
  <c r="DD12" i="115"/>
  <c r="AB38" i="37" s="1"/>
  <c r="DB13" i="115"/>
  <c r="DC13" i="115"/>
  <c r="DD13" i="115"/>
  <c r="DB14" i="115"/>
  <c r="DC14" i="115"/>
  <c r="DD14" i="115"/>
  <c r="AB39" i="37" s="1"/>
  <c r="DB15" i="115"/>
  <c r="DC15" i="115"/>
  <c r="DD15" i="115"/>
  <c r="DB16" i="115"/>
  <c r="DC16" i="115"/>
  <c r="DD16" i="115"/>
  <c r="AB40" i="37" s="1"/>
  <c r="DB17" i="115"/>
  <c r="DC17" i="115"/>
  <c r="DD17" i="115"/>
  <c r="AB43" i="37" s="1"/>
  <c r="DB18" i="115"/>
  <c r="DC18" i="115"/>
  <c r="DD18" i="115"/>
  <c r="DB19" i="115"/>
  <c r="DC19" i="115"/>
  <c r="DD19" i="115"/>
  <c r="AB44" i="37" s="1"/>
  <c r="DB20" i="115"/>
  <c r="DC20" i="115"/>
  <c r="DD20" i="115"/>
  <c r="AB45" i="37" s="1"/>
  <c r="DB21" i="115"/>
  <c r="DC21" i="115"/>
  <c r="DD21" i="115"/>
  <c r="AB46" i="37" s="1"/>
  <c r="DB22" i="115"/>
  <c r="DC22" i="115"/>
  <c r="DD22" i="115"/>
  <c r="AB47" i="37" s="1"/>
  <c r="DB23" i="115"/>
  <c r="DC23" i="115"/>
  <c r="DD23" i="115"/>
  <c r="DB24" i="115"/>
  <c r="DC24" i="115"/>
  <c r="DD24" i="115"/>
  <c r="AB48" i="37" s="1"/>
  <c r="DB25" i="115"/>
  <c r="DC25" i="115"/>
  <c r="DD25" i="115"/>
  <c r="DB26" i="115"/>
  <c r="DC26" i="115"/>
  <c r="AB52" i="37"/>
  <c r="DC3" i="115"/>
  <c r="DD3" i="115"/>
  <c r="DB3" i="115"/>
  <c r="CD4" i="114"/>
  <c r="CE4" i="114"/>
  <c r="CF4" i="114"/>
  <c r="CD5" i="114"/>
  <c r="CE5" i="114"/>
  <c r="CF5" i="114"/>
  <c r="CD6" i="114"/>
  <c r="CE6" i="114"/>
  <c r="CF6" i="114"/>
  <c r="CE7" i="114"/>
  <c r="CF7" i="114"/>
  <c r="CE3" i="114"/>
  <c r="CF3" i="114"/>
  <c r="CD3" i="114"/>
  <c r="AB58" i="54"/>
  <c r="AB35" i="54"/>
  <c r="AB10" i="54"/>
  <c r="BR4" i="114"/>
  <c r="BS4" i="114"/>
  <c r="BT4" i="114"/>
  <c r="AB33" i="54" s="1"/>
  <c r="AB32" i="54" s="1"/>
  <c r="BR5" i="114"/>
  <c r="BS5" i="114"/>
  <c r="BT5" i="114"/>
  <c r="BS3" i="114"/>
  <c r="BT3" i="114"/>
  <c r="BR3" i="114"/>
  <c r="N196" i="39" l="1"/>
  <c r="N195" i="39" s="1"/>
  <c r="AB37" i="37"/>
  <c r="AB42" i="37"/>
  <c r="CC122" i="117"/>
  <c r="AB34" i="54"/>
  <c r="AB9" i="54" s="1"/>
  <c r="AB177" i="4"/>
  <c r="AB169" i="4" s="1"/>
  <c r="AB161" i="4" s="1"/>
  <c r="AB154" i="4" s="1"/>
  <c r="AB147" i="4" s="1"/>
  <c r="AB146" i="4" s="1"/>
  <c r="AB138" i="4" s="1"/>
  <c r="AB133" i="4" s="1"/>
  <c r="AB125" i="4" s="1"/>
  <c r="AB118" i="4" s="1"/>
  <c r="AB115" i="4" s="1"/>
  <c r="AB107" i="4" s="1"/>
  <c r="AB98" i="4" s="1"/>
  <c r="AB85" i="4" s="1"/>
  <c r="AB79" i="4" s="1"/>
  <c r="L14" i="35"/>
  <c r="N14" i="35" s="1"/>
  <c r="AB20" i="35"/>
  <c r="AB13" i="35" s="1"/>
  <c r="AB10" i="35" s="1"/>
  <c r="AB9" i="35" s="1"/>
  <c r="DQ49" i="115"/>
  <c r="AB16" i="37"/>
  <c r="AB14" i="37" s="1"/>
  <c r="AB12" i="37" s="1"/>
  <c r="O196" i="39" l="1"/>
  <c r="AB36" i="37"/>
  <c r="M14" i="35"/>
  <c r="AB78" i="4"/>
  <c r="AB73" i="4" s="1"/>
  <c r="AB72" i="4" s="1"/>
  <c r="AB68" i="4" s="1"/>
  <c r="AB63" i="4" s="1"/>
  <c r="AB59" i="4" s="1"/>
  <c r="AB56" i="4" s="1"/>
  <c r="AB42" i="4" s="1"/>
  <c r="AB41" i="4" s="1"/>
  <c r="AB37" i="4" s="1"/>
  <c r="AB32" i="4" s="1"/>
  <c r="AB28" i="4" s="1"/>
  <c r="AB25" i="4" s="1"/>
  <c r="AB12" i="4" s="1"/>
  <c r="AB11" i="4" s="1"/>
  <c r="AB10" i="4" l="1"/>
  <c r="AB9" i="4" l="1"/>
  <c r="L10" i="54"/>
  <c r="O62" i="54"/>
  <c r="O63" i="54"/>
  <c r="O64" i="54"/>
  <c r="O65" i="54"/>
  <c r="O66" i="54"/>
  <c r="O67" i="54"/>
  <c r="O68" i="54"/>
  <c r="O69" i="54"/>
  <c r="O61" i="54"/>
  <c r="M61" i="54"/>
  <c r="M62" i="54"/>
  <c r="M63" i="54"/>
  <c r="M64" i="54"/>
  <c r="M65" i="54"/>
  <c r="M66" i="54"/>
  <c r="M67" i="54"/>
  <c r="M68" i="54"/>
  <c r="M69" i="54"/>
  <c r="M37" i="54"/>
  <c r="M38" i="54"/>
  <c r="M39" i="54"/>
  <c r="M40" i="54"/>
  <c r="M41" i="54"/>
  <c r="M42" i="54"/>
  <c r="M43" i="54"/>
  <c r="M44" i="54"/>
  <c r="M45" i="54"/>
  <c r="M46" i="54"/>
  <c r="M47" i="54"/>
  <c r="M48" i="54"/>
  <c r="M49" i="54"/>
  <c r="M50" i="54"/>
  <c r="M51" i="54"/>
  <c r="M52" i="54"/>
  <c r="M54" i="54"/>
  <c r="M55" i="54"/>
  <c r="M56" i="54"/>
  <c r="M36" i="54"/>
  <c r="O37" i="54"/>
  <c r="O38" i="54"/>
  <c r="O39" i="54"/>
  <c r="O40" i="54"/>
  <c r="O41" i="54"/>
  <c r="O42" i="54"/>
  <c r="O43" i="54"/>
  <c r="O44" i="54"/>
  <c r="O45" i="54"/>
  <c r="O46" i="54"/>
  <c r="O47" i="54"/>
  <c r="O48" i="54"/>
  <c r="O49" i="54"/>
  <c r="O50" i="54"/>
  <c r="O51" i="54"/>
  <c r="O52" i="54"/>
  <c r="O54" i="54"/>
  <c r="O55" i="54"/>
  <c r="O56" i="54"/>
  <c r="O36" i="54"/>
  <c r="O12" i="54"/>
  <c r="M12" i="54"/>
  <c r="F228" i="39" l="1"/>
  <c r="F80" i="39"/>
  <c r="M220" i="39"/>
  <c r="O227" i="39"/>
  <c r="AA35" i="54" l="1"/>
  <c r="AA34" i="54" s="1"/>
  <c r="AR4" i="114"/>
  <c r="AA33" i="54" s="1"/>
  <c r="AA32" i="54" s="1"/>
  <c r="AR3" i="114"/>
  <c r="BE4" i="114"/>
  <c r="BF4" i="114"/>
  <c r="BG4" i="114"/>
  <c r="BE5" i="114"/>
  <c r="BF5" i="114"/>
  <c r="BG5" i="114"/>
  <c r="BE6" i="114"/>
  <c r="M59" i="54" s="1"/>
  <c r="BF6" i="114"/>
  <c r="BG6" i="114"/>
  <c r="BE7" i="114"/>
  <c r="M60" i="54" s="1"/>
  <c r="BF7" i="114"/>
  <c r="BG7" i="114"/>
  <c r="BF3" i="114"/>
  <c r="BG3" i="114"/>
  <c r="BE3" i="114"/>
  <c r="AQ4" i="114"/>
  <c r="AS4" i="114"/>
  <c r="AS3" i="114"/>
  <c r="AQ3" i="114"/>
  <c r="AA23" i="37"/>
  <c r="CO4" i="115"/>
  <c r="CP4" i="115"/>
  <c r="CQ4" i="115"/>
  <c r="CO5" i="115"/>
  <c r="CP5" i="115"/>
  <c r="CQ5" i="115"/>
  <c r="CO6" i="115"/>
  <c r="CP6" i="115"/>
  <c r="CQ6" i="115"/>
  <c r="CO7" i="115"/>
  <c r="CP7" i="115"/>
  <c r="CQ7" i="115"/>
  <c r="CO8" i="115"/>
  <c r="CP8" i="115"/>
  <c r="CQ8" i="115"/>
  <c r="CO9" i="115"/>
  <c r="CP9" i="115"/>
  <c r="CQ9" i="115"/>
  <c r="CO10" i="115"/>
  <c r="CP10" i="115"/>
  <c r="CQ10" i="115"/>
  <c r="CO11" i="115"/>
  <c r="CP11" i="115"/>
  <c r="CQ11" i="115"/>
  <c r="CO12" i="115"/>
  <c r="CP12" i="115"/>
  <c r="CQ12" i="115"/>
  <c r="CO13" i="115"/>
  <c r="CP13" i="115"/>
  <c r="CQ13" i="115"/>
  <c r="CO14" i="115"/>
  <c r="CP14" i="115"/>
  <c r="CQ14" i="115"/>
  <c r="CO15" i="115"/>
  <c r="CP15" i="115"/>
  <c r="CQ15" i="115"/>
  <c r="CO16" i="115"/>
  <c r="CP16" i="115"/>
  <c r="CQ16" i="115"/>
  <c r="CO17" i="115"/>
  <c r="CP17" i="115"/>
  <c r="CQ17" i="115"/>
  <c r="CO18" i="115"/>
  <c r="CP18" i="115"/>
  <c r="CQ18" i="115"/>
  <c r="CO19" i="115"/>
  <c r="CP19" i="115"/>
  <c r="CQ19" i="115"/>
  <c r="CO20" i="115"/>
  <c r="CP20" i="115"/>
  <c r="CQ20" i="115"/>
  <c r="CO21" i="115"/>
  <c r="CP21" i="115"/>
  <c r="CQ21" i="115"/>
  <c r="CO22" i="115"/>
  <c r="CP22" i="115"/>
  <c r="CQ22" i="115"/>
  <c r="CO23" i="115"/>
  <c r="CP23" i="115"/>
  <c r="CQ23" i="115"/>
  <c r="CO24" i="115"/>
  <c r="CP24" i="115"/>
  <c r="CQ24" i="115"/>
  <c r="CO25" i="115"/>
  <c r="CP25" i="115"/>
  <c r="CQ25" i="115"/>
  <c r="CO26" i="115"/>
  <c r="CP26" i="115"/>
  <c r="CQ26" i="115"/>
  <c r="CO27" i="115"/>
  <c r="CP27" i="115"/>
  <c r="CQ27" i="115"/>
  <c r="CO28" i="115"/>
  <c r="CP28" i="115"/>
  <c r="CQ28" i="115"/>
  <c r="CO29" i="115"/>
  <c r="CP29" i="115"/>
  <c r="CQ29" i="115"/>
  <c r="CO30" i="115"/>
  <c r="CP30" i="115"/>
  <c r="CQ30" i="115"/>
  <c r="CO31" i="115"/>
  <c r="CP31" i="115"/>
  <c r="CQ31" i="115"/>
  <c r="CO32" i="115"/>
  <c r="CP32" i="115"/>
  <c r="CQ32" i="115"/>
  <c r="CO33" i="115"/>
  <c r="CP33" i="115"/>
  <c r="CQ33" i="115"/>
  <c r="CO34" i="115"/>
  <c r="CP34" i="115"/>
  <c r="CQ34" i="115"/>
  <c r="CO35" i="115"/>
  <c r="CP35" i="115"/>
  <c r="CQ35" i="115"/>
  <c r="CO36" i="115"/>
  <c r="CP36" i="115"/>
  <c r="CQ36" i="115"/>
  <c r="CO37" i="115"/>
  <c r="CP37" i="115"/>
  <c r="CQ37" i="115"/>
  <c r="CO38" i="115"/>
  <c r="CP38" i="115"/>
  <c r="CQ38" i="115"/>
  <c r="CO39" i="115"/>
  <c r="CP39" i="115"/>
  <c r="CQ39" i="115"/>
  <c r="CO40" i="115"/>
  <c r="CP40" i="115"/>
  <c r="CQ40" i="115"/>
  <c r="CO41" i="115"/>
  <c r="CP41" i="115"/>
  <c r="CQ41" i="115"/>
  <c r="CO42" i="115"/>
  <c r="CP42" i="115"/>
  <c r="CQ42" i="115"/>
  <c r="CO43" i="115"/>
  <c r="CP43" i="115"/>
  <c r="CQ43" i="115"/>
  <c r="CO44" i="115"/>
  <c r="CP44" i="115"/>
  <c r="CQ44" i="115"/>
  <c r="CO45" i="115"/>
  <c r="CP45" i="115"/>
  <c r="CQ45" i="115"/>
  <c r="CO46" i="115"/>
  <c r="CP46" i="115"/>
  <c r="CQ46" i="115"/>
  <c r="CO47" i="115"/>
  <c r="CP47" i="115"/>
  <c r="CQ47" i="115"/>
  <c r="CO48" i="115"/>
  <c r="CP48" i="115"/>
  <c r="CQ48" i="115"/>
  <c r="CO49" i="115"/>
  <c r="CP49" i="115"/>
  <c r="CQ49" i="115"/>
  <c r="CP3" i="115"/>
  <c r="CQ3" i="115"/>
  <c r="CO3" i="115"/>
  <c r="CB4" i="115"/>
  <c r="CC4" i="115"/>
  <c r="CD4" i="115"/>
  <c r="CB5" i="115"/>
  <c r="CC5" i="115"/>
  <c r="CD5" i="115"/>
  <c r="AA15" i="37" s="1"/>
  <c r="CB6" i="115"/>
  <c r="CC6" i="115"/>
  <c r="CD6" i="115"/>
  <c r="CB7" i="115"/>
  <c r="CC7" i="115"/>
  <c r="CD7" i="115"/>
  <c r="AA17" i="37" s="1"/>
  <c r="CB8" i="115"/>
  <c r="CC8" i="115"/>
  <c r="CD8" i="115"/>
  <c r="AA18" i="37" s="1"/>
  <c r="CB9" i="115"/>
  <c r="CC9" i="115"/>
  <c r="CD9" i="115"/>
  <c r="CB10" i="115"/>
  <c r="CC10" i="115"/>
  <c r="CD10" i="115"/>
  <c r="AA51" i="37" s="1"/>
  <c r="CB11" i="115"/>
  <c r="CC11" i="115"/>
  <c r="CD11" i="115"/>
  <c r="AA38" i="37" s="1"/>
  <c r="CB12" i="115"/>
  <c r="CC12" i="115"/>
  <c r="CD12" i="115"/>
  <c r="AA39" i="37" s="1"/>
  <c r="CB13" i="115"/>
  <c r="CC13" i="115"/>
  <c r="CD13" i="115"/>
  <c r="AA40" i="37" s="1"/>
  <c r="CB14" i="115"/>
  <c r="CC14" i="115"/>
  <c r="CD14" i="115"/>
  <c r="AA43" i="37" s="1"/>
  <c r="CB15" i="115"/>
  <c r="CC15" i="115"/>
  <c r="CD15" i="115"/>
  <c r="AA45" i="37" s="1"/>
  <c r="CB16" i="115"/>
  <c r="CC16" i="115"/>
  <c r="CD16" i="115"/>
  <c r="AA47" i="37" s="1"/>
  <c r="CB17" i="115"/>
  <c r="CC17" i="115"/>
  <c r="CD17" i="115"/>
  <c r="AA48" i="37" s="1"/>
  <c r="CC3" i="115"/>
  <c r="CD3" i="115"/>
  <c r="CB3" i="115"/>
  <c r="AA42" i="37" l="1"/>
  <c r="AA37" i="37"/>
  <c r="L32" i="54"/>
  <c r="AA9" i="54"/>
  <c r="AA16" i="37"/>
  <c r="AA14" i="37" s="1"/>
  <c r="AA12" i="37" s="1"/>
  <c r="CP4" i="116"/>
  <c r="CQ4" i="116"/>
  <c r="CR4" i="116"/>
  <c r="AA21" i="35" s="1"/>
  <c r="CP5" i="116"/>
  <c r="CQ5" i="116"/>
  <c r="CR5" i="116"/>
  <c r="CP6" i="116"/>
  <c r="CQ6" i="116"/>
  <c r="CR6" i="116"/>
  <c r="AA23" i="35" s="1"/>
  <c r="CP7" i="116"/>
  <c r="CQ7" i="116"/>
  <c r="CR7" i="116"/>
  <c r="AA25" i="35" s="1"/>
  <c r="CP8" i="116"/>
  <c r="CQ8" i="116"/>
  <c r="CR8" i="116"/>
  <c r="CP9" i="116"/>
  <c r="CQ9" i="116"/>
  <c r="CR9" i="116"/>
  <c r="AA27" i="35" s="1"/>
  <c r="CP10" i="116"/>
  <c r="CQ10" i="116"/>
  <c r="CR10" i="116"/>
  <c r="CP11" i="116"/>
  <c r="CQ11" i="116"/>
  <c r="CR11" i="116"/>
  <c r="CP12" i="116"/>
  <c r="CQ12" i="116"/>
  <c r="CR12" i="116"/>
  <c r="CP13" i="116"/>
  <c r="CQ13" i="116"/>
  <c r="CR13" i="116"/>
  <c r="CP14" i="116"/>
  <c r="CQ14" i="116"/>
  <c r="CR14" i="116"/>
  <c r="CP15" i="116"/>
  <c r="CQ15" i="116"/>
  <c r="CR15" i="116"/>
  <c r="AA43" i="35" s="1"/>
  <c r="CP16" i="116"/>
  <c r="CQ16" i="116"/>
  <c r="CR16" i="116"/>
  <c r="AA45" i="35" s="1"/>
  <c r="CQ3" i="116"/>
  <c r="CR3" i="116"/>
  <c r="AA15" i="35" s="1"/>
  <c r="CP3" i="116"/>
  <c r="CB4" i="116"/>
  <c r="CC4" i="116"/>
  <c r="CD4" i="116"/>
  <c r="CB5" i="116"/>
  <c r="CC5" i="116"/>
  <c r="CD5" i="116"/>
  <c r="CB6" i="116"/>
  <c r="CC6" i="116"/>
  <c r="CD6" i="116"/>
  <c r="CB7" i="116"/>
  <c r="CC7" i="116"/>
  <c r="CD7" i="116"/>
  <c r="CB8" i="116"/>
  <c r="CC8" i="116"/>
  <c r="CD8" i="116"/>
  <c r="CB9" i="116"/>
  <c r="CC9" i="116"/>
  <c r="CD9" i="116"/>
  <c r="CB10" i="116"/>
  <c r="CC10" i="116"/>
  <c r="CD10" i="116"/>
  <c r="CB11" i="116"/>
  <c r="CC11" i="116"/>
  <c r="CD11" i="116"/>
  <c r="CB12" i="116"/>
  <c r="CC12" i="116"/>
  <c r="CD12" i="116"/>
  <c r="CB13" i="116"/>
  <c r="CC13" i="116"/>
  <c r="CD13" i="116"/>
  <c r="CB14" i="116"/>
  <c r="CC14" i="116"/>
  <c r="CD14" i="116"/>
  <c r="CB15" i="116"/>
  <c r="CC15" i="116"/>
  <c r="CD15" i="116"/>
  <c r="CB16" i="116"/>
  <c r="CC16" i="116"/>
  <c r="CD16" i="116"/>
  <c r="CB17" i="116"/>
  <c r="CC17" i="116"/>
  <c r="CD17" i="116"/>
  <c r="CB18" i="116"/>
  <c r="CC18" i="116"/>
  <c r="CD18" i="116"/>
  <c r="CB19" i="116"/>
  <c r="CC19" i="116"/>
  <c r="CD19" i="116"/>
  <c r="CB20" i="116"/>
  <c r="CC20" i="116"/>
  <c r="CD20" i="116"/>
  <c r="CB21" i="116"/>
  <c r="CC21" i="116"/>
  <c r="CD21" i="116"/>
  <c r="CB22" i="116"/>
  <c r="CC22" i="116"/>
  <c r="CD22" i="116"/>
  <c r="CB23" i="116"/>
  <c r="CC23" i="116"/>
  <c r="CD23" i="116"/>
  <c r="CB24" i="116"/>
  <c r="CC24" i="116"/>
  <c r="CD24" i="116"/>
  <c r="CB25" i="116"/>
  <c r="CC25" i="116"/>
  <c r="CD25" i="116"/>
  <c r="CB26" i="116"/>
  <c r="CC26" i="116"/>
  <c r="CD26" i="116"/>
  <c r="CB27" i="116"/>
  <c r="CC27" i="116"/>
  <c r="CD27" i="116"/>
  <c r="CB28" i="116"/>
  <c r="CC28" i="116"/>
  <c r="CD28" i="116"/>
  <c r="CB29" i="116"/>
  <c r="CC29" i="116"/>
  <c r="CD29" i="116"/>
  <c r="CB30" i="116"/>
  <c r="CC30" i="116"/>
  <c r="CD30" i="116"/>
  <c r="CB31" i="116"/>
  <c r="CC31" i="116"/>
  <c r="CD31" i="116"/>
  <c r="CB32" i="116"/>
  <c r="CC32" i="116"/>
  <c r="CD32" i="116"/>
  <c r="CB33" i="116"/>
  <c r="CC33" i="116"/>
  <c r="CD33" i="116"/>
  <c r="CB34" i="116"/>
  <c r="CC34" i="116"/>
  <c r="CD34" i="116"/>
  <c r="CB35" i="116"/>
  <c r="CC35" i="116"/>
  <c r="CD35" i="116"/>
  <c r="CB36" i="116"/>
  <c r="CC36" i="116"/>
  <c r="CD36" i="116"/>
  <c r="CB37" i="116"/>
  <c r="CC37" i="116"/>
  <c r="CD37" i="116"/>
  <c r="CB38" i="116"/>
  <c r="CC38" i="116"/>
  <c r="CD38" i="116"/>
  <c r="CB39" i="116"/>
  <c r="CC39" i="116"/>
  <c r="CD39" i="116"/>
  <c r="CB40" i="116"/>
  <c r="CC40" i="116"/>
  <c r="CD40" i="116"/>
  <c r="CB41" i="116"/>
  <c r="CC41" i="116"/>
  <c r="CD41" i="116"/>
  <c r="CB42" i="116"/>
  <c r="CC42" i="116"/>
  <c r="CD42" i="116"/>
  <c r="CB43" i="116"/>
  <c r="CC43" i="116"/>
  <c r="CD43" i="116"/>
  <c r="CB44" i="116"/>
  <c r="CC44" i="116"/>
  <c r="CD44" i="116"/>
  <c r="CB45" i="116"/>
  <c r="CC45" i="116"/>
  <c r="CD45" i="116"/>
  <c r="CB46" i="116"/>
  <c r="CC46" i="116"/>
  <c r="CD46" i="116"/>
  <c r="CB47" i="116"/>
  <c r="CC47" i="116"/>
  <c r="CD47" i="116"/>
  <c r="CB48" i="116"/>
  <c r="CC48" i="116"/>
  <c r="CD48" i="116"/>
  <c r="CC3" i="116"/>
  <c r="CD3" i="116"/>
  <c r="CB3" i="116"/>
  <c r="AA36" i="37" l="1"/>
  <c r="N16" i="37"/>
  <c r="M16" i="37"/>
  <c r="M14" i="37"/>
  <c r="M44" i="35"/>
  <c r="AA30" i="35"/>
  <c r="AA28" i="35"/>
  <c r="AA41" i="35"/>
  <c r="AA40" i="35" s="1"/>
  <c r="AA39" i="35" s="1"/>
  <c r="AA26" i="35"/>
  <c r="AA20" i="35"/>
  <c r="AA14" i="35"/>
  <c r="O16" i="37" l="1"/>
  <c r="N183" i="39"/>
  <c r="N12" i="37"/>
  <c r="O12" i="37" s="1"/>
  <c r="N14" i="37"/>
  <c r="O14" i="37" s="1"/>
  <c r="L289" i="39"/>
  <c r="AA13" i="35"/>
  <c r="AA172" i="4"/>
  <c r="AA10" i="35" l="1"/>
  <c r="AA9" i="35" s="1"/>
  <c r="BW3" i="117"/>
  <c r="BT4" i="117"/>
  <c r="BU4" i="117"/>
  <c r="BV4" i="117"/>
  <c r="BW4" i="117"/>
  <c r="BT5" i="117"/>
  <c r="BU5" i="117"/>
  <c r="BV5" i="117"/>
  <c r="BW5" i="117"/>
  <c r="BT6" i="117"/>
  <c r="BU6" i="117"/>
  <c r="BV6" i="117"/>
  <c r="BW6" i="117"/>
  <c r="BT7" i="117"/>
  <c r="BU7" i="117"/>
  <c r="BV7" i="117"/>
  <c r="BW7" i="117"/>
  <c r="BT8" i="117"/>
  <c r="BU8" i="117"/>
  <c r="BV8" i="117"/>
  <c r="BW8" i="117"/>
  <c r="BT9" i="117"/>
  <c r="BU9" i="117"/>
  <c r="BV9" i="117"/>
  <c r="BW9" i="117"/>
  <c r="BT10" i="117"/>
  <c r="BU10" i="117"/>
  <c r="BV10" i="117"/>
  <c r="BW10" i="117"/>
  <c r="BT11" i="117"/>
  <c r="BU11" i="117"/>
  <c r="BV11" i="117"/>
  <c r="BW11" i="117"/>
  <c r="BT12" i="117"/>
  <c r="BU12" i="117"/>
  <c r="BV12" i="117"/>
  <c r="BW12" i="117"/>
  <c r="BT13" i="117"/>
  <c r="BU13" i="117"/>
  <c r="BV13" i="117"/>
  <c r="BW13" i="117"/>
  <c r="BT14" i="117"/>
  <c r="BU14" i="117"/>
  <c r="BV14" i="117"/>
  <c r="BW14" i="117"/>
  <c r="BT15" i="117"/>
  <c r="BU15" i="117"/>
  <c r="BV15" i="117"/>
  <c r="BW15" i="117"/>
  <c r="BT16" i="117"/>
  <c r="BU16" i="117"/>
  <c r="BV16" i="117"/>
  <c r="BW16" i="117"/>
  <c r="BT17" i="117"/>
  <c r="BU17" i="117"/>
  <c r="BV17" i="117"/>
  <c r="BW17" i="117"/>
  <c r="BT18" i="117"/>
  <c r="BU18" i="117"/>
  <c r="BV18" i="117"/>
  <c r="BW18" i="117"/>
  <c r="BT19" i="117"/>
  <c r="BU19" i="117"/>
  <c r="BV19" i="117"/>
  <c r="BW19" i="117"/>
  <c r="BT20" i="117"/>
  <c r="BU20" i="117"/>
  <c r="BV20" i="117"/>
  <c r="BW20" i="117"/>
  <c r="BT21" i="117"/>
  <c r="BU21" i="117"/>
  <c r="BV21" i="117"/>
  <c r="BW21" i="117"/>
  <c r="BT22" i="117"/>
  <c r="BU22" i="117"/>
  <c r="BV22" i="117"/>
  <c r="BW22" i="117"/>
  <c r="BT23" i="117"/>
  <c r="BU23" i="117"/>
  <c r="BV23" i="117"/>
  <c r="BW23" i="117"/>
  <c r="BT24" i="117"/>
  <c r="BU24" i="117"/>
  <c r="BV24" i="117"/>
  <c r="BW24" i="117"/>
  <c r="BT25" i="117"/>
  <c r="BU25" i="117"/>
  <c r="BV25" i="117"/>
  <c r="BW25" i="117"/>
  <c r="BT26" i="117"/>
  <c r="BU26" i="117"/>
  <c r="BV26" i="117"/>
  <c r="BW26" i="117"/>
  <c r="BT27" i="117"/>
  <c r="BU27" i="117"/>
  <c r="BV27" i="117"/>
  <c r="BW27" i="117"/>
  <c r="BT28" i="117"/>
  <c r="BU28" i="117"/>
  <c r="BV28" i="117"/>
  <c r="BW28" i="117"/>
  <c r="BT29" i="117"/>
  <c r="BU29" i="117"/>
  <c r="BV29" i="117"/>
  <c r="BW29" i="117"/>
  <c r="BT30" i="117"/>
  <c r="BU30" i="117"/>
  <c r="BV30" i="117"/>
  <c r="BW30" i="117"/>
  <c r="BT31" i="117"/>
  <c r="BU31" i="117"/>
  <c r="BV31" i="117"/>
  <c r="BW31" i="117"/>
  <c r="BT32" i="117"/>
  <c r="BU32" i="117"/>
  <c r="BV32" i="117"/>
  <c r="BW32" i="117"/>
  <c r="BT33" i="117"/>
  <c r="BU33" i="117"/>
  <c r="BV33" i="117"/>
  <c r="BW33" i="117"/>
  <c r="BT34" i="117"/>
  <c r="BU34" i="117"/>
  <c r="BV34" i="117"/>
  <c r="BW34" i="117"/>
  <c r="BT35" i="117"/>
  <c r="BU35" i="117"/>
  <c r="BV35" i="117"/>
  <c r="BW35" i="117"/>
  <c r="BT36" i="117"/>
  <c r="BU36" i="117"/>
  <c r="BV36" i="117"/>
  <c r="BW36" i="117"/>
  <c r="BT37" i="117"/>
  <c r="BU37" i="117"/>
  <c r="BV37" i="117"/>
  <c r="BW37" i="117"/>
  <c r="BT38" i="117"/>
  <c r="BU38" i="117"/>
  <c r="BV38" i="117"/>
  <c r="BW38" i="117"/>
  <c r="BT39" i="117"/>
  <c r="BU39" i="117"/>
  <c r="BV39" i="117"/>
  <c r="BW39" i="117"/>
  <c r="BT40" i="117"/>
  <c r="BU40" i="117"/>
  <c r="BV40" i="117"/>
  <c r="BW40" i="117"/>
  <c r="BT41" i="117"/>
  <c r="BU41" i="117"/>
  <c r="BV41" i="117"/>
  <c r="BW41" i="117"/>
  <c r="BT42" i="117"/>
  <c r="BU42" i="117"/>
  <c r="BV42" i="117"/>
  <c r="BW42" i="117"/>
  <c r="BT43" i="117"/>
  <c r="BU43" i="117"/>
  <c r="BV43" i="117"/>
  <c r="BW43" i="117"/>
  <c r="BT44" i="117"/>
  <c r="BU44" i="117"/>
  <c r="BV44" i="117"/>
  <c r="BW44" i="117"/>
  <c r="BT45" i="117"/>
  <c r="BU45" i="117"/>
  <c r="BV45" i="117"/>
  <c r="BW45" i="117"/>
  <c r="BT46" i="117"/>
  <c r="BU46" i="117"/>
  <c r="BV46" i="117"/>
  <c r="BW46" i="117"/>
  <c r="BT47" i="117"/>
  <c r="BU47" i="117"/>
  <c r="BV47" i="117"/>
  <c r="BW47" i="117"/>
  <c r="BT48" i="117"/>
  <c r="BU48" i="117"/>
  <c r="BV48" i="117"/>
  <c r="BW48" i="117"/>
  <c r="BT49" i="117"/>
  <c r="BU49" i="117"/>
  <c r="BV49" i="117"/>
  <c r="BW49" i="117"/>
  <c r="BT50" i="117"/>
  <c r="BU50" i="117"/>
  <c r="BV50" i="117"/>
  <c r="BW50" i="117"/>
  <c r="BT51" i="117"/>
  <c r="BU51" i="117"/>
  <c r="BV51" i="117"/>
  <c r="BW51" i="117"/>
  <c r="BT52" i="117"/>
  <c r="BU52" i="117"/>
  <c r="BV52" i="117"/>
  <c r="BW52" i="117"/>
  <c r="BT53" i="117"/>
  <c r="BU53" i="117"/>
  <c r="BV53" i="117"/>
  <c r="BW53" i="117"/>
  <c r="BT54" i="117"/>
  <c r="BU54" i="117"/>
  <c r="BV54" i="117"/>
  <c r="BW54" i="117"/>
  <c r="BT55" i="117"/>
  <c r="BU55" i="117"/>
  <c r="BV55" i="117"/>
  <c r="BW55" i="117"/>
  <c r="BT56" i="117"/>
  <c r="BU56" i="117"/>
  <c r="BV56" i="117"/>
  <c r="BW56" i="117"/>
  <c r="BT57" i="117"/>
  <c r="BU57" i="117"/>
  <c r="BV57" i="117"/>
  <c r="BW57" i="117"/>
  <c r="BT58" i="117"/>
  <c r="BU58" i="117"/>
  <c r="BV58" i="117"/>
  <c r="BW58" i="117"/>
  <c r="BT59" i="117"/>
  <c r="BU59" i="117"/>
  <c r="BV59" i="117"/>
  <c r="BW59" i="117"/>
  <c r="BT60" i="117"/>
  <c r="BU60" i="117"/>
  <c r="BV60" i="117"/>
  <c r="BW60" i="117"/>
  <c r="BT61" i="117"/>
  <c r="BU61" i="117"/>
  <c r="BV61" i="117"/>
  <c r="BW61" i="117"/>
  <c r="BT62" i="117"/>
  <c r="BU62" i="117"/>
  <c r="BV62" i="117"/>
  <c r="BW62" i="117"/>
  <c r="BT63" i="117"/>
  <c r="BU63" i="117"/>
  <c r="BV63" i="117"/>
  <c r="BW63" i="117"/>
  <c r="BT64" i="117"/>
  <c r="BU64" i="117"/>
  <c r="BV64" i="117"/>
  <c r="BW64" i="117"/>
  <c r="BT65" i="117"/>
  <c r="BU65" i="117"/>
  <c r="BV65" i="117"/>
  <c r="BW65" i="117"/>
  <c r="BT66" i="117"/>
  <c r="BU66" i="117"/>
  <c r="BV66" i="117"/>
  <c r="BW66" i="117"/>
  <c r="BT67" i="117"/>
  <c r="BU67" i="117"/>
  <c r="BV67" i="117"/>
  <c r="BW67" i="117"/>
  <c r="BT68" i="117"/>
  <c r="BU68" i="117"/>
  <c r="BV68" i="117"/>
  <c r="BW68" i="117"/>
  <c r="BT69" i="117"/>
  <c r="BU69" i="117"/>
  <c r="BV69" i="117"/>
  <c r="BW69" i="117"/>
  <c r="BT70" i="117"/>
  <c r="BU70" i="117"/>
  <c r="BV70" i="117"/>
  <c r="BW70" i="117"/>
  <c r="BT71" i="117"/>
  <c r="BU71" i="117"/>
  <c r="BV71" i="117"/>
  <c r="BW71" i="117"/>
  <c r="BT72" i="117"/>
  <c r="BU72" i="117"/>
  <c r="BV72" i="117"/>
  <c r="BW72" i="117"/>
  <c r="BT73" i="117"/>
  <c r="BU73" i="117"/>
  <c r="BV73" i="117"/>
  <c r="BW73" i="117"/>
  <c r="BT74" i="117"/>
  <c r="BU74" i="117"/>
  <c r="BV74" i="117"/>
  <c r="BW74" i="117"/>
  <c r="BT75" i="117"/>
  <c r="BU75" i="117"/>
  <c r="BV75" i="117"/>
  <c r="BW75" i="117"/>
  <c r="BT76" i="117"/>
  <c r="BU76" i="117"/>
  <c r="BV76" i="117"/>
  <c r="BW76" i="117"/>
  <c r="BT77" i="117"/>
  <c r="BU77" i="117"/>
  <c r="BV77" i="117"/>
  <c r="BW77" i="117"/>
  <c r="BT78" i="117"/>
  <c r="BU78" i="117"/>
  <c r="BV78" i="117"/>
  <c r="BW78" i="117"/>
  <c r="BT79" i="117"/>
  <c r="BU79" i="117"/>
  <c r="BV79" i="117"/>
  <c r="BW79" i="117"/>
  <c r="BT80" i="117"/>
  <c r="BU80" i="117"/>
  <c r="BV80" i="117"/>
  <c r="BW80" i="117"/>
  <c r="BT81" i="117"/>
  <c r="BU81" i="117"/>
  <c r="BV81" i="117"/>
  <c r="BW81" i="117"/>
  <c r="BT82" i="117"/>
  <c r="BU82" i="117"/>
  <c r="BV82" i="117"/>
  <c r="BW82" i="117"/>
  <c r="BT83" i="117"/>
  <c r="BU83" i="117"/>
  <c r="BV83" i="117"/>
  <c r="BW83" i="117"/>
  <c r="BT84" i="117"/>
  <c r="BU84" i="117"/>
  <c r="BV84" i="117"/>
  <c r="BW84" i="117"/>
  <c r="BT85" i="117"/>
  <c r="BU85" i="117"/>
  <c r="BV85" i="117"/>
  <c r="BW85" i="117"/>
  <c r="BT86" i="117"/>
  <c r="BU86" i="117"/>
  <c r="BV86" i="117"/>
  <c r="BW86" i="117"/>
  <c r="BT87" i="117"/>
  <c r="BU87" i="117"/>
  <c r="BV87" i="117"/>
  <c r="BW87" i="117"/>
  <c r="BT88" i="117"/>
  <c r="BU88" i="117"/>
  <c r="BV88" i="117"/>
  <c r="BW88" i="117"/>
  <c r="BT89" i="117"/>
  <c r="BU89" i="117"/>
  <c r="BV89" i="117"/>
  <c r="BW89" i="117"/>
  <c r="BT90" i="117"/>
  <c r="BU90" i="117"/>
  <c r="BV90" i="117"/>
  <c r="BW90" i="117"/>
  <c r="BT91" i="117"/>
  <c r="BU91" i="117"/>
  <c r="BV91" i="117"/>
  <c r="BW91" i="117"/>
  <c r="BT92" i="117"/>
  <c r="BU92" i="117"/>
  <c r="BV92" i="117"/>
  <c r="BW92" i="117"/>
  <c r="BT93" i="117"/>
  <c r="BU93" i="117"/>
  <c r="BV93" i="117"/>
  <c r="BW93" i="117"/>
  <c r="BT94" i="117"/>
  <c r="BU94" i="117"/>
  <c r="BV94" i="117"/>
  <c r="BW94" i="117"/>
  <c r="BT95" i="117"/>
  <c r="BU95" i="117"/>
  <c r="BV95" i="117"/>
  <c r="BW95" i="117"/>
  <c r="BT96" i="117"/>
  <c r="BU96" i="117"/>
  <c r="BV96" i="117"/>
  <c r="BW96" i="117"/>
  <c r="BT97" i="117"/>
  <c r="BU97" i="117"/>
  <c r="BV97" i="117"/>
  <c r="BW97" i="117"/>
  <c r="BT98" i="117"/>
  <c r="BU98" i="117"/>
  <c r="BV98" i="117"/>
  <c r="BW98" i="117"/>
  <c r="BT99" i="117"/>
  <c r="BU99" i="117"/>
  <c r="BV99" i="117"/>
  <c r="BW99" i="117"/>
  <c r="BT100" i="117"/>
  <c r="BU100" i="117"/>
  <c r="BV100" i="117"/>
  <c r="BW100" i="117"/>
  <c r="BT101" i="117"/>
  <c r="BU101" i="117"/>
  <c r="BV101" i="117"/>
  <c r="BW101" i="117"/>
  <c r="BT102" i="117"/>
  <c r="BU102" i="117"/>
  <c r="BV102" i="117"/>
  <c r="BW102" i="117"/>
  <c r="BT103" i="117"/>
  <c r="BU103" i="117"/>
  <c r="BV103" i="117"/>
  <c r="BW103" i="117"/>
  <c r="BT104" i="117"/>
  <c r="BU104" i="117"/>
  <c r="BV104" i="117"/>
  <c r="BW104" i="117"/>
  <c r="BT105" i="117"/>
  <c r="BU105" i="117"/>
  <c r="BV105" i="117"/>
  <c r="BW105" i="117"/>
  <c r="BT106" i="117"/>
  <c r="BU106" i="117"/>
  <c r="BV106" i="117"/>
  <c r="BW106" i="117"/>
  <c r="BT107" i="117"/>
  <c r="BU107" i="117"/>
  <c r="BV107" i="117"/>
  <c r="BW107" i="117"/>
  <c r="BT108" i="117"/>
  <c r="BU108" i="117"/>
  <c r="BV108" i="117"/>
  <c r="BW108" i="117"/>
  <c r="BT109" i="117"/>
  <c r="BU109" i="117"/>
  <c r="BV109" i="117"/>
  <c r="BW109" i="117"/>
  <c r="BT110" i="117"/>
  <c r="BU110" i="117"/>
  <c r="BV110" i="117"/>
  <c r="BW110" i="117"/>
  <c r="BT111" i="117"/>
  <c r="BU111" i="117"/>
  <c r="BV111" i="117"/>
  <c r="BW111" i="117"/>
  <c r="BT112" i="117"/>
  <c r="BU112" i="117"/>
  <c r="BV112" i="117"/>
  <c r="BW112" i="117"/>
  <c r="BT113" i="117"/>
  <c r="BU113" i="117"/>
  <c r="BV113" i="117"/>
  <c r="BW113" i="117"/>
  <c r="BT114" i="117"/>
  <c r="BU114" i="117"/>
  <c r="BV114" i="117"/>
  <c r="BW114" i="117"/>
  <c r="BT115" i="117"/>
  <c r="BU115" i="117"/>
  <c r="BV115" i="117"/>
  <c r="BW115" i="117"/>
  <c r="BT116" i="117"/>
  <c r="BU116" i="117"/>
  <c r="BV116" i="117"/>
  <c r="BW116" i="117"/>
  <c r="BT117" i="117"/>
  <c r="BU117" i="117"/>
  <c r="BV117" i="117"/>
  <c r="BW117" i="117"/>
  <c r="BT118" i="117"/>
  <c r="BU118" i="117"/>
  <c r="BV118" i="117"/>
  <c r="BW118" i="117"/>
  <c r="BT119" i="117"/>
  <c r="BU119" i="117"/>
  <c r="BV119" i="117"/>
  <c r="BW119" i="117"/>
  <c r="BT120" i="117"/>
  <c r="BU120" i="117"/>
  <c r="BV120" i="117"/>
  <c r="BW120" i="117"/>
  <c r="BT121" i="117"/>
  <c r="BU121" i="117"/>
  <c r="BV121" i="117"/>
  <c r="BW121" i="117"/>
  <c r="BT122" i="117"/>
  <c r="BU122" i="117"/>
  <c r="BV122" i="117"/>
  <c r="BW122" i="117"/>
  <c r="BT123" i="117"/>
  <c r="BU123" i="117"/>
  <c r="BV123" i="117"/>
  <c r="BW123" i="117"/>
  <c r="BT124" i="117"/>
  <c r="BU124" i="117"/>
  <c r="BV124" i="117"/>
  <c r="BW124" i="117"/>
  <c r="BT125" i="117"/>
  <c r="BU125" i="117"/>
  <c r="BV125" i="117"/>
  <c r="BW125" i="117"/>
  <c r="BT126" i="117"/>
  <c r="BU126" i="117"/>
  <c r="BV126" i="117"/>
  <c r="BW126" i="117"/>
  <c r="BT127" i="117"/>
  <c r="BU127" i="117"/>
  <c r="BV127" i="117"/>
  <c r="BW127" i="117"/>
  <c r="BT128" i="117"/>
  <c r="BU128" i="117"/>
  <c r="BV128" i="117"/>
  <c r="BW128" i="117"/>
  <c r="BT129" i="117"/>
  <c r="BU129" i="117"/>
  <c r="BV129" i="117"/>
  <c r="BW129" i="117"/>
  <c r="BT130" i="117"/>
  <c r="BU130" i="117"/>
  <c r="BV130" i="117"/>
  <c r="BW130" i="117"/>
  <c r="BT131" i="117"/>
  <c r="BU131" i="117"/>
  <c r="BV131" i="117"/>
  <c r="BW131" i="117"/>
  <c r="BT132" i="117"/>
  <c r="BU132" i="117"/>
  <c r="BV132" i="117"/>
  <c r="BW132" i="117"/>
  <c r="BT133" i="117"/>
  <c r="BU133" i="117"/>
  <c r="BV133" i="117"/>
  <c r="BW133" i="117"/>
  <c r="BT134" i="117"/>
  <c r="BU134" i="117"/>
  <c r="BV134" i="117"/>
  <c r="BW134" i="117"/>
  <c r="BT135" i="117"/>
  <c r="BU135" i="117"/>
  <c r="BV135" i="117"/>
  <c r="BW135" i="117"/>
  <c r="BT136" i="117"/>
  <c r="BU136" i="117"/>
  <c r="BV136" i="117"/>
  <c r="BW136" i="117"/>
  <c r="BT137" i="117"/>
  <c r="BU137" i="117"/>
  <c r="BV137" i="117"/>
  <c r="BW137" i="117"/>
  <c r="BT138" i="117"/>
  <c r="BU138" i="117"/>
  <c r="BV138" i="117"/>
  <c r="BW138" i="117"/>
  <c r="BT139" i="117"/>
  <c r="BU139" i="117"/>
  <c r="BV139" i="117"/>
  <c r="BW139" i="117"/>
  <c r="BT140" i="117"/>
  <c r="BU140" i="117"/>
  <c r="BV140" i="117"/>
  <c r="BW140" i="117"/>
  <c r="BU3" i="117"/>
  <c r="BV3" i="117"/>
  <c r="BT3" i="117"/>
  <c r="BI4" i="117" l="1"/>
  <c r="BI5" i="117"/>
  <c r="BI6" i="117"/>
  <c r="AA13" i="4" s="1"/>
  <c r="BI7" i="117"/>
  <c r="AA14" i="4" s="1"/>
  <c r="BI8" i="117"/>
  <c r="AA15" i="4" s="1"/>
  <c r="BI9" i="117"/>
  <c r="AA16" i="4" s="1"/>
  <c r="BI10" i="117"/>
  <c r="AA17" i="4" s="1"/>
  <c r="BI11" i="117"/>
  <c r="AA18" i="4" s="1"/>
  <c r="BI12" i="117"/>
  <c r="AA19" i="4" s="1"/>
  <c r="BI13" i="117"/>
  <c r="AA20" i="4" s="1"/>
  <c r="BI14" i="117"/>
  <c r="AA22" i="4" s="1"/>
  <c r="BI15" i="117"/>
  <c r="BI16" i="117"/>
  <c r="AA26" i="4" s="1"/>
  <c r="BI17" i="117"/>
  <c r="AA27" i="4" s="1"/>
  <c r="BI18" i="117"/>
  <c r="BI19" i="117"/>
  <c r="AA33" i="4" s="1"/>
  <c r="BI20" i="117"/>
  <c r="AA35" i="4" s="1"/>
  <c r="BI21" i="117"/>
  <c r="BI22" i="117"/>
  <c r="BI23" i="117"/>
  <c r="AA43" i="4" s="1"/>
  <c r="BI24" i="117"/>
  <c r="AA44" i="4" s="1"/>
  <c r="BI25" i="117"/>
  <c r="AA45" i="4" s="1"/>
  <c r="BI26" i="117"/>
  <c r="AA46" i="4" s="1"/>
  <c r="BI27" i="117"/>
  <c r="AA48" i="4" s="1"/>
  <c r="BI28" i="117"/>
  <c r="AA49" i="4" s="1"/>
  <c r="BI29" i="117"/>
  <c r="AA50" i="4" s="1"/>
  <c r="BI30" i="117"/>
  <c r="AA51" i="4" s="1"/>
  <c r="BI31" i="117"/>
  <c r="BI32" i="117"/>
  <c r="AA57" i="4" s="1"/>
  <c r="BI33" i="117"/>
  <c r="AA58" i="4" s="1"/>
  <c r="BI34" i="117"/>
  <c r="BI35" i="117"/>
  <c r="AA60" i="4" s="1"/>
  <c r="BI36" i="117"/>
  <c r="AA61" i="4" s="1"/>
  <c r="BI37" i="117"/>
  <c r="BI38" i="117"/>
  <c r="AA64" i="4" s="1"/>
  <c r="BI39" i="117"/>
  <c r="AA65" i="4" s="1"/>
  <c r="BI40" i="117"/>
  <c r="AA66" i="4" s="1"/>
  <c r="BI41" i="117"/>
  <c r="BI42" i="117"/>
  <c r="BI43" i="117"/>
  <c r="AA74" i="4" s="1"/>
  <c r="BI44" i="117"/>
  <c r="AA75" i="4" s="1"/>
  <c r="BI45" i="117"/>
  <c r="BI46" i="117"/>
  <c r="BI47" i="117"/>
  <c r="BI48" i="117"/>
  <c r="AA81" i="4" s="1"/>
  <c r="BI49" i="117"/>
  <c r="BI50" i="117"/>
  <c r="AA86" i="4" s="1"/>
  <c r="BI51" i="117"/>
  <c r="AA87" i="4" s="1"/>
  <c r="BI52" i="117"/>
  <c r="AA89" i="4" s="1"/>
  <c r="BI53" i="117"/>
  <c r="AA90" i="4" s="1"/>
  <c r="BI54" i="117"/>
  <c r="AA92" i="4" s="1"/>
  <c r="BI55" i="117"/>
  <c r="AA93" i="4" s="1"/>
  <c r="BI56" i="117"/>
  <c r="AA94" i="4" s="1"/>
  <c r="BI57" i="117"/>
  <c r="AA96" i="4" s="1"/>
  <c r="BI58" i="117"/>
  <c r="AA97" i="4" s="1"/>
  <c r="BI59" i="117"/>
  <c r="BI60" i="117"/>
  <c r="AA99" i="4" s="1"/>
  <c r="BI61" i="117"/>
  <c r="AA100" i="4" s="1"/>
  <c r="BI62" i="117"/>
  <c r="AA101" i="4" s="1"/>
  <c r="BI63" i="117"/>
  <c r="AA102" i="4" s="1"/>
  <c r="BI64" i="117"/>
  <c r="AA103" i="4" s="1"/>
  <c r="BI65" i="117"/>
  <c r="AA104" i="4" s="1"/>
  <c r="BI66" i="117"/>
  <c r="AA105" i="4" s="1"/>
  <c r="BI67" i="117"/>
  <c r="AA106" i="4" s="1"/>
  <c r="BI68" i="117"/>
  <c r="BI69" i="117"/>
  <c r="AA108" i="4" s="1"/>
  <c r="BI70" i="117"/>
  <c r="AA109" i="4" s="1"/>
  <c r="BI71" i="117"/>
  <c r="BI72" i="117"/>
  <c r="BI73" i="117"/>
  <c r="BI74" i="117"/>
  <c r="AA116" i="4" s="1"/>
  <c r="BI75" i="117"/>
  <c r="AA117" i="4" s="1"/>
  <c r="BI76" i="117"/>
  <c r="BI77" i="117"/>
  <c r="AA119" i="4" s="1"/>
  <c r="BI78" i="117"/>
  <c r="AA121" i="4" s="1"/>
  <c r="BI79" i="117"/>
  <c r="AA122" i="4" s="1"/>
  <c r="BI80" i="117"/>
  <c r="AA123" i="4" s="1"/>
  <c r="BI81" i="117"/>
  <c r="AA124" i="4" s="1"/>
  <c r="BI82" i="117"/>
  <c r="BI83" i="117"/>
  <c r="AA126" i="4" s="1"/>
  <c r="BI84" i="117"/>
  <c r="AA127" i="4" s="1"/>
  <c r="BI85" i="117"/>
  <c r="AA128" i="4" s="1"/>
  <c r="BI86" i="117"/>
  <c r="AA129" i="4" s="1"/>
  <c r="BI87" i="117"/>
  <c r="BI88" i="117"/>
  <c r="BI89" i="117"/>
  <c r="BI90" i="117"/>
  <c r="AA136" i="4" s="1"/>
  <c r="BI91" i="117"/>
  <c r="AA137" i="4" s="1"/>
  <c r="BI92" i="117"/>
  <c r="BI93" i="117"/>
  <c r="AA139" i="4" s="1"/>
  <c r="BI94" i="117"/>
  <c r="AA141" i="4" s="1"/>
  <c r="BI95" i="117"/>
  <c r="BI96" i="117"/>
  <c r="BI97" i="117"/>
  <c r="AA158" i="4" s="1"/>
  <c r="BI98" i="117"/>
  <c r="BI99" i="117"/>
  <c r="AA168" i="4" s="1"/>
  <c r="BI100" i="117"/>
  <c r="BI101" i="117"/>
  <c r="BI102" i="117"/>
  <c r="AA175" i="4" s="1"/>
  <c r="AA174" i="4" s="1"/>
  <c r="AA169" i="4" s="1"/>
  <c r="BI3" i="117"/>
  <c r="BB3" i="117"/>
  <c r="AA167" i="4" l="1"/>
  <c r="AA161" i="4" s="1"/>
  <c r="AA154" i="4" s="1"/>
  <c r="AA147" i="4" l="1"/>
  <c r="AA146" i="4" s="1"/>
  <c r="AA142" i="4" s="1"/>
  <c r="AA138" i="4" s="1"/>
  <c r="AA133" i="4" s="1"/>
  <c r="AA130" i="4" s="1"/>
  <c r="AA125" i="4" s="1"/>
  <c r="AA118" i="4" s="1"/>
  <c r="AA115" i="4" s="1"/>
  <c r="AA107" i="4" s="1"/>
  <c r="AA98" i="4" s="1"/>
  <c r="AA85" i="4" s="1"/>
  <c r="AA79" i="4" s="1"/>
  <c r="AA78" i="4" s="1"/>
  <c r="AA73" i="4" s="1"/>
  <c r="AA72" i="4" s="1"/>
  <c r="AA68" i="4" s="1"/>
  <c r="AA63" i="4" s="1"/>
  <c r="AA59" i="4" s="1"/>
  <c r="AA56" i="4" s="1"/>
  <c r="AA42" i="4" s="1"/>
  <c r="AA41" i="4" s="1"/>
  <c r="AA37" i="4" s="1"/>
  <c r="AA32" i="4" s="1"/>
  <c r="AA28" i="4" s="1"/>
  <c r="AA25" i="4" s="1"/>
  <c r="AA12" i="4" s="1"/>
  <c r="AA11" i="4" s="1"/>
  <c r="H165" i="39"/>
  <c r="M267" i="39"/>
  <c r="AA10" i="4" l="1"/>
  <c r="AA9" i="4" s="1"/>
  <c r="I10" i="54" l="1"/>
  <c r="AE4" i="114"/>
  <c r="P59" i="54" s="1"/>
  <c r="AE5" i="114"/>
  <c r="P60" i="54" s="1"/>
  <c r="AE3" i="114"/>
  <c r="P57" i="54" s="1"/>
  <c r="P234" i="39" s="1"/>
  <c r="Z35" i="54"/>
  <c r="Z34" i="54" s="1"/>
  <c r="Z10" i="54"/>
  <c r="P266" i="39" l="1"/>
  <c r="R266" i="39" s="1"/>
  <c r="R60" i="54"/>
  <c r="R59" i="54"/>
  <c r="P58" i="54"/>
  <c r="P236" i="39"/>
  <c r="M251" i="39"/>
  <c r="M249" i="39"/>
  <c r="L204" i="39"/>
  <c r="O10" i="54"/>
  <c r="M10" i="54"/>
  <c r="M212" i="39"/>
  <c r="I35" i="54"/>
  <c r="N35" i="54" s="1"/>
  <c r="O35" i="54" s="1"/>
  <c r="I266" i="39"/>
  <c r="O60" i="54"/>
  <c r="O249" i="39"/>
  <c r="O267" i="39"/>
  <c r="I236" i="39"/>
  <c r="O59" i="54"/>
  <c r="Z9" i="54"/>
  <c r="N54" i="37"/>
  <c r="O54" i="37" s="1"/>
  <c r="L240" i="39"/>
  <c r="L246" i="39"/>
  <c r="Z29" i="37"/>
  <c r="BN5" i="115"/>
  <c r="BO5" i="115"/>
  <c r="BP5" i="115"/>
  <c r="BN4" i="115"/>
  <c r="BO4" i="115"/>
  <c r="L182" i="39" s="1"/>
  <c r="BP4" i="115"/>
  <c r="BN6" i="115"/>
  <c r="BO6" i="115"/>
  <c r="BP6" i="115"/>
  <c r="BN18" i="115"/>
  <c r="BO18" i="115"/>
  <c r="BP18" i="115"/>
  <c r="BN7" i="115"/>
  <c r="P17" i="37" s="1"/>
  <c r="BO7" i="115"/>
  <c r="BP7" i="115"/>
  <c r="BN17" i="115"/>
  <c r="P22" i="37" s="1"/>
  <c r="R22" i="37" s="1"/>
  <c r="BO17" i="115"/>
  <c r="BP17" i="115"/>
  <c r="BN9" i="115"/>
  <c r="P18" i="37" s="1"/>
  <c r="BO9" i="115"/>
  <c r="BP9" i="115"/>
  <c r="BN15" i="115"/>
  <c r="P21" i="37" s="1"/>
  <c r="BO15" i="115"/>
  <c r="BP15" i="115"/>
  <c r="BN13" i="115"/>
  <c r="P20" i="37" s="1"/>
  <c r="BO13" i="115"/>
  <c r="BP13" i="115"/>
  <c r="BN11" i="115"/>
  <c r="P19" i="37" s="1"/>
  <c r="BO11" i="115"/>
  <c r="BP11" i="115"/>
  <c r="BN19" i="115"/>
  <c r="BO19" i="115"/>
  <c r="BP19" i="115"/>
  <c r="BN12" i="115"/>
  <c r="BO12" i="115"/>
  <c r="BP12" i="115"/>
  <c r="BN16" i="115"/>
  <c r="BO16" i="115"/>
  <c r="BP16" i="115"/>
  <c r="BN10" i="115"/>
  <c r="BO10" i="115"/>
  <c r="BP10" i="115"/>
  <c r="BN8" i="115"/>
  <c r="BO8" i="115"/>
  <c r="BP8" i="115"/>
  <c r="BN14" i="115"/>
  <c r="BO14" i="115"/>
  <c r="BP14" i="115"/>
  <c r="BN20" i="115"/>
  <c r="P24" i="37" s="1"/>
  <c r="R24" i="37" s="1"/>
  <c r="BO20" i="115"/>
  <c r="BP20" i="115"/>
  <c r="BN21" i="115"/>
  <c r="BO21" i="115"/>
  <c r="BP21" i="115"/>
  <c r="BN22" i="115"/>
  <c r="BO22" i="115"/>
  <c r="BP22" i="115"/>
  <c r="BN23" i="115"/>
  <c r="P50" i="37" s="1"/>
  <c r="BO23" i="115"/>
  <c r="BP23" i="115"/>
  <c r="BN24" i="115"/>
  <c r="BO24" i="115"/>
  <c r="BP24" i="115"/>
  <c r="BN25" i="115"/>
  <c r="BO25" i="115"/>
  <c r="BP25" i="115"/>
  <c r="BN26" i="115"/>
  <c r="BO26" i="115"/>
  <c r="L256" i="39" s="1"/>
  <c r="BP26" i="115"/>
  <c r="BN27" i="115"/>
  <c r="P38" i="37" s="1"/>
  <c r="BO27" i="115"/>
  <c r="L238" i="39" s="1"/>
  <c r="BP27" i="115"/>
  <c r="BN28" i="115"/>
  <c r="BO28" i="115"/>
  <c r="BP28" i="115"/>
  <c r="BN29" i="115"/>
  <c r="P39" i="37" s="1"/>
  <c r="BO29" i="115"/>
  <c r="BP29" i="115"/>
  <c r="BN30" i="115"/>
  <c r="BO30" i="115"/>
  <c r="L239" i="39" s="1"/>
  <c r="BP30" i="115"/>
  <c r="BN31" i="115"/>
  <c r="P40" i="37" s="1"/>
  <c r="BO31" i="115"/>
  <c r="BP31" i="115"/>
  <c r="BN32" i="115"/>
  <c r="BO32" i="115"/>
  <c r="BP32" i="115"/>
  <c r="BN33" i="115"/>
  <c r="P43" i="37" s="1"/>
  <c r="BO33" i="115"/>
  <c r="BP33" i="115"/>
  <c r="BN34" i="115"/>
  <c r="BO34" i="115"/>
  <c r="L243" i="39" s="1"/>
  <c r="BP34" i="115"/>
  <c r="BN35" i="115"/>
  <c r="P44" i="37" s="1"/>
  <c r="BO35" i="115"/>
  <c r="BP35" i="115"/>
  <c r="BN36" i="115"/>
  <c r="BO36" i="115"/>
  <c r="L244" i="39" s="1"/>
  <c r="BP36" i="115"/>
  <c r="BN37" i="115"/>
  <c r="P45" i="37" s="1"/>
  <c r="BO37" i="115"/>
  <c r="BP37" i="115"/>
  <c r="BN38" i="115"/>
  <c r="BO38" i="115"/>
  <c r="L245" i="39" s="1"/>
  <c r="BP38" i="115"/>
  <c r="BN39" i="115"/>
  <c r="P46" i="37" s="1"/>
  <c r="BO39" i="115"/>
  <c r="BP39" i="115"/>
  <c r="BN40" i="115"/>
  <c r="BO40" i="115"/>
  <c r="BP40" i="115"/>
  <c r="BN41" i="115"/>
  <c r="P47" i="37" s="1"/>
  <c r="BO41" i="115"/>
  <c r="BP41" i="115"/>
  <c r="BN42" i="115"/>
  <c r="BO42" i="115"/>
  <c r="L247" i="39" s="1"/>
  <c r="BP42" i="115"/>
  <c r="BN43" i="115"/>
  <c r="P48" i="37" s="1"/>
  <c r="BO43" i="115"/>
  <c r="BP43" i="115"/>
  <c r="BN44" i="115"/>
  <c r="BO44" i="115"/>
  <c r="L248" i="39" s="1"/>
  <c r="BP44" i="115"/>
  <c r="BN45" i="115"/>
  <c r="P49" i="37" s="1"/>
  <c r="R49" i="37" s="1"/>
  <c r="BO45" i="115"/>
  <c r="BP45" i="115"/>
  <c r="BN46" i="115"/>
  <c r="BO46" i="115"/>
  <c r="L254" i="39" s="1"/>
  <c r="BP46" i="115"/>
  <c r="BN47" i="115"/>
  <c r="P53" i="37" s="1"/>
  <c r="BO47" i="115"/>
  <c r="BP47" i="115"/>
  <c r="BN48" i="115"/>
  <c r="BO48" i="115"/>
  <c r="BP48" i="115"/>
  <c r="BO3" i="115"/>
  <c r="BP3" i="115"/>
  <c r="BN3" i="115"/>
  <c r="BC4" i="115"/>
  <c r="Z17" i="37" s="1"/>
  <c r="BC5" i="115"/>
  <c r="Z51" i="37" s="1"/>
  <c r="BC6" i="115"/>
  <c r="Z39" i="37" s="1"/>
  <c r="BC7" i="115"/>
  <c r="Z40" i="37" s="1"/>
  <c r="BC8" i="115"/>
  <c r="Z43" i="37" s="1"/>
  <c r="BC9" i="115"/>
  <c r="Z44" i="37" s="1"/>
  <c r="BC10" i="115"/>
  <c r="Z45" i="37" s="1"/>
  <c r="BC11" i="115"/>
  <c r="Z46" i="37" s="1"/>
  <c r="BC12" i="115"/>
  <c r="Z47" i="37" s="1"/>
  <c r="BC13" i="115"/>
  <c r="Z48" i="37" s="1"/>
  <c r="BC3" i="115"/>
  <c r="Z18" i="37" s="1"/>
  <c r="O24" i="35"/>
  <c r="O38" i="35"/>
  <c r="N49" i="35"/>
  <c r="O49" i="35" s="1"/>
  <c r="M24" i="35"/>
  <c r="M38" i="35"/>
  <c r="M49" i="35"/>
  <c r="R38" i="37" l="1"/>
  <c r="P37" i="37"/>
  <c r="R50" i="37"/>
  <c r="I182" i="39"/>
  <c r="P15" i="37"/>
  <c r="P42" i="37"/>
  <c r="P36" i="37" s="1"/>
  <c r="P243" i="39"/>
  <c r="I256" i="39"/>
  <c r="P51" i="37"/>
  <c r="I206" i="39"/>
  <c r="P30" i="37"/>
  <c r="R30" i="37" s="1"/>
  <c r="L242" i="39"/>
  <c r="M256" i="39"/>
  <c r="M182" i="39"/>
  <c r="L237" i="39"/>
  <c r="Z37" i="37"/>
  <c r="Z42" i="37"/>
  <c r="I205" i="39"/>
  <c r="M35" i="54"/>
  <c r="O212" i="39"/>
  <c r="I246" i="39"/>
  <c r="M246" i="39" s="1"/>
  <c r="L206" i="39"/>
  <c r="M206" i="39" s="1"/>
  <c r="I254" i="39"/>
  <c r="M254" i="39" s="1"/>
  <c r="H88" i="37"/>
  <c r="H89" i="37" s="1"/>
  <c r="I245" i="39"/>
  <c r="M245" i="39" s="1"/>
  <c r="I239" i="39"/>
  <c r="M239" i="39" s="1"/>
  <c r="I248" i="39"/>
  <c r="M248" i="39" s="1"/>
  <c r="I244" i="39"/>
  <c r="M244" i="39" s="1"/>
  <c r="I238" i="39"/>
  <c r="I247" i="39"/>
  <c r="M247" i="39" s="1"/>
  <c r="I243" i="39"/>
  <c r="M243" i="39" s="1"/>
  <c r="I240" i="39"/>
  <c r="M240" i="39" s="1"/>
  <c r="Z16" i="37"/>
  <c r="Z14" i="37" s="1"/>
  <c r="Z12" i="37" s="1"/>
  <c r="BC14" i="115"/>
  <c r="I237" i="39" l="1"/>
  <c r="M238" i="39"/>
  <c r="I242" i="39"/>
  <c r="M242" i="39" s="1"/>
  <c r="Z36" i="37"/>
  <c r="M29" i="37"/>
  <c r="N29" i="37"/>
  <c r="O29" i="37" s="1"/>
  <c r="Z47" i="35"/>
  <c r="Z26" i="35"/>
  <c r="Z14" i="35"/>
  <c r="BO9" i="116"/>
  <c r="M237" i="39" l="1"/>
  <c r="BD5" i="116"/>
  <c r="P16" i="35" s="1"/>
  <c r="BE5" i="116"/>
  <c r="BF5" i="116"/>
  <c r="BD7" i="116"/>
  <c r="P17" i="35" s="1"/>
  <c r="BE7" i="116"/>
  <c r="BF7" i="116"/>
  <c r="BD9" i="116"/>
  <c r="P19" i="35" s="1"/>
  <c r="R19" i="35" s="1"/>
  <c r="BE9" i="116"/>
  <c r="BF9" i="116"/>
  <c r="BD8" i="116"/>
  <c r="P18" i="35" s="1"/>
  <c r="R18" i="35" s="1"/>
  <c r="BE8" i="116"/>
  <c r="BF8" i="116"/>
  <c r="BD10" i="116"/>
  <c r="BE10" i="116"/>
  <c r="BF10" i="116"/>
  <c r="BD4" i="116"/>
  <c r="BE4" i="116"/>
  <c r="BF4" i="116"/>
  <c r="BD6" i="116"/>
  <c r="BE6" i="116"/>
  <c r="BF6" i="116"/>
  <c r="BD11" i="116"/>
  <c r="P21" i="35" s="1"/>
  <c r="BE11" i="116"/>
  <c r="BF11" i="116"/>
  <c r="BD13" i="116"/>
  <c r="P22" i="35" s="1"/>
  <c r="BE13" i="116"/>
  <c r="BF13" i="116"/>
  <c r="BD15" i="116"/>
  <c r="BE15" i="116"/>
  <c r="BF15" i="116"/>
  <c r="BD19" i="116"/>
  <c r="P25" i="35" s="1"/>
  <c r="BE19" i="116"/>
  <c r="BF19" i="116"/>
  <c r="BD16" i="116"/>
  <c r="BE16" i="116"/>
  <c r="BF16" i="116"/>
  <c r="BD21" i="116"/>
  <c r="BE21" i="116"/>
  <c r="BF21" i="116"/>
  <c r="BD22" i="116"/>
  <c r="BE22" i="116"/>
  <c r="BF22" i="116"/>
  <c r="BD12" i="116"/>
  <c r="BE12" i="116"/>
  <c r="BF12" i="116"/>
  <c r="BD14" i="116"/>
  <c r="BE14" i="116"/>
  <c r="BF14" i="116"/>
  <c r="BD20" i="116"/>
  <c r="BE20" i="116"/>
  <c r="BF20" i="116"/>
  <c r="BD17" i="116"/>
  <c r="BE17" i="116"/>
  <c r="BF17" i="116"/>
  <c r="BD18" i="116"/>
  <c r="BE18" i="116"/>
  <c r="BF18" i="116"/>
  <c r="BD23" i="116"/>
  <c r="P27" i="35" s="1"/>
  <c r="BE23" i="116"/>
  <c r="BF23" i="116"/>
  <c r="BD24" i="116"/>
  <c r="BE24" i="116"/>
  <c r="BF24" i="116"/>
  <c r="BD25" i="116"/>
  <c r="P29" i="35" s="1"/>
  <c r="P28" i="35" s="1"/>
  <c r="BE25" i="116"/>
  <c r="BF25" i="116"/>
  <c r="BD31" i="116"/>
  <c r="P33" i="35" s="1"/>
  <c r="BE31" i="116"/>
  <c r="BF31" i="116"/>
  <c r="BD33" i="116"/>
  <c r="P31" i="35" s="1"/>
  <c r="P30" i="35" s="1"/>
  <c r="BE33" i="116"/>
  <c r="BF33" i="116"/>
  <c r="BD27" i="116"/>
  <c r="P32" i="35" s="1"/>
  <c r="BE27" i="116"/>
  <c r="BF27" i="116"/>
  <c r="BD29" i="116"/>
  <c r="P35" i="35" s="1"/>
  <c r="BE29" i="116"/>
  <c r="BF29" i="116"/>
  <c r="BD26" i="116"/>
  <c r="P36" i="35" s="1"/>
  <c r="BE26" i="116"/>
  <c r="BF26" i="116"/>
  <c r="BD35" i="116"/>
  <c r="BE35" i="116"/>
  <c r="BF35" i="116"/>
  <c r="BD36" i="116"/>
  <c r="BE36" i="116"/>
  <c r="BF36" i="116"/>
  <c r="BD37" i="116"/>
  <c r="BE37" i="116"/>
  <c r="BF37" i="116"/>
  <c r="BD34" i="116"/>
  <c r="BE34" i="116"/>
  <c r="BF34" i="116"/>
  <c r="BD32" i="116"/>
  <c r="BE32" i="116"/>
  <c r="BF32" i="116"/>
  <c r="BD28" i="116"/>
  <c r="BE28" i="116"/>
  <c r="BF28" i="116"/>
  <c r="BD30" i="116"/>
  <c r="BE30" i="116"/>
  <c r="BF30" i="116"/>
  <c r="BD38" i="116"/>
  <c r="P42" i="35" s="1"/>
  <c r="BE38" i="116"/>
  <c r="BF38" i="116"/>
  <c r="BD39" i="116"/>
  <c r="BE39" i="116"/>
  <c r="BF39" i="116"/>
  <c r="BD40" i="116"/>
  <c r="P43" i="35" s="1"/>
  <c r="BE40" i="116"/>
  <c r="BF40" i="116"/>
  <c r="BD41" i="116"/>
  <c r="BE41" i="116"/>
  <c r="BF41" i="116"/>
  <c r="BD42" i="116"/>
  <c r="P44" i="35" s="1"/>
  <c r="BE42" i="116"/>
  <c r="BF42" i="116"/>
  <c r="BD43" i="116"/>
  <c r="BE43" i="116"/>
  <c r="L271" i="39" s="1"/>
  <c r="BF43" i="116"/>
  <c r="BD44" i="116"/>
  <c r="P45" i="35" s="1"/>
  <c r="BE44" i="116"/>
  <c r="BF44" i="116"/>
  <c r="BD45" i="116"/>
  <c r="BE45" i="116"/>
  <c r="BF45" i="116"/>
  <c r="BD46" i="116"/>
  <c r="P46" i="35" s="1"/>
  <c r="R46" i="35" s="1"/>
  <c r="BE46" i="116"/>
  <c r="BF46" i="116"/>
  <c r="BD47" i="116"/>
  <c r="P48" i="35" s="1"/>
  <c r="BE47" i="116"/>
  <c r="BF47" i="116"/>
  <c r="BD48" i="116"/>
  <c r="BE48" i="116"/>
  <c r="BF48" i="116"/>
  <c r="BD49" i="116"/>
  <c r="BE49" i="116"/>
  <c r="BF49" i="116"/>
  <c r="BD50" i="116"/>
  <c r="BE50" i="116"/>
  <c r="BF50" i="116"/>
  <c r="BD51" i="116"/>
  <c r="BE51" i="116"/>
  <c r="BF51" i="116"/>
  <c r="BE3" i="116"/>
  <c r="BF3" i="116"/>
  <c r="BD3" i="116"/>
  <c r="P15" i="35" s="1"/>
  <c r="BP6" i="116"/>
  <c r="Z23" i="35" s="1"/>
  <c r="BP5" i="116"/>
  <c r="Z22" i="35" s="1"/>
  <c r="BP4" i="116"/>
  <c r="Z21" i="35" s="1"/>
  <c r="BP3" i="116"/>
  <c r="Z31" i="35" s="1"/>
  <c r="Z30" i="35" s="1"/>
  <c r="BP8" i="116"/>
  <c r="Z43" i="35" s="1"/>
  <c r="Z41" i="35" s="1"/>
  <c r="Z40" i="35" s="1"/>
  <c r="Z39" i="35" s="1"/>
  <c r="BP7" i="116"/>
  <c r="Z25" i="35" s="1"/>
  <c r="O182" i="39"/>
  <c r="M279" i="39"/>
  <c r="L273" i="39"/>
  <c r="N266" i="39"/>
  <c r="O266" i="39" s="1"/>
  <c r="L266" i="39"/>
  <c r="M266" i="39" s="1"/>
  <c r="N258" i="39"/>
  <c r="N259" i="39"/>
  <c r="N260" i="39"/>
  <c r="N261" i="39"/>
  <c r="L258" i="39"/>
  <c r="L259" i="39"/>
  <c r="L260" i="39"/>
  <c r="L261" i="39"/>
  <c r="N257" i="39"/>
  <c r="L257" i="39"/>
  <c r="N256" i="39"/>
  <c r="O256" i="39" s="1"/>
  <c r="N238" i="39"/>
  <c r="N239" i="39"/>
  <c r="O239" i="39" s="1"/>
  <c r="N240" i="39"/>
  <c r="O240" i="39" s="1"/>
  <c r="N243" i="39"/>
  <c r="P20" i="35" l="1"/>
  <c r="P23" i="35"/>
  <c r="O238" i="39"/>
  <c r="N237" i="39"/>
  <c r="N146" i="39"/>
  <c r="O243" i="39"/>
  <c r="M25" i="35"/>
  <c r="M36" i="35"/>
  <c r="O15" i="35"/>
  <c r="M23" i="35"/>
  <c r="M35" i="35"/>
  <c r="M34" i="35"/>
  <c r="M32" i="35"/>
  <c r="M22" i="35"/>
  <c r="M33" i="35"/>
  <c r="I270" i="39"/>
  <c r="O43" i="35"/>
  <c r="L30" i="35"/>
  <c r="M31" i="35"/>
  <c r="O35" i="35"/>
  <c r="M21" i="35"/>
  <c r="O17" i="35"/>
  <c r="I271" i="39"/>
  <c r="O44" i="35"/>
  <c r="L269" i="39"/>
  <c r="M42" i="35"/>
  <c r="O33" i="35"/>
  <c r="O18" i="35"/>
  <c r="I272" i="39"/>
  <c r="O45" i="35"/>
  <c r="M43" i="35"/>
  <c r="O34" i="35"/>
  <c r="O32" i="35"/>
  <c r="L28" i="35"/>
  <c r="M29" i="35"/>
  <c r="O22" i="35"/>
  <c r="O16" i="35"/>
  <c r="I187" i="39"/>
  <c r="I28" i="35"/>
  <c r="L272" i="39"/>
  <c r="M45" i="35"/>
  <c r="I273" i="39"/>
  <c r="O46" i="35"/>
  <c r="M46" i="35"/>
  <c r="I269" i="39"/>
  <c r="O42" i="35"/>
  <c r="O36" i="35"/>
  <c r="O25" i="35"/>
  <c r="O19" i="35"/>
  <c r="Z20" i="35"/>
  <c r="O31" i="35"/>
  <c r="M27" i="35"/>
  <c r="O21" i="35"/>
  <c r="M12" i="37"/>
  <c r="BP9" i="116"/>
  <c r="N255" i="39"/>
  <c r="O255" i="39" s="1"/>
  <c r="N253" i="39"/>
  <c r="L253" i="39"/>
  <c r="N252" i="39"/>
  <c r="L252" i="39"/>
  <c r="O251" i="39"/>
  <c r="N250" i="39"/>
  <c r="L250" i="39"/>
  <c r="L236" i="39"/>
  <c r="M236" i="39" s="1"/>
  <c r="N236" i="39"/>
  <c r="O236" i="39" s="1"/>
  <c r="M227" i="39"/>
  <c r="O213" i="39"/>
  <c r="O214" i="39"/>
  <c r="O215" i="39"/>
  <c r="O216" i="39"/>
  <c r="O217" i="39"/>
  <c r="O218" i="39"/>
  <c r="O219" i="39"/>
  <c r="O220" i="39"/>
  <c r="O221" i="39"/>
  <c r="O222" i="39"/>
  <c r="O223" i="39"/>
  <c r="O224" i="39"/>
  <c r="O225" i="39"/>
  <c r="O226" i="39"/>
  <c r="M213" i="39"/>
  <c r="M214" i="39"/>
  <c r="M215" i="39"/>
  <c r="M216" i="39"/>
  <c r="M217" i="39"/>
  <c r="M218" i="39"/>
  <c r="M219" i="39"/>
  <c r="M221" i="39"/>
  <c r="M222" i="39"/>
  <c r="M223" i="39"/>
  <c r="M224" i="39"/>
  <c r="M225" i="39"/>
  <c r="M226" i="39"/>
  <c r="N206" i="39"/>
  <c r="O206" i="39" s="1"/>
  <c r="Z13" i="35" l="1"/>
  <c r="Z10" i="35" s="1"/>
  <c r="Z9" i="35" s="1"/>
  <c r="L268" i="39"/>
  <c r="L235" i="39" s="1"/>
  <c r="L40" i="35"/>
  <c r="O237" i="39"/>
  <c r="M271" i="39"/>
  <c r="M273" i="39"/>
  <c r="M272" i="39"/>
  <c r="M269" i="39"/>
  <c r="N28" i="35"/>
  <c r="O28" i="35" s="1"/>
  <c r="O23" i="35"/>
  <c r="M26" i="35"/>
  <c r="L177" i="39"/>
  <c r="L187" i="39"/>
  <c r="M187" i="39" s="1"/>
  <c r="M28" i="35"/>
  <c r="I180" i="39"/>
  <c r="M180" i="39" s="1"/>
  <c r="O26" i="35"/>
  <c r="O29" i="35"/>
  <c r="N187" i="39"/>
  <c r="O187" i="39" s="1"/>
  <c r="O27" i="35"/>
  <c r="N180" i="39"/>
  <c r="N211" i="39"/>
  <c r="N205" i="39"/>
  <c r="O205" i="39" s="1"/>
  <c r="L205" i="39"/>
  <c r="M205" i="39" s="1"/>
  <c r="L150" i="39"/>
  <c r="L174" i="39"/>
  <c r="L172" i="39"/>
  <c r="L171" i="39"/>
  <c r="L170" i="39"/>
  <c r="L188" i="39"/>
  <c r="L183" i="39"/>
  <c r="H167" i="39"/>
  <c r="L165" i="39"/>
  <c r="L156" i="39"/>
  <c r="L157" i="39"/>
  <c r="L159" i="39"/>
  <c r="L160" i="39"/>
  <c r="L162" i="39"/>
  <c r="L163" i="39"/>
  <c r="L166" i="39"/>
  <c r="L167" i="39"/>
  <c r="L155" i="39"/>
  <c r="L140" i="54"/>
  <c r="L153" i="39" l="1"/>
  <c r="L39" i="35"/>
  <c r="N39" i="35" s="1"/>
  <c r="N40" i="35"/>
  <c r="M270" i="39"/>
  <c r="O211" i="39"/>
  <c r="O180" i="39"/>
  <c r="L146" i="39"/>
  <c r="L13" i="35"/>
  <c r="L10" i="35" s="1"/>
  <c r="L179" i="39"/>
  <c r="L9" i="35" l="1"/>
  <c r="F13" i="4"/>
  <c r="F14" i="4"/>
  <c r="F15" i="4"/>
  <c r="F16" i="4"/>
  <c r="F17" i="4"/>
  <c r="F18" i="4"/>
  <c r="F19" i="4"/>
  <c r="F20" i="4"/>
  <c r="F21" i="4"/>
  <c r="F22" i="4"/>
  <c r="F26" i="4"/>
  <c r="F27" i="4"/>
  <c r="F29" i="4"/>
  <c r="F30" i="4"/>
  <c r="F33" i="4"/>
  <c r="F34" i="4"/>
  <c r="F35" i="4"/>
  <c r="F38" i="4"/>
  <c r="F39" i="4"/>
  <c r="F40" i="4"/>
  <c r="F43" i="4"/>
  <c r="F44" i="4"/>
  <c r="F45" i="4"/>
  <c r="F46" i="4"/>
  <c r="F47" i="4"/>
  <c r="F48" i="4"/>
  <c r="F49" i="4"/>
  <c r="F50" i="4"/>
  <c r="F51" i="4"/>
  <c r="F52" i="4"/>
  <c r="F53" i="4"/>
  <c r="F57" i="4"/>
  <c r="F58" i="4"/>
  <c r="F60" i="4"/>
  <c r="F61" i="4"/>
  <c r="F64" i="4"/>
  <c r="F65" i="4"/>
  <c r="F66" i="4"/>
  <c r="F69" i="4"/>
  <c r="F70" i="4"/>
  <c r="F71" i="4"/>
  <c r="F74" i="4"/>
  <c r="F75" i="4"/>
  <c r="F76" i="4"/>
  <c r="F81" i="4"/>
  <c r="F82" i="4"/>
  <c r="F84" i="4"/>
  <c r="F87" i="4"/>
  <c r="F89" i="4"/>
  <c r="F90" i="4"/>
  <c r="F91" i="4"/>
  <c r="F92" i="4"/>
  <c r="F93" i="4"/>
  <c r="F94" i="4"/>
  <c r="F95" i="4"/>
  <c r="F96" i="4"/>
  <c r="F97" i="4"/>
  <c r="F101" i="4"/>
  <c r="F102" i="4"/>
  <c r="F103" i="4"/>
  <c r="F104" i="4"/>
  <c r="F105" i="4"/>
  <c r="F106" i="4"/>
  <c r="F108" i="4"/>
  <c r="F109" i="4"/>
  <c r="F110" i="4"/>
  <c r="F113" i="4"/>
  <c r="F114" i="4"/>
  <c r="F116" i="4"/>
  <c r="F117" i="4"/>
  <c r="F119" i="4"/>
  <c r="F120" i="4"/>
  <c r="F121" i="4"/>
  <c r="F122" i="4"/>
  <c r="F123" i="4"/>
  <c r="F124" i="4"/>
  <c r="F126" i="4"/>
  <c r="F127" i="4"/>
  <c r="F128" i="4"/>
  <c r="F129" i="4"/>
  <c r="F131" i="4"/>
  <c r="F132" i="4"/>
  <c r="F134" i="4"/>
  <c r="F135" i="4"/>
  <c r="F136" i="4"/>
  <c r="F137" i="4"/>
  <c r="F139" i="4"/>
  <c r="F141" i="4"/>
  <c r="F155" i="4"/>
  <c r="F158" i="4"/>
  <c r="F160" i="4"/>
  <c r="F174" i="4"/>
  <c r="F175" i="4"/>
  <c r="AZ4" i="117"/>
  <c r="BA4" i="117"/>
  <c r="BB4" i="117"/>
  <c r="AZ5" i="117"/>
  <c r="BA5" i="117"/>
  <c r="BB5" i="117"/>
  <c r="AZ6" i="117"/>
  <c r="P13" i="4" s="1"/>
  <c r="BA6" i="117"/>
  <c r="BB6" i="117"/>
  <c r="AZ7" i="117"/>
  <c r="P14" i="4" s="1"/>
  <c r="BA7" i="117"/>
  <c r="BB7" i="117"/>
  <c r="AZ8" i="117"/>
  <c r="P15" i="4" s="1"/>
  <c r="BA8" i="117"/>
  <c r="BB8" i="117"/>
  <c r="AZ9" i="117"/>
  <c r="P16" i="4" s="1"/>
  <c r="BA9" i="117"/>
  <c r="BB9" i="117"/>
  <c r="AZ10" i="117"/>
  <c r="P17" i="4" s="1"/>
  <c r="BA10" i="117"/>
  <c r="BB10" i="117"/>
  <c r="AZ11" i="117"/>
  <c r="P18" i="4" s="1"/>
  <c r="BA11" i="117"/>
  <c r="BB11" i="117"/>
  <c r="AZ12" i="117"/>
  <c r="P19" i="4" s="1"/>
  <c r="BA12" i="117"/>
  <c r="BB12" i="117"/>
  <c r="AZ13" i="117"/>
  <c r="P20" i="4" s="1"/>
  <c r="BA13" i="117"/>
  <c r="BB13" i="117"/>
  <c r="AZ14" i="117"/>
  <c r="P21" i="4" s="1"/>
  <c r="BA14" i="117"/>
  <c r="BB14" i="117"/>
  <c r="AZ15" i="117"/>
  <c r="P22" i="4" s="1"/>
  <c r="BA15" i="117"/>
  <c r="BB15" i="117"/>
  <c r="AZ16" i="117"/>
  <c r="P25" i="4" s="1"/>
  <c r="BA16" i="117"/>
  <c r="BB16" i="117"/>
  <c r="AZ17" i="117"/>
  <c r="P26" i="4" s="1"/>
  <c r="BA17" i="117"/>
  <c r="BB17" i="117"/>
  <c r="AZ18" i="117"/>
  <c r="P27" i="4" s="1"/>
  <c r="BA18" i="117"/>
  <c r="BB18" i="117"/>
  <c r="AZ19" i="117"/>
  <c r="P28" i="4" s="1"/>
  <c r="BA19" i="117"/>
  <c r="BB19" i="117"/>
  <c r="AZ20" i="117"/>
  <c r="P29" i="4" s="1"/>
  <c r="BA20" i="117"/>
  <c r="BB20" i="117"/>
  <c r="AZ21" i="117"/>
  <c r="P30" i="4" s="1"/>
  <c r="BA21" i="117"/>
  <c r="BB21" i="117"/>
  <c r="AZ22" i="117"/>
  <c r="P32" i="4" s="1"/>
  <c r="BA22" i="117"/>
  <c r="BB22" i="117"/>
  <c r="AZ23" i="117"/>
  <c r="P33" i="4" s="1"/>
  <c r="BA23" i="117"/>
  <c r="BB23" i="117"/>
  <c r="AZ24" i="117"/>
  <c r="P34" i="4" s="1"/>
  <c r="BA24" i="117"/>
  <c r="BB24" i="117"/>
  <c r="AZ25" i="117"/>
  <c r="P35" i="4" s="1"/>
  <c r="BA25" i="117"/>
  <c r="BB25" i="117"/>
  <c r="AZ26" i="117"/>
  <c r="P37" i="4" s="1"/>
  <c r="BA26" i="117"/>
  <c r="BB26" i="117"/>
  <c r="AZ27" i="117"/>
  <c r="P38" i="4" s="1"/>
  <c r="BA27" i="117"/>
  <c r="BB27" i="117"/>
  <c r="AZ28" i="117"/>
  <c r="P39" i="4" s="1"/>
  <c r="BA28" i="117"/>
  <c r="BB28" i="117"/>
  <c r="AZ29" i="117"/>
  <c r="P40" i="4" s="1"/>
  <c r="BA29" i="117"/>
  <c r="BB29" i="117"/>
  <c r="AZ30" i="117"/>
  <c r="P41" i="4" s="1"/>
  <c r="BA30" i="117"/>
  <c r="BB30" i="117"/>
  <c r="AZ31" i="117"/>
  <c r="P42" i="4" s="1"/>
  <c r="BA31" i="117"/>
  <c r="BB31" i="117"/>
  <c r="AZ32" i="117"/>
  <c r="P43" i="4" s="1"/>
  <c r="BA32" i="117"/>
  <c r="BB32" i="117"/>
  <c r="AZ33" i="117"/>
  <c r="P44" i="4" s="1"/>
  <c r="BA33" i="117"/>
  <c r="BB33" i="117"/>
  <c r="AZ34" i="117"/>
  <c r="P45" i="4" s="1"/>
  <c r="BA34" i="117"/>
  <c r="BB34" i="117"/>
  <c r="AZ35" i="117"/>
  <c r="P46" i="4" s="1"/>
  <c r="BA35" i="117"/>
  <c r="BB35" i="117"/>
  <c r="AZ36" i="117"/>
  <c r="P47" i="4" s="1"/>
  <c r="BA36" i="117"/>
  <c r="BB36" i="117"/>
  <c r="AZ37" i="117"/>
  <c r="P48" i="4" s="1"/>
  <c r="BA37" i="117"/>
  <c r="BB37" i="117"/>
  <c r="AZ38" i="117"/>
  <c r="P49" i="4" s="1"/>
  <c r="BA38" i="117"/>
  <c r="BB38" i="117"/>
  <c r="AZ39" i="117"/>
  <c r="P50" i="4" s="1"/>
  <c r="BA39" i="117"/>
  <c r="BB39" i="117"/>
  <c r="AZ40" i="117"/>
  <c r="P51" i="4" s="1"/>
  <c r="BA40" i="117"/>
  <c r="BB40" i="117"/>
  <c r="AZ41" i="117"/>
  <c r="P52" i="4" s="1"/>
  <c r="BA41" i="117"/>
  <c r="BB41" i="117"/>
  <c r="AZ42" i="117"/>
  <c r="P53" i="4" s="1"/>
  <c r="BA42" i="117"/>
  <c r="BB42" i="117"/>
  <c r="AZ43" i="117"/>
  <c r="P56" i="4" s="1"/>
  <c r="BA43" i="117"/>
  <c r="BB43" i="117"/>
  <c r="AZ44" i="117"/>
  <c r="P57" i="4" s="1"/>
  <c r="BA44" i="117"/>
  <c r="BB44" i="117"/>
  <c r="AZ45" i="117"/>
  <c r="P58" i="4" s="1"/>
  <c r="BA45" i="117"/>
  <c r="BB45" i="117"/>
  <c r="AZ46" i="117"/>
  <c r="P59" i="4" s="1"/>
  <c r="BA46" i="117"/>
  <c r="BB46" i="117"/>
  <c r="AZ47" i="117"/>
  <c r="P60" i="4" s="1"/>
  <c r="BA47" i="117"/>
  <c r="BB47" i="117"/>
  <c r="AZ48" i="117"/>
  <c r="P61" i="4" s="1"/>
  <c r="BA48" i="117"/>
  <c r="BB48" i="117"/>
  <c r="AZ49" i="117"/>
  <c r="BA49" i="117"/>
  <c r="BB49" i="117"/>
  <c r="AZ50" i="117"/>
  <c r="P64" i="4" s="1"/>
  <c r="BA50" i="117"/>
  <c r="BB50" i="117"/>
  <c r="AZ51" i="117"/>
  <c r="P65" i="4" s="1"/>
  <c r="BA51" i="117"/>
  <c r="BB51" i="117"/>
  <c r="AZ52" i="117"/>
  <c r="P66" i="4" s="1"/>
  <c r="BA52" i="117"/>
  <c r="BB52" i="117"/>
  <c r="AZ53" i="117"/>
  <c r="P68" i="4" s="1"/>
  <c r="BA53" i="117"/>
  <c r="BB53" i="117"/>
  <c r="AZ54" i="117"/>
  <c r="P69" i="4" s="1"/>
  <c r="BA54" i="117"/>
  <c r="BB54" i="117"/>
  <c r="AZ55" i="117"/>
  <c r="P70" i="4" s="1"/>
  <c r="BA55" i="117"/>
  <c r="BB55" i="117"/>
  <c r="AZ56" i="117"/>
  <c r="P71" i="4" s="1"/>
  <c r="BA56" i="117"/>
  <c r="BB56" i="117"/>
  <c r="AZ57" i="117"/>
  <c r="P72" i="4" s="1"/>
  <c r="BA57" i="117"/>
  <c r="BB57" i="117"/>
  <c r="AZ58" i="117"/>
  <c r="P73" i="4" s="1"/>
  <c r="BA58" i="117"/>
  <c r="BB58" i="117"/>
  <c r="AZ59" i="117"/>
  <c r="P74" i="4" s="1"/>
  <c r="BA59" i="117"/>
  <c r="BB59" i="117"/>
  <c r="AZ60" i="117"/>
  <c r="P75" i="4" s="1"/>
  <c r="BA60" i="117"/>
  <c r="BB60" i="117"/>
  <c r="AZ61" i="117"/>
  <c r="P76" i="4" s="1"/>
  <c r="BA61" i="117"/>
  <c r="L76" i="39" s="1"/>
  <c r="BB61" i="117"/>
  <c r="N76" i="39" s="1"/>
  <c r="AZ62" i="117"/>
  <c r="P78" i="4" s="1"/>
  <c r="BA62" i="117"/>
  <c r="BB62" i="117"/>
  <c r="AZ63" i="117"/>
  <c r="BA63" i="117"/>
  <c r="BB63" i="117"/>
  <c r="AZ64" i="117"/>
  <c r="P81" i="4" s="1"/>
  <c r="BA64" i="117"/>
  <c r="BB64" i="117"/>
  <c r="AZ65" i="117"/>
  <c r="P82" i="4" s="1"/>
  <c r="BA65" i="117"/>
  <c r="BB65" i="117"/>
  <c r="AZ66" i="117"/>
  <c r="BA66" i="117"/>
  <c r="BB66" i="117"/>
  <c r="AZ67" i="117"/>
  <c r="P86" i="4" s="1"/>
  <c r="BA67" i="117"/>
  <c r="BB67" i="117"/>
  <c r="AZ68" i="117"/>
  <c r="P87" i="4" s="1"/>
  <c r="P87" i="39" s="1"/>
  <c r="BA68" i="117"/>
  <c r="BB68" i="117"/>
  <c r="AZ69" i="117"/>
  <c r="P89" i="4" s="1"/>
  <c r="P89" i="39" s="1"/>
  <c r="BA69" i="117"/>
  <c r="BB69" i="117"/>
  <c r="AZ70" i="117"/>
  <c r="P90" i="4" s="1"/>
  <c r="BA70" i="117"/>
  <c r="BB70" i="117"/>
  <c r="AZ71" i="117"/>
  <c r="P91" i="4" s="1"/>
  <c r="BA71" i="117"/>
  <c r="BB71" i="117"/>
  <c r="AZ72" i="117"/>
  <c r="P92" i="4" s="1"/>
  <c r="BA72" i="117"/>
  <c r="BB72" i="117"/>
  <c r="AZ73" i="117"/>
  <c r="P93" i="4" s="1"/>
  <c r="BA73" i="117"/>
  <c r="BB73" i="117"/>
  <c r="AZ74" i="117"/>
  <c r="P94" i="4" s="1"/>
  <c r="BA74" i="117"/>
  <c r="BB74" i="117"/>
  <c r="AZ75" i="117"/>
  <c r="P95" i="4" s="1"/>
  <c r="BA75" i="117"/>
  <c r="BB75" i="117"/>
  <c r="AZ76" i="117"/>
  <c r="P96" i="4" s="1"/>
  <c r="BA76" i="117"/>
  <c r="BB76" i="117"/>
  <c r="AZ77" i="117"/>
  <c r="P97" i="4" s="1"/>
  <c r="BA77" i="117"/>
  <c r="BB77" i="117"/>
  <c r="AZ78" i="117"/>
  <c r="BA78" i="117"/>
  <c r="BB78" i="117"/>
  <c r="AZ79" i="117"/>
  <c r="P99" i="4" s="1"/>
  <c r="BA79" i="117"/>
  <c r="BB79" i="117"/>
  <c r="AZ80" i="117"/>
  <c r="P100" i="4" s="1"/>
  <c r="BA80" i="117"/>
  <c r="BB80" i="117"/>
  <c r="AZ81" i="117"/>
  <c r="P101" i="4" s="1"/>
  <c r="BA81" i="117"/>
  <c r="BB81" i="117"/>
  <c r="AZ82" i="117"/>
  <c r="P102" i="4" s="1"/>
  <c r="BA82" i="117"/>
  <c r="BB82" i="117"/>
  <c r="AZ83" i="117"/>
  <c r="P103" i="4" s="1"/>
  <c r="BA83" i="117"/>
  <c r="BB83" i="117"/>
  <c r="AZ84" i="117"/>
  <c r="P104" i="4" s="1"/>
  <c r="BA84" i="117"/>
  <c r="BB84" i="117"/>
  <c r="AZ85" i="117"/>
  <c r="P105" i="4" s="1"/>
  <c r="BA85" i="117"/>
  <c r="BB85" i="117"/>
  <c r="AZ86" i="117"/>
  <c r="P106" i="4" s="1"/>
  <c r="BA86" i="117"/>
  <c r="BB86" i="117"/>
  <c r="AZ87" i="117"/>
  <c r="BA87" i="117"/>
  <c r="BB87" i="117"/>
  <c r="AZ88" i="117"/>
  <c r="P108" i="4" s="1"/>
  <c r="BA88" i="117"/>
  <c r="BB88" i="117"/>
  <c r="AZ89" i="117"/>
  <c r="P109" i="4" s="1"/>
  <c r="BA89" i="117"/>
  <c r="BB89" i="117"/>
  <c r="AZ90" i="117"/>
  <c r="P112" i="4" s="1"/>
  <c r="BA90" i="117"/>
  <c r="BB90" i="117"/>
  <c r="AZ91" i="117"/>
  <c r="P113" i="4" s="1"/>
  <c r="BA91" i="117"/>
  <c r="BB91" i="117"/>
  <c r="AZ92" i="117"/>
  <c r="BA92" i="117"/>
  <c r="BB92" i="117"/>
  <c r="AZ93" i="117"/>
  <c r="P116" i="4" s="1"/>
  <c r="BA93" i="117"/>
  <c r="BB93" i="117"/>
  <c r="AZ94" i="117"/>
  <c r="P117" i="4" s="1"/>
  <c r="BA94" i="117"/>
  <c r="BB94" i="117"/>
  <c r="AZ95" i="117"/>
  <c r="BA95" i="117"/>
  <c r="BB95" i="117"/>
  <c r="AZ96" i="117"/>
  <c r="P119" i="4" s="1"/>
  <c r="BA96" i="117"/>
  <c r="BB96" i="117"/>
  <c r="AZ97" i="117"/>
  <c r="P121" i="4" s="1"/>
  <c r="BA97" i="117"/>
  <c r="BB97" i="117"/>
  <c r="AZ98" i="117"/>
  <c r="P122" i="4" s="1"/>
  <c r="BA98" i="117"/>
  <c r="BB98" i="117"/>
  <c r="AZ99" i="117"/>
  <c r="P123" i="4" s="1"/>
  <c r="BA99" i="117"/>
  <c r="BB99" i="117"/>
  <c r="AZ100" i="117"/>
  <c r="P124" i="4" s="1"/>
  <c r="BA100" i="117"/>
  <c r="BB100" i="117"/>
  <c r="AZ101" i="117"/>
  <c r="BA101" i="117"/>
  <c r="BB101" i="117"/>
  <c r="AZ102" i="117"/>
  <c r="P126" i="4" s="1"/>
  <c r="BA102" i="117"/>
  <c r="BB102" i="117"/>
  <c r="AZ103" i="117"/>
  <c r="P127" i="4" s="1"/>
  <c r="BA103" i="117"/>
  <c r="BB103" i="117"/>
  <c r="AZ104" i="117"/>
  <c r="P128" i="4" s="1"/>
  <c r="BA104" i="117"/>
  <c r="BB104" i="117"/>
  <c r="AZ105" i="117"/>
  <c r="P129" i="4" s="1"/>
  <c r="BA105" i="117"/>
  <c r="BB105" i="117"/>
  <c r="AZ106" i="117"/>
  <c r="BA106" i="117"/>
  <c r="BB106" i="117"/>
  <c r="AZ107" i="117"/>
  <c r="P131" i="4" s="1"/>
  <c r="P130" i="4" s="1"/>
  <c r="BA107" i="117"/>
  <c r="BB107" i="117"/>
  <c r="AZ108" i="117"/>
  <c r="BA108" i="117"/>
  <c r="BB108" i="117"/>
  <c r="AZ109" i="117"/>
  <c r="P134" i="4" s="1"/>
  <c r="BA109" i="117"/>
  <c r="BB109" i="117"/>
  <c r="AZ110" i="117"/>
  <c r="P135" i="4" s="1"/>
  <c r="BA110" i="117"/>
  <c r="BB110" i="117"/>
  <c r="AZ111" i="117"/>
  <c r="P136" i="4" s="1"/>
  <c r="BA111" i="117"/>
  <c r="BB111" i="117"/>
  <c r="AZ112" i="117"/>
  <c r="P137" i="4" s="1"/>
  <c r="BA112" i="117"/>
  <c r="BB112" i="117"/>
  <c r="AZ113" i="117"/>
  <c r="BA113" i="117"/>
  <c r="BB113" i="117"/>
  <c r="AZ114" i="117"/>
  <c r="P139" i="4" s="1"/>
  <c r="BA114" i="117"/>
  <c r="BB114" i="117"/>
  <c r="AZ115" i="117"/>
  <c r="P141" i="4" s="1"/>
  <c r="BA115" i="117"/>
  <c r="BB115" i="117"/>
  <c r="AZ116" i="117"/>
  <c r="P143" i="4" s="1"/>
  <c r="P142" i="4" s="1"/>
  <c r="BA116" i="117"/>
  <c r="BB116" i="117"/>
  <c r="AZ117" i="117"/>
  <c r="P144" i="4" s="1"/>
  <c r="BA117" i="117"/>
  <c r="BB117" i="117"/>
  <c r="AZ118" i="117"/>
  <c r="BA118" i="117"/>
  <c r="BB118" i="117"/>
  <c r="AZ119" i="117"/>
  <c r="BA119" i="117"/>
  <c r="BB119" i="117"/>
  <c r="AZ120" i="117"/>
  <c r="BA120" i="117"/>
  <c r="BB120" i="117"/>
  <c r="AZ121" i="117"/>
  <c r="P155" i="4" s="1"/>
  <c r="BA121" i="117"/>
  <c r="BB121" i="117"/>
  <c r="AZ122" i="117"/>
  <c r="P158" i="4" s="1"/>
  <c r="BA122" i="117"/>
  <c r="BB122" i="117"/>
  <c r="AZ123" i="117"/>
  <c r="P160" i="4" s="1"/>
  <c r="BA123" i="117"/>
  <c r="BB123" i="117"/>
  <c r="AZ124" i="117"/>
  <c r="P167" i="4" s="1"/>
  <c r="P168" i="4" s="1"/>
  <c r="BA124" i="117"/>
  <c r="BB124" i="117"/>
  <c r="AZ125" i="117"/>
  <c r="BA125" i="117"/>
  <c r="BB125" i="117"/>
  <c r="AZ126" i="117"/>
  <c r="BA126" i="117"/>
  <c r="BB126" i="117"/>
  <c r="AZ127" i="117"/>
  <c r="P173" i="4" s="1"/>
  <c r="P172" i="4" s="1"/>
  <c r="BA127" i="117"/>
  <c r="BB127" i="117"/>
  <c r="AZ128" i="117"/>
  <c r="BA128" i="117"/>
  <c r="BB128" i="117"/>
  <c r="AZ129" i="117"/>
  <c r="P175" i="4" s="1"/>
  <c r="P174" i="4" s="1"/>
  <c r="BA129" i="117"/>
  <c r="BB129" i="117"/>
  <c r="AZ130" i="117"/>
  <c r="BA130" i="117"/>
  <c r="BB130" i="117"/>
  <c r="AZ131" i="117"/>
  <c r="BA131" i="117"/>
  <c r="BB131" i="117"/>
  <c r="AZ132" i="117"/>
  <c r="P178" i="4" s="1"/>
  <c r="BA132" i="117"/>
  <c r="BB132" i="117"/>
  <c r="AZ133" i="117"/>
  <c r="BA133" i="117"/>
  <c r="BB133" i="117"/>
  <c r="AZ134" i="117"/>
  <c r="P179" i="4" s="1"/>
  <c r="BA134" i="117"/>
  <c r="BB134" i="117"/>
  <c r="AZ135" i="117"/>
  <c r="BA135" i="117"/>
  <c r="BB135" i="117"/>
  <c r="AZ136" i="117"/>
  <c r="BA136" i="117"/>
  <c r="BB136" i="117"/>
  <c r="AZ137" i="117"/>
  <c r="P180" i="4" s="1"/>
  <c r="BA137" i="117"/>
  <c r="BB137" i="117"/>
  <c r="AZ138" i="117"/>
  <c r="BA138" i="117"/>
  <c r="BB138" i="117"/>
  <c r="AZ139" i="117"/>
  <c r="P181" i="4" s="1"/>
  <c r="BA139" i="117"/>
  <c r="BB139" i="117"/>
  <c r="AZ140" i="117"/>
  <c r="BA140" i="117"/>
  <c r="BB140" i="117"/>
  <c r="BA3" i="117"/>
  <c r="AQ4" i="117"/>
  <c r="AQ5" i="117"/>
  <c r="AQ6" i="117"/>
  <c r="Z13" i="4" s="1"/>
  <c r="AQ7" i="117"/>
  <c r="Z14" i="4" s="1"/>
  <c r="AQ8" i="117"/>
  <c r="Z15" i="4" s="1"/>
  <c r="AQ9" i="117"/>
  <c r="Z16" i="4" s="1"/>
  <c r="AQ10" i="117"/>
  <c r="Z17" i="4" s="1"/>
  <c r="AQ11" i="117"/>
  <c r="Z18" i="4" s="1"/>
  <c r="AQ12" i="117"/>
  <c r="Z19" i="4" s="1"/>
  <c r="AQ13" i="117"/>
  <c r="Z20" i="4" s="1"/>
  <c r="AQ14" i="117"/>
  <c r="Z21" i="4" s="1"/>
  <c r="AQ15" i="117"/>
  <c r="Z22" i="4" s="1"/>
  <c r="AQ16" i="117"/>
  <c r="AQ17" i="117"/>
  <c r="Z26" i="4" s="1"/>
  <c r="AQ18" i="117"/>
  <c r="Z27" i="4" s="1"/>
  <c r="AQ19" i="117"/>
  <c r="AQ20" i="117"/>
  <c r="Z29" i="4" s="1"/>
  <c r="AQ21" i="117"/>
  <c r="Z30" i="4" s="1"/>
  <c r="AQ22" i="117"/>
  <c r="AQ23" i="117"/>
  <c r="Z33" i="4" s="1"/>
  <c r="AQ24" i="117"/>
  <c r="Z35" i="4" s="1"/>
  <c r="AQ25" i="117"/>
  <c r="AQ26" i="117"/>
  <c r="Z38" i="4" s="1"/>
  <c r="Z37" i="4" s="1"/>
  <c r="AQ27" i="117"/>
  <c r="AQ28" i="117"/>
  <c r="AQ29" i="117"/>
  <c r="Z43" i="4" s="1"/>
  <c r="AQ30" i="117"/>
  <c r="Z44" i="4" s="1"/>
  <c r="AQ31" i="117"/>
  <c r="Z45" i="4" s="1"/>
  <c r="AQ32" i="117"/>
  <c r="Z46" i="4" s="1"/>
  <c r="AQ33" i="117"/>
  <c r="Z47" i="4" s="1"/>
  <c r="AQ34" i="117"/>
  <c r="Z48" i="4" s="1"/>
  <c r="AQ35" i="117"/>
  <c r="Z49" i="4" s="1"/>
  <c r="AQ36" i="117"/>
  <c r="Z50" i="4" s="1"/>
  <c r="AQ37" i="117"/>
  <c r="Z51" i="4" s="1"/>
  <c r="AQ38" i="117"/>
  <c r="Z52" i="4" s="1"/>
  <c r="AQ39" i="117"/>
  <c r="Z53" i="4" s="1"/>
  <c r="AQ40" i="117"/>
  <c r="AQ41" i="117"/>
  <c r="Z57" i="4" s="1"/>
  <c r="AQ42" i="117"/>
  <c r="Z58" i="4" s="1"/>
  <c r="AQ43" i="117"/>
  <c r="AQ44" i="117"/>
  <c r="Z60" i="4" s="1"/>
  <c r="AQ45" i="117"/>
  <c r="Z61" i="4" s="1"/>
  <c r="AQ46" i="117"/>
  <c r="AQ47" i="117"/>
  <c r="Z64" i="4" s="1"/>
  <c r="AQ48" i="117"/>
  <c r="Z65" i="4" s="1"/>
  <c r="AQ49" i="117"/>
  <c r="Z66" i="4" s="1"/>
  <c r="AQ50" i="117"/>
  <c r="AQ51" i="117"/>
  <c r="Z69" i="4" s="1"/>
  <c r="Z68" i="4" s="1"/>
  <c r="AQ52" i="117"/>
  <c r="AQ53" i="117"/>
  <c r="AQ54" i="117"/>
  <c r="Z74" i="4" s="1"/>
  <c r="AQ55" i="117"/>
  <c r="Z75" i="4" s="1"/>
  <c r="AQ56" i="117"/>
  <c r="Z76" i="4" s="1"/>
  <c r="AQ57" i="117"/>
  <c r="AQ58" i="117"/>
  <c r="AQ59" i="117"/>
  <c r="Z81" i="4" s="1"/>
  <c r="Z79" i="4" s="1"/>
  <c r="AQ60" i="117"/>
  <c r="AQ61" i="117"/>
  <c r="Z86" i="4" s="1"/>
  <c r="AQ62" i="117"/>
  <c r="Z87" i="4" s="1"/>
  <c r="AQ63" i="117"/>
  <c r="Z89" i="4" s="1"/>
  <c r="AQ64" i="117"/>
  <c r="Z90" i="4" s="1"/>
  <c r="AQ65" i="117"/>
  <c r="Z91" i="4" s="1"/>
  <c r="AQ66" i="117"/>
  <c r="Z92" i="4" s="1"/>
  <c r="AQ67" i="117"/>
  <c r="Z93" i="4" s="1"/>
  <c r="AQ68" i="117"/>
  <c r="Z94" i="4" s="1"/>
  <c r="AQ69" i="117"/>
  <c r="Z95" i="4" s="1"/>
  <c r="AQ70" i="117"/>
  <c r="Z96" i="4" s="1"/>
  <c r="AQ71" i="117"/>
  <c r="Z97" i="4" s="1"/>
  <c r="AQ72" i="117"/>
  <c r="AQ73" i="117"/>
  <c r="Z99" i="4" s="1"/>
  <c r="AQ74" i="117"/>
  <c r="Z100" i="4" s="1"/>
  <c r="AQ75" i="117"/>
  <c r="Z102" i="4" s="1"/>
  <c r="AQ76" i="117"/>
  <c r="Z103" i="4" s="1"/>
  <c r="AQ77" i="117"/>
  <c r="Z104" i="4" s="1"/>
  <c r="AQ78" i="117"/>
  <c r="Z105" i="4" s="1"/>
  <c r="AQ79" i="117"/>
  <c r="Z106" i="4" s="1"/>
  <c r="AQ80" i="117"/>
  <c r="AQ81" i="117"/>
  <c r="Z108" i="4" s="1"/>
  <c r="AQ82" i="117"/>
  <c r="Z109" i="4" s="1"/>
  <c r="AQ83" i="117"/>
  <c r="Z110" i="4" s="1"/>
  <c r="AQ84" i="117"/>
  <c r="Z113" i="4" s="1"/>
  <c r="AQ85" i="117"/>
  <c r="AQ86" i="117"/>
  <c r="Z116" i="4" s="1"/>
  <c r="Z115" i="4" s="1"/>
  <c r="AQ87" i="117"/>
  <c r="AQ88" i="117"/>
  <c r="Z119" i="4" s="1"/>
  <c r="AQ89" i="117"/>
  <c r="Z121" i="4" s="1"/>
  <c r="AQ90" i="117"/>
  <c r="Z122" i="4" s="1"/>
  <c r="AQ91" i="117"/>
  <c r="Z123" i="4" s="1"/>
  <c r="AQ92" i="117"/>
  <c r="Z124" i="4" s="1"/>
  <c r="AQ93" i="117"/>
  <c r="AQ94" i="117"/>
  <c r="Z126" i="4" s="1"/>
  <c r="AQ95" i="117"/>
  <c r="Z127" i="4" s="1"/>
  <c r="AQ96" i="117"/>
  <c r="Z128" i="4" s="1"/>
  <c r="AQ97" i="117"/>
  <c r="Z129" i="4" s="1"/>
  <c r="AQ98" i="117"/>
  <c r="AQ99" i="117"/>
  <c r="Z131" i="4" s="1"/>
  <c r="Z130" i="4" s="1"/>
  <c r="AQ100" i="117"/>
  <c r="AQ101" i="117"/>
  <c r="Z134" i="4" s="1"/>
  <c r="AQ102" i="117"/>
  <c r="Z135" i="4" s="1"/>
  <c r="AQ103" i="117"/>
  <c r="Z136" i="4" s="1"/>
  <c r="AQ104" i="117"/>
  <c r="AQ105" i="117"/>
  <c r="Z139" i="4" s="1"/>
  <c r="AQ106" i="117"/>
  <c r="Z141" i="4" s="1"/>
  <c r="AQ107" i="117"/>
  <c r="AQ108" i="117"/>
  <c r="Z143" i="4" s="1"/>
  <c r="Z142" i="4" s="1"/>
  <c r="AQ109" i="117"/>
  <c r="Z144" i="4" s="1"/>
  <c r="AQ110" i="117"/>
  <c r="AQ111" i="117"/>
  <c r="AQ112" i="117"/>
  <c r="Z158" i="4" s="1"/>
  <c r="AQ113" i="117"/>
  <c r="Z160" i="4" s="1"/>
  <c r="AQ114" i="117"/>
  <c r="AQ115" i="117"/>
  <c r="AQ116" i="117"/>
  <c r="Z175" i="4" s="1"/>
  <c r="Z174" i="4" s="1"/>
  <c r="Z169" i="4" s="1"/>
  <c r="AQ117" i="117"/>
  <c r="AQ118" i="117"/>
  <c r="Z178" i="4" s="1"/>
  <c r="AQ119" i="117"/>
  <c r="AQ120" i="117"/>
  <c r="Z179" i="4" s="1"/>
  <c r="AQ121" i="117"/>
  <c r="AQ122" i="117"/>
  <c r="AQ123" i="117"/>
  <c r="AQ3" i="117"/>
  <c r="P169" i="4" l="1"/>
  <c r="P98" i="4"/>
  <c r="P79" i="4"/>
  <c r="Z154" i="4"/>
  <c r="Z146" i="4" s="1"/>
  <c r="Z138" i="4"/>
  <c r="Z107" i="4"/>
  <c r="P177" i="4"/>
  <c r="P154" i="4"/>
  <c r="P146" i="4" s="1"/>
  <c r="P85" i="4"/>
  <c r="P118" i="4"/>
  <c r="P107" i="4"/>
  <c r="P133" i="4"/>
  <c r="P115" i="4"/>
  <c r="P125" i="4"/>
  <c r="P12" i="4"/>
  <c r="P11" i="4" s="1"/>
  <c r="P138" i="4"/>
  <c r="P63" i="4"/>
  <c r="N110" i="39"/>
  <c r="O110" i="39" s="1"/>
  <c r="Z56" i="4"/>
  <c r="Z98" i="4"/>
  <c r="Z133" i="4"/>
  <c r="Z63" i="4"/>
  <c r="Z177" i="4"/>
  <c r="Z125" i="4"/>
  <c r="Z73" i="4"/>
  <c r="Z72" i="4" s="1"/>
  <c r="Z12" i="4"/>
  <c r="Z85" i="4"/>
  <c r="Z42" i="4"/>
  <c r="Z59" i="4"/>
  <c r="Z118" i="4"/>
  <c r="L287" i="39"/>
  <c r="H110" i="39"/>
  <c r="I80" i="39"/>
  <c r="L88" i="39"/>
  <c r="M88" i="39" s="1"/>
  <c r="N140" i="39"/>
  <c r="N36" i="39"/>
  <c r="I36" i="39"/>
  <c r="H36" i="39"/>
  <c r="I140" i="39"/>
  <c r="L36" i="39"/>
  <c r="H140" i="39"/>
  <c r="L140" i="39"/>
  <c r="H80" i="39"/>
  <c r="L80" i="39"/>
  <c r="N80" i="39"/>
  <c r="H144" i="39"/>
  <c r="N144" i="39"/>
  <c r="N143" i="39"/>
  <c r="N142" i="39" s="1"/>
  <c r="L144" i="39"/>
  <c r="L143" i="39"/>
  <c r="H143" i="39"/>
  <c r="I144" i="39"/>
  <c r="I143" i="39"/>
  <c r="N192" i="39"/>
  <c r="O192" i="39" s="1"/>
  <c r="L203" i="39"/>
  <c r="M203" i="39" s="1"/>
  <c r="L193" i="39"/>
  <c r="M193" i="39" s="1"/>
  <c r="L192" i="39"/>
  <c r="M192" i="39" s="1"/>
  <c r="Z78" i="4" l="1"/>
  <c r="Z41" i="4"/>
  <c r="O80" i="39"/>
  <c r="O36" i="39"/>
  <c r="M36" i="39"/>
  <c r="M80" i="39"/>
  <c r="M143" i="39"/>
  <c r="O144" i="39"/>
  <c r="M140" i="39"/>
  <c r="M144" i="39"/>
  <c r="O143" i="39"/>
  <c r="O140" i="39"/>
  <c r="L199" i="39"/>
  <c r="M199" i="39" s="1"/>
  <c r="L189" i="39"/>
  <c r="M189" i="39" s="1"/>
  <c r="N189" i="39"/>
  <c r="O189" i="39" s="1"/>
  <c r="I142" i="39"/>
  <c r="N278" i="39"/>
  <c r="O278" i="39" s="1"/>
  <c r="N275" i="39"/>
  <c r="O275" i="39" s="1"/>
  <c r="N276" i="39"/>
  <c r="O276" i="39" s="1"/>
  <c r="L286" i="39"/>
  <c r="H142" i="39"/>
  <c r="L142" i="39"/>
  <c r="J172" i="39"/>
  <c r="I172" i="39"/>
  <c r="M172" i="39" s="1"/>
  <c r="H172" i="39"/>
  <c r="J167" i="39"/>
  <c r="I167" i="39"/>
  <c r="H164" i="39"/>
  <c r="F132" i="39"/>
  <c r="F87" i="39"/>
  <c r="H202" i="39"/>
  <c r="AH4" i="117"/>
  <c r="AH5" i="117"/>
  <c r="AH6" i="117"/>
  <c r="AH7" i="117"/>
  <c r="AH8" i="117"/>
  <c r="AH9" i="117"/>
  <c r="AH10" i="117"/>
  <c r="AH11" i="117"/>
  <c r="AH12" i="117"/>
  <c r="AH13" i="117"/>
  <c r="AH14" i="117"/>
  <c r="AH15" i="117"/>
  <c r="AH16" i="117"/>
  <c r="AH17" i="117"/>
  <c r="AH18" i="117"/>
  <c r="AH19" i="117"/>
  <c r="AH20" i="117"/>
  <c r="AH21" i="117"/>
  <c r="AH22" i="117"/>
  <c r="AH23" i="117"/>
  <c r="AH24" i="117"/>
  <c r="AH25" i="117"/>
  <c r="AH26" i="117"/>
  <c r="AH27" i="117"/>
  <c r="AH28" i="117"/>
  <c r="AH29" i="117"/>
  <c r="AH30" i="117"/>
  <c r="AH31" i="117"/>
  <c r="AH32" i="117"/>
  <c r="AH33" i="117"/>
  <c r="AH34" i="117"/>
  <c r="AH35" i="117"/>
  <c r="AH36" i="117"/>
  <c r="AH37" i="117"/>
  <c r="AH38" i="117"/>
  <c r="AH39" i="117"/>
  <c r="AH40" i="117"/>
  <c r="AH41" i="117"/>
  <c r="AH42" i="117"/>
  <c r="AH43" i="117"/>
  <c r="AH44" i="117"/>
  <c r="AH45" i="117"/>
  <c r="AH46" i="117"/>
  <c r="AH47" i="117"/>
  <c r="AH48" i="117"/>
  <c r="AH49" i="117"/>
  <c r="AH50" i="117"/>
  <c r="AH51" i="117"/>
  <c r="AH52" i="117"/>
  <c r="AH53" i="117"/>
  <c r="AH54" i="117"/>
  <c r="AH55" i="117"/>
  <c r="AH56" i="117"/>
  <c r="AH57" i="117"/>
  <c r="AH58" i="117"/>
  <c r="AH59" i="117"/>
  <c r="AH60" i="117"/>
  <c r="AH61" i="117"/>
  <c r="AH62" i="117"/>
  <c r="AH63" i="117"/>
  <c r="AH64" i="117"/>
  <c r="AH65" i="117"/>
  <c r="AH66" i="117"/>
  <c r="AH67" i="117"/>
  <c r="AH68" i="117"/>
  <c r="AH69" i="117"/>
  <c r="AH70" i="117"/>
  <c r="AH71" i="117"/>
  <c r="AH72" i="117"/>
  <c r="AH73" i="117"/>
  <c r="AH74" i="117"/>
  <c r="AH75" i="117"/>
  <c r="AH76" i="117"/>
  <c r="AH77" i="117"/>
  <c r="AH78" i="117"/>
  <c r="AH79" i="117"/>
  <c r="AH80" i="117"/>
  <c r="AH81" i="117"/>
  <c r="AH82" i="117"/>
  <c r="AH83" i="117"/>
  <c r="AH84" i="117"/>
  <c r="AH85" i="117"/>
  <c r="AH86" i="117"/>
  <c r="AH87" i="117"/>
  <c r="AH88" i="117"/>
  <c r="AH89" i="117"/>
  <c r="AH90" i="117"/>
  <c r="AH91" i="117"/>
  <c r="AH92" i="117"/>
  <c r="AH93" i="117"/>
  <c r="AH94" i="117"/>
  <c r="AH95" i="117"/>
  <c r="AH96" i="117"/>
  <c r="AH97" i="117"/>
  <c r="AH98" i="117"/>
  <c r="AH99" i="117"/>
  <c r="AH100" i="117"/>
  <c r="AH101" i="117"/>
  <c r="AH102" i="117"/>
  <c r="AH103" i="117"/>
  <c r="AH104" i="117"/>
  <c r="AH105" i="117"/>
  <c r="AH106" i="117"/>
  <c r="AH107" i="117"/>
  <c r="AH108" i="117"/>
  <c r="AH109" i="117"/>
  <c r="AH110" i="117"/>
  <c r="AH111" i="117"/>
  <c r="AH112" i="117"/>
  <c r="AH113" i="117"/>
  <c r="AH114" i="117"/>
  <c r="AH115" i="117"/>
  <c r="AH116" i="117"/>
  <c r="AH117" i="117"/>
  <c r="AH118" i="117"/>
  <c r="AH119" i="117"/>
  <c r="AH120" i="117"/>
  <c r="AH121" i="117"/>
  <c r="AH122" i="117"/>
  <c r="AH123" i="117"/>
  <c r="AH124" i="117"/>
  <c r="AH125" i="117"/>
  <c r="AH126" i="117"/>
  <c r="AH127" i="117"/>
  <c r="AH128" i="117"/>
  <c r="AH129" i="117"/>
  <c r="AH130" i="117"/>
  <c r="AH131" i="117"/>
  <c r="AH132" i="117"/>
  <c r="AH133" i="117"/>
  <c r="AH134" i="117"/>
  <c r="AH135" i="117"/>
  <c r="AH136" i="117"/>
  <c r="AH3" i="117"/>
  <c r="AB4" i="117"/>
  <c r="AB5" i="117"/>
  <c r="AB6" i="117"/>
  <c r="X13" i="4" s="1"/>
  <c r="AB7" i="117"/>
  <c r="X14" i="4" s="1"/>
  <c r="AB8" i="117"/>
  <c r="X15" i="4" s="1"/>
  <c r="AB9" i="117"/>
  <c r="X16" i="4" s="1"/>
  <c r="AB10" i="117"/>
  <c r="X17" i="4" s="1"/>
  <c r="AB11" i="117"/>
  <c r="X18" i="4" s="1"/>
  <c r="AB12" i="117"/>
  <c r="X19" i="4" s="1"/>
  <c r="AB13" i="117"/>
  <c r="X20" i="4" s="1"/>
  <c r="AB14" i="117"/>
  <c r="X21" i="4" s="1"/>
  <c r="Q21" i="4" s="1"/>
  <c r="AB15" i="117"/>
  <c r="X22" i="4" s="1"/>
  <c r="AB16" i="117"/>
  <c r="AB17" i="117"/>
  <c r="X26" i="4" s="1"/>
  <c r="AB18" i="117"/>
  <c r="X27" i="4" s="1"/>
  <c r="AB19" i="117"/>
  <c r="AB20" i="117"/>
  <c r="X29" i="4" s="1"/>
  <c r="Q29" i="4" s="1"/>
  <c r="AB21" i="117"/>
  <c r="X30" i="4" s="1"/>
  <c r="Q30" i="4" s="1"/>
  <c r="AB22" i="117"/>
  <c r="AB23" i="117"/>
  <c r="X33" i="4" s="1"/>
  <c r="AB24" i="117"/>
  <c r="X35" i="4" s="1"/>
  <c r="AB25" i="117"/>
  <c r="AB26" i="117"/>
  <c r="X39" i="4" s="1"/>
  <c r="AB27" i="117"/>
  <c r="AB28" i="117"/>
  <c r="AB29" i="117"/>
  <c r="X43" i="4" s="1"/>
  <c r="AB30" i="117"/>
  <c r="X44" i="4" s="1"/>
  <c r="AB31" i="117"/>
  <c r="X45" i="4" s="1"/>
  <c r="AB32" i="117"/>
  <c r="X46" i="4" s="1"/>
  <c r="AB33" i="117"/>
  <c r="X47" i="4" s="1"/>
  <c r="AB34" i="117"/>
  <c r="X48" i="4" s="1"/>
  <c r="AB35" i="117"/>
  <c r="X49" i="4" s="1"/>
  <c r="AB36" i="117"/>
  <c r="X50" i="4" s="1"/>
  <c r="AB37" i="117"/>
  <c r="X51" i="4" s="1"/>
  <c r="AB38" i="117"/>
  <c r="X52" i="4" s="1"/>
  <c r="AB39" i="117"/>
  <c r="X53" i="4" s="1"/>
  <c r="AB40" i="117"/>
  <c r="AB41" i="117"/>
  <c r="X57" i="4" s="1"/>
  <c r="AB42" i="117"/>
  <c r="X58" i="4" s="1"/>
  <c r="AB43" i="117"/>
  <c r="AB44" i="117"/>
  <c r="X60" i="4" s="1"/>
  <c r="AB45" i="117"/>
  <c r="X61" i="4" s="1"/>
  <c r="AB46" i="117"/>
  <c r="AB47" i="117"/>
  <c r="X64" i="4" s="1"/>
  <c r="AB48" i="117"/>
  <c r="X65" i="4" s="1"/>
  <c r="AB49" i="117"/>
  <c r="X66" i="4" s="1"/>
  <c r="AB50" i="117"/>
  <c r="AB51" i="117"/>
  <c r="X70" i="4" s="1"/>
  <c r="AB52" i="117"/>
  <c r="AB53" i="117"/>
  <c r="AB54" i="117"/>
  <c r="X74" i="4" s="1"/>
  <c r="AB55" i="117"/>
  <c r="X75" i="4" s="1"/>
  <c r="AB56" i="117"/>
  <c r="X76" i="4" s="1"/>
  <c r="AB57" i="117"/>
  <c r="AB58" i="117"/>
  <c r="AB59" i="117"/>
  <c r="X86" i="4" s="1"/>
  <c r="AB60" i="117"/>
  <c r="X87" i="4" s="1"/>
  <c r="AB61" i="117"/>
  <c r="X89" i="4" s="1"/>
  <c r="AB62" i="117"/>
  <c r="X90" i="4" s="1"/>
  <c r="AB63" i="117"/>
  <c r="AB64" i="117"/>
  <c r="X94" i="4" s="1"/>
  <c r="AB65" i="117"/>
  <c r="AB66" i="117"/>
  <c r="X97" i="4" s="1"/>
  <c r="AB67" i="117"/>
  <c r="AB68" i="117"/>
  <c r="X99" i="4" s="1"/>
  <c r="AB69" i="117"/>
  <c r="X100" i="4" s="1"/>
  <c r="AB70" i="117"/>
  <c r="X101" i="4" s="1"/>
  <c r="AB71" i="117"/>
  <c r="X102" i="4" s="1"/>
  <c r="AB72" i="117"/>
  <c r="X103" i="4" s="1"/>
  <c r="AB73" i="117"/>
  <c r="X104" i="4" s="1"/>
  <c r="AB74" i="117"/>
  <c r="X105" i="4" s="1"/>
  <c r="AB75" i="117"/>
  <c r="X106" i="4" s="1"/>
  <c r="AB76" i="117"/>
  <c r="AB77" i="117"/>
  <c r="X108" i="4" s="1"/>
  <c r="AB78" i="117"/>
  <c r="X109" i="4" s="1"/>
  <c r="AB79" i="117"/>
  <c r="AB80" i="117"/>
  <c r="AB81" i="117"/>
  <c r="AB82" i="117"/>
  <c r="X116" i="4" s="1"/>
  <c r="AB83" i="117"/>
  <c r="AB84" i="117"/>
  <c r="AB85" i="117"/>
  <c r="X119" i="4" s="1"/>
  <c r="AB86" i="117"/>
  <c r="X121" i="4" s="1"/>
  <c r="AB87" i="117"/>
  <c r="X122" i="4" s="1"/>
  <c r="AB88" i="117"/>
  <c r="X123" i="4" s="1"/>
  <c r="AB89" i="117"/>
  <c r="X124" i="4" s="1"/>
  <c r="AB90" i="117"/>
  <c r="AB91" i="117"/>
  <c r="X126" i="4" s="1"/>
  <c r="AB92" i="117"/>
  <c r="X127" i="4" s="1"/>
  <c r="AB93" i="117"/>
  <c r="X128" i="4" s="1"/>
  <c r="AB94" i="117"/>
  <c r="X129" i="4" s="1"/>
  <c r="AB95" i="117"/>
  <c r="AB96" i="117"/>
  <c r="X131" i="4" s="1"/>
  <c r="AB97" i="117"/>
  <c r="AB98" i="117"/>
  <c r="X134" i="4" s="1"/>
  <c r="AB99" i="117"/>
  <c r="X135" i="4" s="1"/>
  <c r="AB100" i="117"/>
  <c r="X136" i="4" s="1"/>
  <c r="AB101" i="117"/>
  <c r="AB102" i="117"/>
  <c r="X139" i="4" s="1"/>
  <c r="AB103" i="117"/>
  <c r="AB104" i="117"/>
  <c r="AB105" i="117"/>
  <c r="X158" i="4" s="1"/>
  <c r="AB106" i="117"/>
  <c r="X160" i="4" s="1"/>
  <c r="AB107" i="117"/>
  <c r="AB108" i="117"/>
  <c r="AB109" i="117"/>
  <c r="AB110" i="117"/>
  <c r="AB111" i="117"/>
  <c r="X175" i="4" s="1"/>
  <c r="AB112" i="117"/>
  <c r="AB113" i="117"/>
  <c r="AB114" i="117"/>
  <c r="X178" i="4" s="1"/>
  <c r="AB115" i="117"/>
  <c r="X179" i="4" s="1"/>
  <c r="AB116" i="117"/>
  <c r="AB117" i="117"/>
  <c r="AB118" i="117"/>
  <c r="X181" i="4" s="1"/>
  <c r="AB3" i="117"/>
  <c r="AS4" i="116"/>
  <c r="X16" i="35" s="1"/>
  <c r="Q16" i="35" s="1"/>
  <c r="AS5" i="116"/>
  <c r="X22" i="35" s="1"/>
  <c r="Q22" i="35" s="1"/>
  <c r="AS6" i="116"/>
  <c r="X23" i="35" s="1"/>
  <c r="AS7" i="116"/>
  <c r="X25" i="35" s="1"/>
  <c r="AS8" i="116"/>
  <c r="X21" i="35" s="1"/>
  <c r="AS9" i="116"/>
  <c r="X27" i="35" s="1"/>
  <c r="Q27" i="35" s="1"/>
  <c r="AS10" i="116"/>
  <c r="X33" i="35" s="1"/>
  <c r="AS11" i="116"/>
  <c r="X35" i="35" s="1"/>
  <c r="AS12" i="116"/>
  <c r="X42" i="35" s="1"/>
  <c r="Q42" i="35" s="1"/>
  <c r="AS13" i="116"/>
  <c r="X43" i="35" s="1"/>
  <c r="AS14" i="116"/>
  <c r="X45" i="35" s="1"/>
  <c r="Q45" i="35" s="1"/>
  <c r="AS3" i="116"/>
  <c r="X15" i="35" s="1"/>
  <c r="Q15" i="35" s="1"/>
  <c r="AI4" i="116"/>
  <c r="AI5" i="116"/>
  <c r="AI6" i="116"/>
  <c r="AI7" i="116"/>
  <c r="AI8" i="116"/>
  <c r="AI9" i="116"/>
  <c r="AI10" i="116"/>
  <c r="AI11" i="116"/>
  <c r="AI12" i="116"/>
  <c r="AI13" i="116"/>
  <c r="AI14" i="116"/>
  <c r="AI15" i="116"/>
  <c r="AI16" i="116"/>
  <c r="AI17" i="116"/>
  <c r="AI18" i="116"/>
  <c r="AI19" i="116"/>
  <c r="AI20" i="116"/>
  <c r="AI21" i="116"/>
  <c r="AI22" i="116"/>
  <c r="AI23" i="116"/>
  <c r="AI24" i="116"/>
  <c r="AI25" i="116"/>
  <c r="AI26" i="116"/>
  <c r="AI27" i="116"/>
  <c r="AI28" i="116"/>
  <c r="AI29" i="116"/>
  <c r="AI30" i="116"/>
  <c r="AI31" i="116"/>
  <c r="AI32" i="116"/>
  <c r="AI33" i="116"/>
  <c r="AI34" i="116"/>
  <c r="AI35" i="116"/>
  <c r="AI36" i="116"/>
  <c r="AI37" i="116"/>
  <c r="AI38" i="116"/>
  <c r="AI39" i="116"/>
  <c r="AI40" i="116"/>
  <c r="AI41" i="116"/>
  <c r="AI42" i="116"/>
  <c r="AI43" i="116"/>
  <c r="AI44" i="116"/>
  <c r="AI45" i="116"/>
  <c r="AI46" i="116"/>
  <c r="AI47" i="116"/>
  <c r="AI48" i="116"/>
  <c r="AR5" i="115"/>
  <c r="AR6" i="115"/>
  <c r="AR7" i="115"/>
  <c r="AR8" i="115"/>
  <c r="AR9" i="115"/>
  <c r="AR10" i="115"/>
  <c r="AR11" i="115"/>
  <c r="AR12" i="115"/>
  <c r="AR13" i="115"/>
  <c r="AR14" i="115"/>
  <c r="AR15" i="115"/>
  <c r="AR16" i="115"/>
  <c r="AR17" i="115"/>
  <c r="AR18" i="115"/>
  <c r="AR19" i="115"/>
  <c r="AR20" i="115"/>
  <c r="AR21" i="115"/>
  <c r="AR22" i="115"/>
  <c r="AR23" i="115"/>
  <c r="AR24" i="115"/>
  <c r="AR25" i="115"/>
  <c r="AR26" i="115"/>
  <c r="AR27" i="115"/>
  <c r="AR28" i="115"/>
  <c r="AR29" i="115"/>
  <c r="AR30" i="115"/>
  <c r="AR31" i="115"/>
  <c r="AR32" i="115"/>
  <c r="AR33" i="115"/>
  <c r="AR34" i="115"/>
  <c r="AR35" i="115"/>
  <c r="AR36" i="115"/>
  <c r="AR37" i="115"/>
  <c r="AR38" i="115"/>
  <c r="AR39" i="115"/>
  <c r="AR40" i="115"/>
  <c r="AR41" i="115"/>
  <c r="AR42" i="115"/>
  <c r="AR43" i="115"/>
  <c r="AR44" i="115"/>
  <c r="AR45" i="115"/>
  <c r="AR46" i="115"/>
  <c r="AR47" i="115"/>
  <c r="AR48" i="115"/>
  <c r="AR3" i="115"/>
  <c r="AI4" i="115"/>
  <c r="AI5" i="115"/>
  <c r="X20" i="37" s="1"/>
  <c r="Q20" i="37" s="1"/>
  <c r="AI6" i="115"/>
  <c r="X18" i="37" s="1"/>
  <c r="AI7" i="115"/>
  <c r="X17" i="37" s="1"/>
  <c r="Q17" i="37" s="1"/>
  <c r="AI8" i="115"/>
  <c r="X21" i="37" s="1"/>
  <c r="AI9" i="115"/>
  <c r="X19" i="37" s="1"/>
  <c r="AI10" i="115"/>
  <c r="X51" i="37" s="1"/>
  <c r="Q51" i="37" s="1"/>
  <c r="AI11" i="115"/>
  <c r="X39" i="37" s="1"/>
  <c r="X37" i="37" s="1"/>
  <c r="AI12" i="115"/>
  <c r="X43" i="37" s="1"/>
  <c r="AI13" i="115"/>
  <c r="X45" i="37" s="1"/>
  <c r="AI14" i="115"/>
  <c r="X46" i="37" s="1"/>
  <c r="AI15" i="115"/>
  <c r="X47" i="37" s="1"/>
  <c r="AI16" i="115"/>
  <c r="X48" i="37" s="1"/>
  <c r="AI3" i="115"/>
  <c r="W4" i="114"/>
  <c r="W6" i="114" s="1"/>
  <c r="W5" i="114"/>
  <c r="R51" i="37" l="1"/>
  <c r="R17" i="37"/>
  <c r="R20" i="37"/>
  <c r="Q14" i="35"/>
  <c r="M167" i="39"/>
  <c r="N172" i="39"/>
  <c r="O172" i="39" s="1"/>
  <c r="K172" i="39"/>
  <c r="N167" i="39"/>
  <c r="O167" i="39" s="1"/>
  <c r="K167" i="39"/>
  <c r="M142" i="39"/>
  <c r="O142" i="39"/>
  <c r="X42" i="37"/>
  <c r="X36" i="37" s="1"/>
  <c r="X32" i="37" s="1"/>
  <c r="N286" i="39"/>
  <c r="AT3" i="115"/>
  <c r="X26" i="35"/>
  <c r="AJ3" i="115"/>
  <c r="X15" i="37" s="1"/>
  <c r="X174" i="4"/>
  <c r="X14" i="35"/>
  <c r="X30" i="35"/>
  <c r="L87" i="39"/>
  <c r="N87" i="39"/>
  <c r="L132" i="39"/>
  <c r="M132" i="39" s="1"/>
  <c r="N132" i="39"/>
  <c r="O132" i="39" s="1"/>
  <c r="I87" i="39"/>
  <c r="X41" i="35"/>
  <c r="X40" i="35" s="1"/>
  <c r="X39" i="35" s="1"/>
  <c r="X20" i="35"/>
  <c r="X177" i="4"/>
  <c r="X16" i="37"/>
  <c r="M87" i="39" l="1"/>
  <c r="O87" i="39"/>
  <c r="X169" i="4"/>
  <c r="X167" i="4" s="1"/>
  <c r="X161" i="4" s="1"/>
  <c r="X154" i="4" s="1"/>
  <c r="X146" i="4" s="1"/>
  <c r="X138" i="4" s="1"/>
  <c r="X133" i="4" s="1"/>
  <c r="X130" i="4" s="1"/>
  <c r="X125" i="4" s="1"/>
  <c r="X118" i="4" s="1"/>
  <c r="X115" i="4" s="1"/>
  <c r="X107" i="4" s="1"/>
  <c r="X98" i="4" s="1"/>
  <c r="X85" i="4" s="1"/>
  <c r="X79" i="4" s="1"/>
  <c r="X78" i="4" s="1"/>
  <c r="X73" i="4" s="1"/>
  <c r="X72" i="4" s="1"/>
  <c r="X68" i="4" s="1"/>
  <c r="X63" i="4" s="1"/>
  <c r="X59" i="4" s="1"/>
  <c r="X56" i="4" s="1"/>
  <c r="X42" i="4" s="1"/>
  <c r="X41" i="4" s="1"/>
  <c r="X37" i="4" s="1"/>
  <c r="X32" i="4" s="1"/>
  <c r="X28" i="4" s="1"/>
  <c r="X14" i="37"/>
  <c r="X12" i="37" s="1"/>
  <c r="N254" i="39"/>
  <c r="O254" i="39" s="1"/>
  <c r="N248" i="39"/>
  <c r="O248" i="39" s="1"/>
  <c r="N247" i="39"/>
  <c r="O247" i="39" s="1"/>
  <c r="N245" i="39"/>
  <c r="O245" i="39" s="1"/>
  <c r="N244" i="39"/>
  <c r="N246" i="39"/>
  <c r="O246" i="39" s="1"/>
  <c r="X13" i="35"/>
  <c r="X10" i="35" s="1"/>
  <c r="X9" i="35" s="1"/>
  <c r="X25" i="4" l="1"/>
  <c r="X12" i="4" s="1"/>
  <c r="X11" i="4" s="1"/>
  <c r="X10" i="4" s="1"/>
  <c r="X9" i="4" s="1"/>
  <c r="O244" i="39"/>
  <c r="N242" i="39"/>
  <c r="M10" i="4"/>
  <c r="O10" i="4"/>
  <c r="O242" i="39" l="1"/>
  <c r="Q273" i="39"/>
  <c r="F267" i="39"/>
  <c r="F266" i="39"/>
  <c r="I258" i="39"/>
  <c r="J258" i="39"/>
  <c r="I259" i="39"/>
  <c r="J259" i="39"/>
  <c r="I260" i="39"/>
  <c r="J260" i="39"/>
  <c r="I261" i="39"/>
  <c r="J261" i="39"/>
  <c r="H259" i="39"/>
  <c r="H260" i="39"/>
  <c r="H261" i="39"/>
  <c r="H258" i="39"/>
  <c r="I257" i="39"/>
  <c r="J257" i="39"/>
  <c r="H257" i="39"/>
  <c r="I253" i="39"/>
  <c r="H253" i="39"/>
  <c r="I252" i="39"/>
  <c r="H252" i="39"/>
  <c r="I250" i="39"/>
  <c r="H250" i="39"/>
  <c r="F258" i="39"/>
  <c r="F259" i="39"/>
  <c r="F260" i="39"/>
  <c r="F261" i="39"/>
  <c r="F262" i="39"/>
  <c r="F263" i="39"/>
  <c r="F264" i="39"/>
  <c r="F265" i="39"/>
  <c r="F268" i="39"/>
  <c r="F269" i="39"/>
  <c r="F270" i="39"/>
  <c r="F271" i="39"/>
  <c r="F272" i="39"/>
  <c r="F273" i="39"/>
  <c r="F257" i="39"/>
  <c r="F249" i="39"/>
  <c r="F250" i="39"/>
  <c r="F251" i="39"/>
  <c r="F252" i="39"/>
  <c r="F253" i="39"/>
  <c r="F255" i="39"/>
  <c r="F256" i="39"/>
  <c r="F236" i="39"/>
  <c r="F233" i="39"/>
  <c r="F231" i="39"/>
  <c r="F232" i="39"/>
  <c r="H156" i="39"/>
  <c r="I156" i="39"/>
  <c r="M156" i="39" s="1"/>
  <c r="J156" i="39"/>
  <c r="H157" i="39"/>
  <c r="I157" i="39"/>
  <c r="M157" i="39" s="1"/>
  <c r="J157" i="39"/>
  <c r="H159" i="39"/>
  <c r="I159" i="39"/>
  <c r="J159" i="39"/>
  <c r="H160" i="39"/>
  <c r="I160" i="39"/>
  <c r="J160" i="39"/>
  <c r="H161" i="39"/>
  <c r="H162" i="39"/>
  <c r="I162" i="39"/>
  <c r="J162" i="39"/>
  <c r="H163" i="39"/>
  <c r="I163" i="39"/>
  <c r="J163" i="39"/>
  <c r="I165" i="39"/>
  <c r="J165" i="39"/>
  <c r="H166" i="39"/>
  <c r="I166" i="39"/>
  <c r="M166" i="39" s="1"/>
  <c r="J166" i="39"/>
  <c r="H168" i="39"/>
  <c r="H169" i="39"/>
  <c r="H170" i="39"/>
  <c r="I170" i="39"/>
  <c r="M170" i="39" s="1"/>
  <c r="J170" i="39"/>
  <c r="H171" i="39"/>
  <c r="I171" i="39"/>
  <c r="M171" i="39" s="1"/>
  <c r="J171" i="39"/>
  <c r="H174" i="39"/>
  <c r="I174" i="39"/>
  <c r="M174" i="39" s="1"/>
  <c r="J174" i="39"/>
  <c r="I155" i="39"/>
  <c r="J155" i="39"/>
  <c r="H155" i="39"/>
  <c r="K11" i="54"/>
  <c r="V4" i="117"/>
  <c r="V5" i="117"/>
  <c r="V6" i="117"/>
  <c r="V7" i="117"/>
  <c r="V8" i="117"/>
  <c r="V9" i="117"/>
  <c r="V10" i="117"/>
  <c r="V11" i="117"/>
  <c r="V12" i="117"/>
  <c r="V13" i="117"/>
  <c r="V14" i="117"/>
  <c r="V15" i="117"/>
  <c r="V16" i="117"/>
  <c r="V17" i="117"/>
  <c r="V18" i="117"/>
  <c r="V19" i="117"/>
  <c r="V20" i="117"/>
  <c r="V21" i="117"/>
  <c r="V22" i="117"/>
  <c r="V23" i="117"/>
  <c r="V24" i="117"/>
  <c r="V25" i="117"/>
  <c r="V26" i="117"/>
  <c r="V27" i="117"/>
  <c r="V28" i="117"/>
  <c r="V29" i="117"/>
  <c r="V30" i="117"/>
  <c r="V31" i="117"/>
  <c r="V32" i="117"/>
  <c r="V33" i="117"/>
  <c r="V34" i="117"/>
  <c r="V35" i="117"/>
  <c r="V36" i="117"/>
  <c r="V37" i="117"/>
  <c r="V38" i="117"/>
  <c r="V39" i="117"/>
  <c r="V40" i="117"/>
  <c r="V41" i="117"/>
  <c r="V42" i="117"/>
  <c r="V43" i="117"/>
  <c r="V44" i="117"/>
  <c r="V45" i="117"/>
  <c r="V46" i="117"/>
  <c r="V47" i="117"/>
  <c r="V48" i="117"/>
  <c r="V49" i="117"/>
  <c r="V50" i="117"/>
  <c r="V51" i="117"/>
  <c r="V52" i="117"/>
  <c r="V53" i="117"/>
  <c r="V54" i="117"/>
  <c r="V55" i="117"/>
  <c r="V56" i="117"/>
  <c r="V57" i="117"/>
  <c r="V58" i="117"/>
  <c r="V59" i="117"/>
  <c r="V60" i="117"/>
  <c r="V61" i="117"/>
  <c r="V62" i="117"/>
  <c r="V63" i="117"/>
  <c r="V64" i="117"/>
  <c r="V65" i="117"/>
  <c r="V66" i="117"/>
  <c r="V67" i="117"/>
  <c r="V68" i="117"/>
  <c r="V69" i="117"/>
  <c r="V70" i="117"/>
  <c r="V71" i="117"/>
  <c r="V72" i="117"/>
  <c r="V73" i="117"/>
  <c r="V74" i="117"/>
  <c r="V75" i="117"/>
  <c r="V76" i="117"/>
  <c r="V77" i="117"/>
  <c r="V78" i="117"/>
  <c r="V79" i="117"/>
  <c r="V80" i="117"/>
  <c r="V81" i="117"/>
  <c r="V82" i="117"/>
  <c r="V83" i="117"/>
  <c r="V84" i="117"/>
  <c r="V85" i="117"/>
  <c r="V86" i="117"/>
  <c r="V87" i="117"/>
  <c r="V88" i="117"/>
  <c r="V89" i="117"/>
  <c r="V90" i="117"/>
  <c r="V91" i="117"/>
  <c r="V92" i="117"/>
  <c r="V93" i="117"/>
  <c r="V94" i="117"/>
  <c r="V95" i="117"/>
  <c r="V96" i="117"/>
  <c r="V97" i="117"/>
  <c r="V98" i="117"/>
  <c r="V99" i="117"/>
  <c r="V100" i="117"/>
  <c r="V101" i="117"/>
  <c r="V102" i="117"/>
  <c r="V103" i="117"/>
  <c r="V104" i="117"/>
  <c r="V105" i="117"/>
  <c r="V106" i="117"/>
  <c r="V107" i="117"/>
  <c r="V108" i="117"/>
  <c r="V109" i="117"/>
  <c r="V110" i="117"/>
  <c r="V111" i="117"/>
  <c r="V112" i="117"/>
  <c r="V113" i="117"/>
  <c r="V114" i="117"/>
  <c r="V115" i="117"/>
  <c r="V116" i="117"/>
  <c r="V117" i="117"/>
  <c r="V118" i="117"/>
  <c r="V119" i="117"/>
  <c r="V120" i="117"/>
  <c r="V121" i="117"/>
  <c r="V122" i="117"/>
  <c r="V123" i="117"/>
  <c r="V124" i="117"/>
  <c r="V125" i="117"/>
  <c r="V126" i="117"/>
  <c r="V127" i="117"/>
  <c r="V128" i="117"/>
  <c r="V129" i="117"/>
  <c r="V130" i="117"/>
  <c r="V131" i="117"/>
  <c r="V132" i="117"/>
  <c r="U4" i="117"/>
  <c r="U5" i="117"/>
  <c r="U6" i="117"/>
  <c r="U7" i="117"/>
  <c r="U8" i="117"/>
  <c r="U9" i="117"/>
  <c r="U10" i="117"/>
  <c r="U11" i="117"/>
  <c r="U12" i="117"/>
  <c r="U13" i="117"/>
  <c r="U14" i="117"/>
  <c r="R21" i="4" s="1"/>
  <c r="U15" i="117"/>
  <c r="U16" i="117"/>
  <c r="U17" i="117"/>
  <c r="U18" i="117"/>
  <c r="U19" i="117"/>
  <c r="U20" i="117"/>
  <c r="R29" i="4" s="1"/>
  <c r="U21" i="117"/>
  <c r="R30" i="4" s="1"/>
  <c r="U22" i="117"/>
  <c r="U23" i="117"/>
  <c r="U24" i="117"/>
  <c r="U25" i="117"/>
  <c r="U26" i="117"/>
  <c r="U27" i="117"/>
  <c r="U28" i="117"/>
  <c r="U29" i="117"/>
  <c r="U30" i="117"/>
  <c r="U31" i="117"/>
  <c r="U32" i="117"/>
  <c r="U33" i="117"/>
  <c r="U34" i="117"/>
  <c r="U35" i="117"/>
  <c r="U36" i="117"/>
  <c r="U37" i="117"/>
  <c r="U38" i="117"/>
  <c r="U39" i="117"/>
  <c r="U40" i="117"/>
  <c r="U41" i="117"/>
  <c r="U42" i="117"/>
  <c r="U43" i="117"/>
  <c r="U44" i="117"/>
  <c r="U45" i="117"/>
  <c r="U46" i="117"/>
  <c r="U47" i="117"/>
  <c r="U48" i="117"/>
  <c r="U49" i="117"/>
  <c r="U50" i="117"/>
  <c r="U51" i="117"/>
  <c r="U52" i="117"/>
  <c r="U53" i="117"/>
  <c r="U54" i="117"/>
  <c r="U55" i="117"/>
  <c r="U56" i="117"/>
  <c r="U57" i="117"/>
  <c r="U58" i="117"/>
  <c r="U59" i="117"/>
  <c r="U60" i="117"/>
  <c r="P75" i="39" s="1"/>
  <c r="U61" i="117"/>
  <c r="P76" i="39" s="1"/>
  <c r="U62" i="117"/>
  <c r="U63" i="117"/>
  <c r="U64" i="117"/>
  <c r="U65" i="117"/>
  <c r="U66" i="117"/>
  <c r="U67" i="117"/>
  <c r="U68" i="117"/>
  <c r="U69" i="117"/>
  <c r="U70" i="117"/>
  <c r="P91" i="39" s="1"/>
  <c r="U71" i="117"/>
  <c r="P92" i="39" s="1"/>
  <c r="U72" i="117"/>
  <c r="U73" i="117"/>
  <c r="U74" i="117"/>
  <c r="U75" i="117"/>
  <c r="U76" i="117"/>
  <c r="U77" i="117"/>
  <c r="U78" i="117"/>
  <c r="U79" i="117"/>
  <c r="U80" i="117"/>
  <c r="U81" i="117"/>
  <c r="U82" i="117"/>
  <c r="U83" i="117"/>
  <c r="U84" i="117"/>
  <c r="U85" i="117"/>
  <c r="U86" i="117"/>
  <c r="U87" i="117"/>
  <c r="U88" i="117"/>
  <c r="P112" i="39" s="1"/>
  <c r="U89" i="117"/>
  <c r="U90" i="117"/>
  <c r="U91" i="117"/>
  <c r="U92" i="117"/>
  <c r="U93" i="117"/>
  <c r="U94" i="117"/>
  <c r="U95" i="117"/>
  <c r="U96" i="117"/>
  <c r="U97" i="117"/>
  <c r="U98" i="117"/>
  <c r="U99" i="117"/>
  <c r="U100" i="117"/>
  <c r="U101" i="117"/>
  <c r="U102" i="117"/>
  <c r="U103" i="117"/>
  <c r="U104" i="117"/>
  <c r="U105" i="117"/>
  <c r="U106" i="117"/>
  <c r="U107" i="117"/>
  <c r="U108" i="117"/>
  <c r="U109" i="117"/>
  <c r="U110" i="117"/>
  <c r="U111" i="117"/>
  <c r="U112" i="117"/>
  <c r="U113" i="117"/>
  <c r="U114" i="117"/>
  <c r="U115" i="117"/>
  <c r="U116" i="117"/>
  <c r="U117" i="117"/>
  <c r="U118" i="117"/>
  <c r="U119" i="117"/>
  <c r="U120" i="117"/>
  <c r="U121" i="117"/>
  <c r="U122" i="117"/>
  <c r="U123" i="117"/>
  <c r="U124" i="117"/>
  <c r="U125" i="117"/>
  <c r="U126" i="117"/>
  <c r="U127" i="117"/>
  <c r="U128" i="117"/>
  <c r="U129" i="117"/>
  <c r="U130" i="117"/>
  <c r="U131" i="117"/>
  <c r="U132" i="117"/>
  <c r="V3" i="117"/>
  <c r="U3" i="117"/>
  <c r="M4" i="117"/>
  <c r="M5" i="117"/>
  <c r="M6" i="117"/>
  <c r="V13" i="4" s="1"/>
  <c r="M7" i="117"/>
  <c r="V14" i="4" s="1"/>
  <c r="M8" i="117"/>
  <c r="V15" i="4" s="1"/>
  <c r="M9" i="117"/>
  <c r="V16" i="4" s="1"/>
  <c r="M10" i="117"/>
  <c r="V17" i="4" s="1"/>
  <c r="M11" i="117"/>
  <c r="V18" i="4" s="1"/>
  <c r="M12" i="117"/>
  <c r="V19" i="4" s="1"/>
  <c r="M13" i="117"/>
  <c r="V20" i="4" s="1"/>
  <c r="M14" i="117"/>
  <c r="V22" i="4" s="1"/>
  <c r="M15" i="117"/>
  <c r="M16" i="117"/>
  <c r="V26" i="4" s="1"/>
  <c r="Q26" i="4" s="1"/>
  <c r="M17" i="117"/>
  <c r="V27" i="4" s="1"/>
  <c r="M18" i="117"/>
  <c r="M19" i="117"/>
  <c r="V33" i="4" s="1"/>
  <c r="M20" i="117"/>
  <c r="V35" i="4" s="1"/>
  <c r="M21" i="117"/>
  <c r="M22" i="117"/>
  <c r="M23" i="117"/>
  <c r="V43" i="4" s="1"/>
  <c r="M24" i="117"/>
  <c r="V44" i="4" s="1"/>
  <c r="M25" i="117"/>
  <c r="V45" i="4" s="1"/>
  <c r="M26" i="117"/>
  <c r="V46" i="4" s="1"/>
  <c r="M27" i="117"/>
  <c r="V47" i="4" s="1"/>
  <c r="M28" i="117"/>
  <c r="V48" i="4" s="1"/>
  <c r="M29" i="117"/>
  <c r="V49" i="4" s="1"/>
  <c r="M30" i="117"/>
  <c r="V50" i="4" s="1"/>
  <c r="M31" i="117"/>
  <c r="M32" i="117"/>
  <c r="V53" i="4" s="1"/>
  <c r="M33" i="117"/>
  <c r="M34" i="117"/>
  <c r="V57" i="4" s="1"/>
  <c r="M35" i="117"/>
  <c r="V58" i="4" s="1"/>
  <c r="M36" i="117"/>
  <c r="M37" i="117"/>
  <c r="M38" i="117"/>
  <c r="M39" i="117"/>
  <c r="V64" i="4" s="1"/>
  <c r="M40" i="117"/>
  <c r="V65" i="4" s="1"/>
  <c r="M41" i="117"/>
  <c r="V66" i="4" s="1"/>
  <c r="M42" i="117"/>
  <c r="M43" i="117"/>
  <c r="M44" i="117"/>
  <c r="V74" i="4" s="1"/>
  <c r="M45" i="117"/>
  <c r="V75" i="4" s="1"/>
  <c r="M46" i="117"/>
  <c r="V76" i="4" s="1"/>
  <c r="M47" i="117"/>
  <c r="M48" i="117"/>
  <c r="M49" i="117"/>
  <c r="M50" i="117"/>
  <c r="V89" i="4" s="1"/>
  <c r="M51" i="117"/>
  <c r="V90" i="4" s="1"/>
  <c r="M52" i="117"/>
  <c r="M53" i="117"/>
  <c r="M54" i="117"/>
  <c r="M55" i="117"/>
  <c r="M56" i="117"/>
  <c r="V96" i="4" s="1"/>
  <c r="M57" i="117"/>
  <c r="V97" i="4" s="1"/>
  <c r="M58" i="117"/>
  <c r="M59" i="117"/>
  <c r="V99" i="4" s="1"/>
  <c r="M60" i="117"/>
  <c r="V100" i="4" s="1"/>
  <c r="M61" i="117"/>
  <c r="V101" i="4" s="1"/>
  <c r="M62" i="117"/>
  <c r="V102" i="4" s="1"/>
  <c r="M63" i="117"/>
  <c r="V103" i="4" s="1"/>
  <c r="M64" i="117"/>
  <c r="V104" i="4" s="1"/>
  <c r="M65" i="117"/>
  <c r="V105" i="4" s="1"/>
  <c r="M66" i="117"/>
  <c r="V106" i="4" s="1"/>
  <c r="M67" i="117"/>
  <c r="M68" i="117"/>
  <c r="V109" i="4" s="1"/>
  <c r="M69" i="117"/>
  <c r="V113" i="4" s="1"/>
  <c r="M70" i="117"/>
  <c r="M71" i="117"/>
  <c r="V116" i="4" s="1"/>
  <c r="M72" i="117"/>
  <c r="M73" i="117"/>
  <c r="M74" i="117"/>
  <c r="V119" i="4" s="1"/>
  <c r="M75" i="117"/>
  <c r="V121" i="4" s="1"/>
  <c r="M76" i="117"/>
  <c r="V122" i="4" s="1"/>
  <c r="M77" i="117"/>
  <c r="V123" i="4" s="1"/>
  <c r="M78" i="117"/>
  <c r="V124" i="4" s="1"/>
  <c r="M79" i="117"/>
  <c r="M80" i="117"/>
  <c r="V126" i="4" s="1"/>
  <c r="M81" i="117"/>
  <c r="V127" i="4" s="1"/>
  <c r="M82" i="117"/>
  <c r="V128" i="4" s="1"/>
  <c r="M83" i="117"/>
  <c r="V129" i="4" s="1"/>
  <c r="M84" i="117"/>
  <c r="M85" i="117"/>
  <c r="M86" i="117"/>
  <c r="M87" i="117"/>
  <c r="V136" i="4" s="1"/>
  <c r="M88" i="117"/>
  <c r="M89" i="117"/>
  <c r="V139" i="4" s="1"/>
  <c r="M90" i="117"/>
  <c r="V141" i="4" s="1"/>
  <c r="M91" i="117"/>
  <c r="M92" i="117"/>
  <c r="M93" i="117"/>
  <c r="V158" i="4" s="1"/>
  <c r="M94" i="117"/>
  <c r="M95" i="117"/>
  <c r="M96" i="117"/>
  <c r="M97" i="117"/>
  <c r="M98" i="117"/>
  <c r="M99" i="117"/>
  <c r="V181" i="4" s="1"/>
  <c r="M3" i="117"/>
  <c r="F234" i="39"/>
  <c r="V14" i="35"/>
  <c r="Z4" i="116"/>
  <c r="Z5" i="116"/>
  <c r="Z6" i="116"/>
  <c r="Z7" i="116"/>
  <c r="Z8" i="116"/>
  <c r="Z9" i="116"/>
  <c r="Z10" i="116"/>
  <c r="Z11" i="116"/>
  <c r="Z12" i="116"/>
  <c r="Z13" i="116"/>
  <c r="Z14" i="116"/>
  <c r="Z15" i="116"/>
  <c r="Z16" i="116"/>
  <c r="Z17" i="116"/>
  <c r="Z18" i="116"/>
  <c r="Z19" i="116"/>
  <c r="Z20" i="116"/>
  <c r="Z21" i="116"/>
  <c r="Z22" i="116"/>
  <c r="Z23" i="116"/>
  <c r="Z24" i="116"/>
  <c r="Z25" i="116"/>
  <c r="Z3" i="116"/>
  <c r="Z4" i="115"/>
  <c r="Z5" i="115"/>
  <c r="Z6" i="115"/>
  <c r="Z7" i="115"/>
  <c r="Z8" i="115"/>
  <c r="Z9" i="115"/>
  <c r="Z10" i="115"/>
  <c r="Z11" i="115"/>
  <c r="Z12" i="115"/>
  <c r="Z13" i="115"/>
  <c r="Z14" i="115"/>
  <c r="Z15" i="115"/>
  <c r="Z16" i="115"/>
  <c r="Z17" i="115"/>
  <c r="Z18" i="115"/>
  <c r="Z19" i="115"/>
  <c r="Z20" i="115"/>
  <c r="Z21" i="115"/>
  <c r="Z22" i="115"/>
  <c r="Z23" i="115"/>
  <c r="Z24" i="115"/>
  <c r="Z25" i="115"/>
  <c r="Z26" i="115"/>
  <c r="Z3" i="115"/>
  <c r="P4" i="114"/>
  <c r="P5" i="114"/>
  <c r="P3" i="114"/>
  <c r="Q4" i="116"/>
  <c r="V21" i="35" s="1"/>
  <c r="V20" i="35" s="1"/>
  <c r="Q5" i="116"/>
  <c r="V35" i="35" s="1"/>
  <c r="Q35" i="35" s="1"/>
  <c r="Q6" i="116"/>
  <c r="V31" i="35" s="1"/>
  <c r="Q31" i="35" s="1"/>
  <c r="Q7" i="116"/>
  <c r="V43" i="35" s="1"/>
  <c r="V41" i="35" s="1"/>
  <c r="V40" i="35" s="1"/>
  <c r="V39" i="35" s="1"/>
  <c r="Q8" i="116"/>
  <c r="V48" i="35" s="1"/>
  <c r="V47" i="35" s="1"/>
  <c r="Q3" i="116"/>
  <c r="V23" i="35" s="1"/>
  <c r="Q4" i="115"/>
  <c r="Q5" i="115"/>
  <c r="V19" i="37" s="1"/>
  <c r="Q6" i="115"/>
  <c r="Q7" i="115"/>
  <c r="V21" i="37" s="1"/>
  <c r="Q21" i="37" s="1"/>
  <c r="Q8" i="115"/>
  <c r="V39" i="37" s="1"/>
  <c r="Q9" i="115"/>
  <c r="V40" i="37" s="1"/>
  <c r="Q10" i="115"/>
  <c r="V43" i="37" s="1"/>
  <c r="Q11" i="115"/>
  <c r="V44" i="37" s="1"/>
  <c r="Q44" i="37" s="1"/>
  <c r="Q12" i="115"/>
  <c r="V45" i="37" s="1"/>
  <c r="Q13" i="115"/>
  <c r="V46" i="37" s="1"/>
  <c r="Q46" i="37" s="1"/>
  <c r="Q14" i="115"/>
  <c r="V47" i="37" s="1"/>
  <c r="Q47" i="37" s="1"/>
  <c r="Q15" i="115"/>
  <c r="V48" i="37" s="1"/>
  <c r="Q16" i="115"/>
  <c r="V53" i="37" s="1"/>
  <c r="V52" i="37" s="1"/>
  <c r="Q3" i="115"/>
  <c r="M155" i="39" l="1"/>
  <c r="I153" i="39"/>
  <c r="J153" i="39"/>
  <c r="H153" i="39"/>
  <c r="R21" i="37"/>
  <c r="R47" i="37"/>
  <c r="R46" i="37"/>
  <c r="R44" i="37"/>
  <c r="P196" i="39"/>
  <c r="R26" i="4"/>
  <c r="P10" i="4"/>
  <c r="P13" i="39"/>
  <c r="V37" i="37"/>
  <c r="M165" i="39"/>
  <c r="M163" i="39"/>
  <c r="M159" i="39"/>
  <c r="M162" i="39"/>
  <c r="M160" i="39"/>
  <c r="K258" i="39"/>
  <c r="N171" i="39"/>
  <c r="O171" i="39" s="1"/>
  <c r="K171" i="39"/>
  <c r="N162" i="39"/>
  <c r="O162" i="39" s="1"/>
  <c r="K162" i="39"/>
  <c r="O258" i="39"/>
  <c r="M258" i="39"/>
  <c r="K253" i="39"/>
  <c r="O253" i="39"/>
  <c r="M253" i="39"/>
  <c r="K261" i="39"/>
  <c r="N157" i="39"/>
  <c r="O157" i="39" s="1"/>
  <c r="K157" i="39"/>
  <c r="O261" i="39"/>
  <c r="M261" i="39"/>
  <c r="N166" i="39"/>
  <c r="O166" i="39" s="1"/>
  <c r="K166" i="39"/>
  <c r="N155" i="39"/>
  <c r="K155" i="39"/>
  <c r="N170" i="39"/>
  <c r="O170" i="39" s="1"/>
  <c r="K170" i="39"/>
  <c r="N165" i="39"/>
  <c r="O165" i="39" s="1"/>
  <c r="K165" i="39"/>
  <c r="K257" i="39"/>
  <c r="K260" i="39"/>
  <c r="K252" i="39"/>
  <c r="O252" i="39"/>
  <c r="M252" i="39"/>
  <c r="N160" i="39"/>
  <c r="O160" i="39" s="1"/>
  <c r="K160" i="39"/>
  <c r="O260" i="39"/>
  <c r="M260" i="39"/>
  <c r="N174" i="39"/>
  <c r="O174" i="39" s="1"/>
  <c r="K174" i="39"/>
  <c r="N163" i="39"/>
  <c r="O163" i="39" s="1"/>
  <c r="K163" i="39"/>
  <c r="N156" i="39"/>
  <c r="O156" i="39" s="1"/>
  <c r="K156" i="39"/>
  <c r="K259" i="39"/>
  <c r="N159" i="39"/>
  <c r="O159" i="39" s="1"/>
  <c r="K159" i="39"/>
  <c r="K250" i="39"/>
  <c r="M250" i="39"/>
  <c r="O250" i="39"/>
  <c r="M257" i="39"/>
  <c r="O257" i="39"/>
  <c r="O259" i="39"/>
  <c r="M259" i="39"/>
  <c r="V42" i="37"/>
  <c r="V177" i="4"/>
  <c r="V169" i="4" s="1"/>
  <c r="V161" i="4" s="1"/>
  <c r="V154" i="4" s="1"/>
  <c r="V146" i="4" s="1"/>
  <c r="V138" i="4" s="1"/>
  <c r="V133" i="4" s="1"/>
  <c r="V130" i="4" s="1"/>
  <c r="V125" i="4" s="1"/>
  <c r="V118" i="4" s="1"/>
  <c r="V115" i="4" s="1"/>
  <c r="V107" i="4" s="1"/>
  <c r="V98" i="4" s="1"/>
  <c r="V85" i="4" s="1"/>
  <c r="R3" i="115"/>
  <c r="Q15" i="37" s="1"/>
  <c r="V30" i="35"/>
  <c r="V16" i="37"/>
  <c r="F4" i="117"/>
  <c r="F5" i="117"/>
  <c r="F6" i="117"/>
  <c r="T13" i="4" s="1"/>
  <c r="Q13" i="4" s="1"/>
  <c r="F7" i="117"/>
  <c r="T14" i="4" s="1"/>
  <c r="Q14" i="4" s="1"/>
  <c r="F8" i="117"/>
  <c r="T15" i="4" s="1"/>
  <c r="Q15" i="4" s="1"/>
  <c r="F9" i="117"/>
  <c r="T16" i="4" s="1"/>
  <c r="Q16" i="4" s="1"/>
  <c r="F10" i="117"/>
  <c r="T17" i="4" s="1"/>
  <c r="Q17" i="4" s="1"/>
  <c r="F11" i="117"/>
  <c r="T18" i="4" s="1"/>
  <c r="Q18" i="4" s="1"/>
  <c r="F12" i="117"/>
  <c r="T19" i="4" s="1"/>
  <c r="Q19" i="4" s="1"/>
  <c r="F13" i="117"/>
  <c r="T20" i="4" s="1"/>
  <c r="Q20" i="4" s="1"/>
  <c r="F14" i="117"/>
  <c r="F15" i="117"/>
  <c r="T22" i="4" s="1"/>
  <c r="Q22" i="4" s="1"/>
  <c r="F16" i="117"/>
  <c r="F17" i="117"/>
  <c r="F18" i="117"/>
  <c r="T27" i="4" s="1"/>
  <c r="Q27" i="4" s="1"/>
  <c r="F19" i="117"/>
  <c r="F20" i="117"/>
  <c r="F21" i="117"/>
  <c r="F22" i="117"/>
  <c r="F23" i="117"/>
  <c r="T33" i="4" s="1"/>
  <c r="F24" i="117"/>
  <c r="T34" i="4" s="1"/>
  <c r="F25" i="117"/>
  <c r="T35" i="4" s="1"/>
  <c r="F26" i="117"/>
  <c r="F27" i="117"/>
  <c r="F28" i="117"/>
  <c r="F29" i="117"/>
  <c r="T40" i="4" s="1"/>
  <c r="F30" i="117"/>
  <c r="F31" i="117"/>
  <c r="F32" i="117"/>
  <c r="T43" i="4" s="1"/>
  <c r="F33" i="117"/>
  <c r="T44" i="4" s="1"/>
  <c r="F34" i="117"/>
  <c r="T45" i="4" s="1"/>
  <c r="F35" i="117"/>
  <c r="T46" i="4" s="1"/>
  <c r="F36" i="117"/>
  <c r="T47" i="4" s="1"/>
  <c r="F37" i="117"/>
  <c r="T48" i="4" s="1"/>
  <c r="F38" i="117"/>
  <c r="T49" i="4" s="1"/>
  <c r="F39" i="117"/>
  <c r="T50" i="4" s="1"/>
  <c r="F40" i="117"/>
  <c r="T51" i="4" s="1"/>
  <c r="F41" i="117"/>
  <c r="T52" i="4" s="1"/>
  <c r="F42" i="117"/>
  <c r="T53" i="4" s="1"/>
  <c r="F43" i="117"/>
  <c r="F44" i="117"/>
  <c r="F45" i="117"/>
  <c r="T58" i="4" s="1"/>
  <c r="F46" i="117"/>
  <c r="F47" i="117"/>
  <c r="T60" i="4" s="1"/>
  <c r="F48" i="117"/>
  <c r="F49" i="117"/>
  <c r="F50" i="117"/>
  <c r="T64" i="4" s="1"/>
  <c r="F51" i="117"/>
  <c r="T65" i="4" s="1"/>
  <c r="F52" i="117"/>
  <c r="T66" i="4" s="1"/>
  <c r="F53" i="117"/>
  <c r="F54" i="117"/>
  <c r="F55" i="117"/>
  <c r="F56" i="117"/>
  <c r="T71" i="4" s="1"/>
  <c r="F57" i="117"/>
  <c r="F58" i="117"/>
  <c r="F59" i="117"/>
  <c r="T74" i="4" s="1"/>
  <c r="F60" i="117"/>
  <c r="T75" i="4" s="1"/>
  <c r="F61" i="117"/>
  <c r="T76" i="4" s="1"/>
  <c r="F62" i="117"/>
  <c r="F63" i="117"/>
  <c r="F64" i="117"/>
  <c r="F65" i="117"/>
  <c r="F66" i="117"/>
  <c r="F67" i="117"/>
  <c r="T86" i="4" s="1"/>
  <c r="F68" i="117"/>
  <c r="T89" i="4" s="1"/>
  <c r="F69" i="117"/>
  <c r="T90" i="4" s="1"/>
  <c r="F70" i="117"/>
  <c r="F71" i="117"/>
  <c r="F72" i="117"/>
  <c r="T94" i="4" s="1"/>
  <c r="F73" i="117"/>
  <c r="T95" i="4" s="1"/>
  <c r="F74" i="117"/>
  <c r="F75" i="117"/>
  <c r="T97" i="4" s="1"/>
  <c r="F76" i="117"/>
  <c r="F77" i="117"/>
  <c r="T99" i="4" s="1"/>
  <c r="F78" i="117"/>
  <c r="T100" i="4" s="1"/>
  <c r="F79" i="117"/>
  <c r="T101" i="4" s="1"/>
  <c r="F80" i="117"/>
  <c r="T102" i="4" s="1"/>
  <c r="F81" i="117"/>
  <c r="T103" i="4" s="1"/>
  <c r="F82" i="117"/>
  <c r="T104" i="4" s="1"/>
  <c r="F83" i="117"/>
  <c r="T105" i="4" s="1"/>
  <c r="F84" i="117"/>
  <c r="T106" i="4" s="1"/>
  <c r="F85" i="117"/>
  <c r="F86" i="117"/>
  <c r="F87" i="117"/>
  <c r="F88" i="117"/>
  <c r="F89" i="117"/>
  <c r="F90" i="117"/>
  <c r="T116" i="4" s="1"/>
  <c r="F91" i="117"/>
  <c r="T117" i="4" s="1"/>
  <c r="F92" i="117"/>
  <c r="F93" i="117"/>
  <c r="T119" i="4" s="1"/>
  <c r="F94" i="117"/>
  <c r="T121" i="4" s="1"/>
  <c r="F95" i="117"/>
  <c r="T122" i="4" s="1"/>
  <c r="F96" i="117"/>
  <c r="T123" i="4" s="1"/>
  <c r="F97" i="117"/>
  <c r="F98" i="117"/>
  <c r="F99" i="117"/>
  <c r="T126" i="4" s="1"/>
  <c r="F100" i="117"/>
  <c r="T127" i="4" s="1"/>
  <c r="F101" i="117"/>
  <c r="F102" i="117"/>
  <c r="F103" i="117"/>
  <c r="F104" i="117"/>
  <c r="F105" i="117"/>
  <c r="F106" i="117"/>
  <c r="F107" i="117"/>
  <c r="F108" i="117"/>
  <c r="T136" i="4" s="1"/>
  <c r="F109" i="117"/>
  <c r="F110" i="117"/>
  <c r="F111" i="117"/>
  <c r="T139" i="4" s="1"/>
  <c r="F112" i="117"/>
  <c r="T141" i="4" s="1"/>
  <c r="F113" i="117"/>
  <c r="F114" i="117"/>
  <c r="F115" i="117"/>
  <c r="F116" i="117"/>
  <c r="T158" i="4" s="1"/>
  <c r="F117" i="117"/>
  <c r="F118" i="117"/>
  <c r="F119" i="117"/>
  <c r="F120" i="117"/>
  <c r="F121" i="117"/>
  <c r="F122" i="117"/>
  <c r="F123" i="117"/>
  <c r="F124" i="117"/>
  <c r="T178" i="4" s="1"/>
  <c r="F125" i="117"/>
  <c r="F126" i="117"/>
  <c r="T179" i="4" s="1"/>
  <c r="F127" i="117"/>
  <c r="F128" i="117"/>
  <c r="F129" i="117"/>
  <c r="T180" i="4" s="1"/>
  <c r="F130" i="117"/>
  <c r="F131" i="117"/>
  <c r="T181" i="4" s="1"/>
  <c r="D4" i="117"/>
  <c r="D5" i="117"/>
  <c r="D6" i="117"/>
  <c r="D7" i="117"/>
  <c r="D8" i="117"/>
  <c r="D9" i="117"/>
  <c r="D10" i="117"/>
  <c r="D11" i="117"/>
  <c r="D12" i="117"/>
  <c r="D13" i="117"/>
  <c r="D14" i="117"/>
  <c r="D15" i="117"/>
  <c r="D16" i="117"/>
  <c r="D17" i="117"/>
  <c r="D18" i="117"/>
  <c r="D19" i="117"/>
  <c r="D20" i="117"/>
  <c r="D21" i="117"/>
  <c r="D22" i="117"/>
  <c r="D23" i="117"/>
  <c r="D24" i="117"/>
  <c r="D25" i="117"/>
  <c r="D26" i="117"/>
  <c r="D27" i="117"/>
  <c r="D28" i="117"/>
  <c r="D29" i="117"/>
  <c r="D30" i="117"/>
  <c r="D31" i="117"/>
  <c r="D32" i="117"/>
  <c r="D33" i="117"/>
  <c r="D34" i="117"/>
  <c r="D35" i="117"/>
  <c r="H77" i="39" s="1"/>
  <c r="D36" i="117"/>
  <c r="D37" i="117"/>
  <c r="D38" i="117"/>
  <c r="D39" i="117"/>
  <c r="D40" i="117"/>
  <c r="D41" i="117"/>
  <c r="D42" i="117"/>
  <c r="D43" i="117"/>
  <c r="D44" i="117"/>
  <c r="D45" i="117"/>
  <c r="D46" i="117"/>
  <c r="D47" i="117"/>
  <c r="H87" i="39" s="1"/>
  <c r="D48" i="117"/>
  <c r="D49" i="117"/>
  <c r="D50" i="117"/>
  <c r="D51" i="117"/>
  <c r="D52" i="117"/>
  <c r="D53" i="117"/>
  <c r="D54" i="117"/>
  <c r="D55" i="117"/>
  <c r="D56" i="117"/>
  <c r="D57" i="117"/>
  <c r="D58" i="117"/>
  <c r="D59" i="117"/>
  <c r="D60" i="117"/>
  <c r="D61" i="117"/>
  <c r="D62" i="117"/>
  <c r="D63" i="117"/>
  <c r="D64" i="117"/>
  <c r="D65" i="117"/>
  <c r="D66" i="117"/>
  <c r="D67" i="117"/>
  <c r="D68" i="117"/>
  <c r="D69" i="117"/>
  <c r="D70" i="117"/>
  <c r="D71" i="117"/>
  <c r="D72" i="117"/>
  <c r="D73" i="117"/>
  <c r="D74" i="117"/>
  <c r="D75" i="117"/>
  <c r="D76" i="117"/>
  <c r="D77" i="117"/>
  <c r="D78" i="117"/>
  <c r="D79" i="117"/>
  <c r="D80" i="117"/>
  <c r="D81" i="117"/>
  <c r="D82" i="117"/>
  <c r="D83" i="117"/>
  <c r="D84" i="117"/>
  <c r="D85" i="117"/>
  <c r="D86" i="117"/>
  <c r="D87" i="117"/>
  <c r="D88" i="117"/>
  <c r="D89" i="117"/>
  <c r="D90" i="117"/>
  <c r="D91" i="117"/>
  <c r="D92" i="117"/>
  <c r="D93" i="117"/>
  <c r="H132" i="39" s="1"/>
  <c r="D94" i="117"/>
  <c r="D95" i="117"/>
  <c r="D96" i="117"/>
  <c r="D97" i="117"/>
  <c r="D98" i="117"/>
  <c r="D99" i="117"/>
  <c r="D100" i="117"/>
  <c r="D101" i="117"/>
  <c r="D102" i="117"/>
  <c r="D103" i="117"/>
  <c r="D104" i="117"/>
  <c r="D105" i="117"/>
  <c r="D106" i="117"/>
  <c r="D107" i="117"/>
  <c r="D108" i="117"/>
  <c r="D109" i="117"/>
  <c r="D110" i="117"/>
  <c r="D111" i="117"/>
  <c r="D112" i="117"/>
  <c r="D113" i="117"/>
  <c r="D114" i="117"/>
  <c r="D115" i="117"/>
  <c r="D116" i="117"/>
  <c r="D117" i="117"/>
  <c r="D118" i="117"/>
  <c r="D119" i="117"/>
  <c r="D120" i="117"/>
  <c r="D121" i="117"/>
  <c r="D122" i="117"/>
  <c r="D123" i="117"/>
  <c r="D124" i="117"/>
  <c r="D125" i="117"/>
  <c r="D126" i="117"/>
  <c r="D127" i="117"/>
  <c r="D128" i="117"/>
  <c r="D129" i="117"/>
  <c r="D130" i="117"/>
  <c r="D131" i="117"/>
  <c r="F3" i="117"/>
  <c r="D3" i="117"/>
  <c r="K19" i="35"/>
  <c r="K18" i="35"/>
  <c r="T28" i="35"/>
  <c r="T26" i="35"/>
  <c r="H4" i="116"/>
  <c r="H5" i="116"/>
  <c r="H6" i="116"/>
  <c r="H7" i="116"/>
  <c r="H8" i="116"/>
  <c r="H9" i="116"/>
  <c r="H10" i="116"/>
  <c r="H11" i="116"/>
  <c r="H12" i="116"/>
  <c r="H13" i="116"/>
  <c r="H14" i="116"/>
  <c r="T21" i="35" s="1"/>
  <c r="Q21" i="35" s="1"/>
  <c r="H15" i="116"/>
  <c r="Q25" i="35" s="1"/>
  <c r="R25" i="35" s="1"/>
  <c r="H16" i="116"/>
  <c r="H17" i="116"/>
  <c r="T23" i="35" s="1"/>
  <c r="Q23" i="35" s="1"/>
  <c r="H18" i="116"/>
  <c r="H19" i="116"/>
  <c r="H20" i="116"/>
  <c r="H21" i="116"/>
  <c r="H22" i="116"/>
  <c r="H23" i="116"/>
  <c r="H24" i="116"/>
  <c r="H25" i="116"/>
  <c r="H26" i="116"/>
  <c r="H27" i="116"/>
  <c r="H28" i="116"/>
  <c r="H29" i="116"/>
  <c r="T33" i="35" s="1"/>
  <c r="H30" i="116"/>
  <c r="H31" i="116"/>
  <c r="H32" i="116"/>
  <c r="H33" i="116"/>
  <c r="T43" i="35" s="1"/>
  <c r="H34" i="116"/>
  <c r="H35" i="116"/>
  <c r="H36" i="116"/>
  <c r="H37" i="116"/>
  <c r="H38" i="116"/>
  <c r="H39" i="116"/>
  <c r="T48" i="35" s="1"/>
  <c r="H3" i="116"/>
  <c r="F4" i="116"/>
  <c r="F5" i="116"/>
  <c r="F6" i="116"/>
  <c r="F7" i="116"/>
  <c r="F8" i="116"/>
  <c r="F9" i="116"/>
  <c r="F10" i="116"/>
  <c r="F11" i="116"/>
  <c r="F12" i="116"/>
  <c r="R27" i="35" s="1"/>
  <c r="F13" i="116"/>
  <c r="R29" i="35" s="1"/>
  <c r="F14" i="116"/>
  <c r="R31" i="35" s="1"/>
  <c r="F15" i="116"/>
  <c r="F16" i="116"/>
  <c r="R32" i="35" s="1"/>
  <c r="F17" i="116"/>
  <c r="R35" i="35" s="1"/>
  <c r="F18" i="116"/>
  <c r="F19" i="116"/>
  <c r="F20" i="116"/>
  <c r="F21" i="116"/>
  <c r="F22" i="116"/>
  <c r="F23" i="116"/>
  <c r="F24" i="116"/>
  <c r="F25" i="116"/>
  <c r="F26" i="116"/>
  <c r="F27" i="116"/>
  <c r="F28" i="116"/>
  <c r="F29" i="116"/>
  <c r="F30" i="116"/>
  <c r="F31" i="116"/>
  <c r="F32" i="116"/>
  <c r="F33" i="116"/>
  <c r="F34" i="116"/>
  <c r="F35" i="116"/>
  <c r="F36" i="116"/>
  <c r="F37" i="116"/>
  <c r="F38" i="116"/>
  <c r="F39" i="116"/>
  <c r="F3" i="116"/>
  <c r="H4" i="115"/>
  <c r="H5" i="115"/>
  <c r="H6" i="115"/>
  <c r="H7" i="115"/>
  <c r="H8" i="115"/>
  <c r="H9" i="115"/>
  <c r="H10" i="115"/>
  <c r="H11" i="115"/>
  <c r="H12" i="115"/>
  <c r="H13" i="115"/>
  <c r="H14" i="115"/>
  <c r="H15" i="115"/>
  <c r="T19" i="37" s="1"/>
  <c r="Q19" i="37" s="1"/>
  <c r="H16" i="115"/>
  <c r="H17" i="115"/>
  <c r="T18" i="37" s="1"/>
  <c r="Q18" i="37" s="1"/>
  <c r="H18" i="115"/>
  <c r="H19" i="115"/>
  <c r="H20" i="115"/>
  <c r="H21" i="115"/>
  <c r="H22" i="115"/>
  <c r="H23" i="115"/>
  <c r="H24" i="115"/>
  <c r="H25" i="115"/>
  <c r="H26" i="115"/>
  <c r="T39" i="37" s="1"/>
  <c r="H27" i="115"/>
  <c r="H28" i="115"/>
  <c r="T40" i="37" s="1"/>
  <c r="Q40" i="37" s="1"/>
  <c r="H29" i="115"/>
  <c r="H30" i="115"/>
  <c r="T43" i="37" s="1"/>
  <c r="H31" i="115"/>
  <c r="H32" i="115"/>
  <c r="H33" i="115"/>
  <c r="H34" i="115"/>
  <c r="T45" i="37" s="1"/>
  <c r="Q45" i="37" s="1"/>
  <c r="H35" i="115"/>
  <c r="H36" i="115"/>
  <c r="H37" i="115"/>
  <c r="H38" i="115"/>
  <c r="H39" i="115"/>
  <c r="T48" i="37" s="1"/>
  <c r="Q48" i="37" s="1"/>
  <c r="H40" i="115"/>
  <c r="H41" i="115"/>
  <c r="H42" i="115"/>
  <c r="H43" i="115"/>
  <c r="H3" i="115"/>
  <c r="F4" i="115"/>
  <c r="F5" i="115"/>
  <c r="F6" i="115"/>
  <c r="F7" i="115"/>
  <c r="F8" i="115"/>
  <c r="F9" i="115"/>
  <c r="F10" i="115"/>
  <c r="F11" i="115"/>
  <c r="F12" i="115"/>
  <c r="F13" i="115"/>
  <c r="F14" i="115"/>
  <c r="F15" i="115"/>
  <c r="F16" i="115"/>
  <c r="F17" i="115"/>
  <c r="F18" i="115"/>
  <c r="F19" i="115"/>
  <c r="F20" i="115"/>
  <c r="F21" i="115"/>
  <c r="H206" i="39" s="1"/>
  <c r="F22" i="115"/>
  <c r="F23" i="115"/>
  <c r="F24" i="115"/>
  <c r="F25" i="115"/>
  <c r="F26" i="115"/>
  <c r="F27" i="115"/>
  <c r="F28" i="115"/>
  <c r="F29" i="115"/>
  <c r="F30" i="115"/>
  <c r="F31" i="115"/>
  <c r="F32" i="115"/>
  <c r="F33" i="115"/>
  <c r="F34" i="115"/>
  <c r="F35" i="115"/>
  <c r="F36" i="115"/>
  <c r="F37" i="115"/>
  <c r="F38" i="115"/>
  <c r="F39" i="115"/>
  <c r="F40" i="115"/>
  <c r="F41" i="115"/>
  <c r="F42" i="115"/>
  <c r="F43" i="115"/>
  <c r="F3" i="115"/>
  <c r="I3" i="115" s="1"/>
  <c r="D4" i="114"/>
  <c r="H266" i="39" s="1"/>
  <c r="H236" i="39"/>
  <c r="R40" i="37" l="1"/>
  <c r="R45" i="37"/>
  <c r="R18" i="37"/>
  <c r="R15" i="37"/>
  <c r="R19" i="37"/>
  <c r="R48" i="37"/>
  <c r="V36" i="37"/>
  <c r="R27" i="4"/>
  <c r="R17" i="4"/>
  <c r="R16" i="4"/>
  <c r="R15" i="4"/>
  <c r="R22" i="4"/>
  <c r="R14" i="4"/>
  <c r="R20" i="4"/>
  <c r="R19" i="4"/>
  <c r="R18" i="4"/>
  <c r="P9" i="4"/>
  <c r="R13" i="4"/>
  <c r="Q12" i="4"/>
  <c r="O155" i="39"/>
  <c r="M153" i="39"/>
  <c r="T42" i="4"/>
  <c r="R34" i="35"/>
  <c r="R22" i="35"/>
  <c r="R45" i="35"/>
  <c r="R44" i="35"/>
  <c r="R17" i="35"/>
  <c r="R36" i="35"/>
  <c r="R16" i="35"/>
  <c r="R42" i="35"/>
  <c r="R15" i="35"/>
  <c r="R23" i="35"/>
  <c r="R21" i="35"/>
  <c r="Q20" i="35"/>
  <c r="T30" i="35"/>
  <c r="Q33" i="35"/>
  <c r="T47" i="35"/>
  <c r="Q48" i="35"/>
  <c r="R48" i="35" s="1"/>
  <c r="T41" i="35"/>
  <c r="T40" i="35" s="1"/>
  <c r="T39" i="35" s="1"/>
  <c r="Q43" i="35"/>
  <c r="R43" i="35" s="1"/>
  <c r="T37" i="37"/>
  <c r="Q43" i="37"/>
  <c r="T42" i="37"/>
  <c r="O52" i="37"/>
  <c r="K52" i="37"/>
  <c r="M52" i="37"/>
  <c r="Q39" i="37"/>
  <c r="Q16" i="37"/>
  <c r="H29" i="37"/>
  <c r="H207" i="39"/>
  <c r="V14" i="37"/>
  <c r="V12" i="37" s="1"/>
  <c r="H278" i="39"/>
  <c r="K16" i="35"/>
  <c r="T52" i="37"/>
  <c r="T53" i="37"/>
  <c r="Q53" i="37" s="1"/>
  <c r="V13" i="35"/>
  <c r="V10" i="35" s="1"/>
  <c r="V9" i="35" s="1"/>
  <c r="V78" i="4"/>
  <c r="V73" i="4" s="1"/>
  <c r="V72" i="4" s="1"/>
  <c r="V63" i="4" s="1"/>
  <c r="V59" i="4" s="1"/>
  <c r="V56" i="4" s="1"/>
  <c r="V42" i="4" s="1"/>
  <c r="V41" i="4" s="1"/>
  <c r="V32" i="4" s="1"/>
  <c r="V25" i="4" s="1"/>
  <c r="V12" i="4" s="1"/>
  <c r="V11" i="4" s="1"/>
  <c r="I6" i="115"/>
  <c r="T138" i="4"/>
  <c r="T16" i="37"/>
  <c r="H196" i="39"/>
  <c r="T20" i="35"/>
  <c r="T177" i="4"/>
  <c r="I10" i="116"/>
  <c r="H256" i="39"/>
  <c r="R53" i="37" l="1"/>
  <c r="R12" i="4"/>
  <c r="T169" i="4"/>
  <c r="T133" i="4"/>
  <c r="T125" i="4"/>
  <c r="R33" i="35"/>
  <c r="Q30" i="35"/>
  <c r="R39" i="37"/>
  <c r="Q37" i="37"/>
  <c r="R43" i="37"/>
  <c r="Q42" i="37"/>
  <c r="R42" i="37" s="1"/>
  <c r="T36" i="37"/>
  <c r="T85" i="4"/>
  <c r="H195" i="39"/>
  <c r="M48" i="35"/>
  <c r="O48" i="35"/>
  <c r="H255" i="39"/>
  <c r="I195" i="39"/>
  <c r="N270" i="39"/>
  <c r="O270" i="39" s="1"/>
  <c r="T14" i="37"/>
  <c r="V10" i="4"/>
  <c r="V9" i="4" s="1"/>
  <c r="J183" i="39"/>
  <c r="T13" i="35"/>
  <c r="T10" i="35" s="1"/>
  <c r="T9" i="35" s="1"/>
  <c r="J41" i="35" s="1"/>
  <c r="O195" i="39" l="1"/>
  <c r="T154" i="4"/>
  <c r="T146" i="4" s="1"/>
  <c r="T118" i="4"/>
  <c r="J30" i="35"/>
  <c r="J21" i="35"/>
  <c r="J47" i="35"/>
  <c r="J35" i="35"/>
  <c r="J20" i="35"/>
  <c r="J48" i="35"/>
  <c r="J25" i="35"/>
  <c r="J40" i="35"/>
  <c r="J43" i="35"/>
  <c r="J26" i="35"/>
  <c r="J33" i="35"/>
  <c r="J32" i="35"/>
  <c r="J29" i="35"/>
  <c r="J24" i="35"/>
  <c r="J34" i="35"/>
  <c r="J36" i="35"/>
  <c r="J42" i="35"/>
  <c r="J28" i="35"/>
  <c r="J31" i="35"/>
  <c r="J45" i="35"/>
  <c r="J23" i="35"/>
  <c r="J46" i="35"/>
  <c r="J44" i="35"/>
  <c r="J49" i="35"/>
  <c r="J27" i="35"/>
  <c r="J22" i="35"/>
  <c r="R37" i="37"/>
  <c r="Q36" i="37"/>
  <c r="R36" i="37" s="1"/>
  <c r="J14" i="37"/>
  <c r="T12" i="37"/>
  <c r="T68" i="4"/>
  <c r="T73" i="4"/>
  <c r="J182" i="39"/>
  <c r="K182" i="39" s="1"/>
  <c r="I268" i="39"/>
  <c r="N272" i="39"/>
  <c r="O272" i="39" s="1"/>
  <c r="N273" i="39"/>
  <c r="O273" i="39" s="1"/>
  <c r="N271" i="39"/>
  <c r="O271" i="39" s="1"/>
  <c r="N269" i="39"/>
  <c r="O269" i="39" s="1"/>
  <c r="Q158" i="39"/>
  <c r="Q169" i="39"/>
  <c r="P198" i="39"/>
  <c r="P197" i="39" s="1"/>
  <c r="P230" i="39"/>
  <c r="J270" i="39" l="1"/>
  <c r="I235" i="39"/>
  <c r="M268" i="39"/>
  <c r="T72" i="4"/>
  <c r="T115" i="4"/>
  <c r="J12" i="37"/>
  <c r="K14" i="37"/>
  <c r="P33" i="37"/>
  <c r="Q230" i="39"/>
  <c r="R230" i="39" s="1"/>
  <c r="T63" i="4"/>
  <c r="N268" i="39"/>
  <c r="N235" i="39" s="1"/>
  <c r="N210" i="39" s="1"/>
  <c r="P185" i="39"/>
  <c r="P202" i="39"/>
  <c r="R202" i="39" s="1"/>
  <c r="K12" i="37" l="1"/>
  <c r="O235" i="39"/>
  <c r="O268" i="39"/>
  <c r="T59" i="4"/>
  <c r="T98" i="4"/>
  <c r="T37" i="4"/>
  <c r="T78" i="4" l="1"/>
  <c r="T32" i="4"/>
  <c r="T56" i="4"/>
  <c r="T25" i="4" l="1"/>
  <c r="Q33" i="37"/>
  <c r="R33" i="37" s="1"/>
  <c r="R279" i="39"/>
  <c r="P207" i="39"/>
  <c r="T12" i="4" l="1"/>
  <c r="T41" i="4"/>
  <c r="Q234" i="39"/>
  <c r="R17" i="54"/>
  <c r="R19" i="54"/>
  <c r="R20" i="54"/>
  <c r="R22" i="54"/>
  <c r="R23" i="54"/>
  <c r="R24" i="54"/>
  <c r="R25" i="54"/>
  <c r="R26" i="54"/>
  <c r="R27" i="54"/>
  <c r="R28" i="54"/>
  <c r="R30" i="54"/>
  <c r="T11" i="4" l="1"/>
  <c r="R234" i="39"/>
  <c r="R16" i="54"/>
  <c r="P158" i="39"/>
  <c r="R158" i="39" s="1"/>
  <c r="P110" i="39"/>
  <c r="P36" i="39"/>
  <c r="P16" i="37"/>
  <c r="T10" i="4" l="1"/>
  <c r="T9" i="4" s="1"/>
  <c r="P14" i="37"/>
  <c r="R16" i="37"/>
  <c r="P181" i="39"/>
  <c r="P38" i="39"/>
  <c r="Q156" i="39" l="1"/>
  <c r="R14" i="54"/>
  <c r="P151" i="39"/>
  <c r="P152" i="39"/>
  <c r="P29" i="37" l="1"/>
  <c r="R21" i="54"/>
  <c r="P140" i="39"/>
  <c r="P206" i="39" l="1"/>
  <c r="P205" i="39" s="1"/>
  <c r="R209" i="39"/>
  <c r="Q155" i="39"/>
  <c r="R13" i="54"/>
  <c r="Z32" i="4" l="1"/>
  <c r="R12" i="54"/>
  <c r="Q154" i="39"/>
  <c r="K17" i="35"/>
  <c r="Z28" i="4" l="1"/>
  <c r="K15" i="35"/>
  <c r="Z25" i="4" l="1"/>
  <c r="Q28" i="4"/>
  <c r="R28" i="4" s="1"/>
  <c r="P276" i="39"/>
  <c r="P277" i="39"/>
  <c r="Q25" i="4" l="1"/>
  <c r="R208" i="39"/>
  <c r="P278" i="39"/>
  <c r="P275" i="39"/>
  <c r="R159" i="39"/>
  <c r="Z11" i="4" l="1"/>
  <c r="R25" i="4"/>
  <c r="P274" i="39"/>
  <c r="Z10" i="4" l="1"/>
  <c r="P32" i="54"/>
  <c r="Z9" i="4" l="1"/>
  <c r="Q160" i="4" s="1"/>
  <c r="P144" i="39"/>
  <c r="P26" i="35"/>
  <c r="R15" i="54"/>
  <c r="R29" i="54"/>
  <c r="J111" i="4" l="1"/>
  <c r="J110" i="4"/>
  <c r="Q114" i="4"/>
  <c r="R114" i="4" s="1"/>
  <c r="Q145" i="4"/>
  <c r="R145" i="4" s="1"/>
  <c r="Q110" i="4"/>
  <c r="R110" i="4" s="1"/>
  <c r="Q39" i="4"/>
  <c r="R39" i="4" s="1"/>
  <c r="Q169" i="4"/>
  <c r="R169" i="4" s="1"/>
  <c r="Q107" i="4"/>
  <c r="R107" i="4" s="1"/>
  <c r="Q105" i="4"/>
  <c r="R105" i="4" s="1"/>
  <c r="Q131" i="4"/>
  <c r="R131" i="4" s="1"/>
  <c r="Q173" i="4"/>
  <c r="R173" i="4" s="1"/>
  <c r="Q140" i="4"/>
  <c r="R140" i="4" s="1"/>
  <c r="Q119" i="4"/>
  <c r="R119" i="4" s="1"/>
  <c r="Q120" i="4"/>
  <c r="R120" i="4" s="1"/>
  <c r="Q46" i="4"/>
  <c r="Q106" i="4"/>
  <c r="R106" i="4" s="1"/>
  <c r="Q83" i="4"/>
  <c r="R83" i="4" s="1"/>
  <c r="Q132" i="4"/>
  <c r="R132" i="4" s="1"/>
  <c r="Q141" i="4"/>
  <c r="R141" i="4" s="1"/>
  <c r="J118" i="4"/>
  <c r="J61" i="4"/>
  <c r="J97" i="4"/>
  <c r="J127" i="4"/>
  <c r="J18" i="4"/>
  <c r="J93" i="4"/>
  <c r="J105" i="4"/>
  <c r="J169" i="4"/>
  <c r="J66" i="4"/>
  <c r="J168" i="4"/>
  <c r="J135" i="4"/>
  <c r="J100" i="4"/>
  <c r="J88" i="4"/>
  <c r="J104" i="4"/>
  <c r="J132" i="4"/>
  <c r="J173" i="4"/>
  <c r="J87" i="4"/>
  <c r="Q125" i="4"/>
  <c r="R125" i="4" s="1"/>
  <c r="Q161" i="4"/>
  <c r="R161" i="4" s="1"/>
  <c r="Q181" i="4"/>
  <c r="R181" i="4" s="1"/>
  <c r="Q94" i="4"/>
  <c r="R94" i="4" s="1"/>
  <c r="J30" i="4"/>
  <c r="J160" i="4"/>
  <c r="J172" i="4"/>
  <c r="Q165" i="4"/>
  <c r="R165" i="4" s="1"/>
  <c r="Q71" i="4"/>
  <c r="R71" i="4" s="1"/>
  <c r="Q35" i="4"/>
  <c r="R35" i="4" s="1"/>
  <c r="Q87" i="4"/>
  <c r="R87" i="4" s="1"/>
  <c r="Q64" i="4"/>
  <c r="Q149" i="4"/>
  <c r="R149" i="4" s="1"/>
  <c r="Q180" i="4"/>
  <c r="R180" i="4" s="1"/>
  <c r="Q179" i="4"/>
  <c r="R179" i="4" s="1"/>
  <c r="Q97" i="4"/>
  <c r="R97" i="4" s="1"/>
  <c r="Q70" i="4"/>
  <c r="R70" i="4" s="1"/>
  <c r="Q162" i="4"/>
  <c r="R162" i="4" s="1"/>
  <c r="Q151" i="4"/>
  <c r="R151" i="4" s="1"/>
  <c r="Q95" i="4"/>
  <c r="R95" i="4" s="1"/>
  <c r="Q31" i="4"/>
  <c r="Q159" i="4"/>
  <c r="R159" i="4" s="1"/>
  <c r="Q49" i="4"/>
  <c r="R49" i="4" s="1"/>
  <c r="J42" i="4"/>
  <c r="J56" i="4"/>
  <c r="J176" i="4"/>
  <c r="J48" i="4"/>
  <c r="J49" i="4"/>
  <c r="J181" i="4"/>
  <c r="J86" i="4"/>
  <c r="J92" i="4"/>
  <c r="J155" i="4"/>
  <c r="J91" i="4"/>
  <c r="J166" i="4"/>
  <c r="J34" i="4"/>
  <c r="J96" i="4"/>
  <c r="J21" i="4"/>
  <c r="J64" i="4"/>
  <c r="J161" i="4"/>
  <c r="J109" i="4"/>
  <c r="Q102" i="4"/>
  <c r="R102" i="4" s="1"/>
  <c r="Q111" i="4"/>
  <c r="R111" i="4" s="1"/>
  <c r="J106" i="4"/>
  <c r="J175" i="4"/>
  <c r="J121" i="4"/>
  <c r="J26" i="4"/>
  <c r="Q50" i="4"/>
  <c r="R50" i="4" s="1"/>
  <c r="Q129" i="4"/>
  <c r="R129" i="4" s="1"/>
  <c r="Q123" i="4"/>
  <c r="R123" i="4" s="1"/>
  <c r="R160" i="4"/>
  <c r="Q112" i="4"/>
  <c r="R112" i="4" s="1"/>
  <c r="Q44" i="4"/>
  <c r="Q101" i="4"/>
  <c r="R101" i="4" s="1"/>
  <c r="Q89" i="4"/>
  <c r="R89" i="4" s="1"/>
  <c r="Q150" i="4"/>
  <c r="R150" i="4" s="1"/>
  <c r="Q133" i="4"/>
  <c r="R133" i="4" s="1"/>
  <c r="Q60" i="4"/>
  <c r="R60" i="4" s="1"/>
  <c r="Q55" i="4"/>
  <c r="R55" i="4" s="1"/>
  <c r="Q118" i="4"/>
  <c r="R118" i="4" s="1"/>
  <c r="Q59" i="4"/>
  <c r="R59" i="4" s="1"/>
  <c r="Q113" i="4"/>
  <c r="R113" i="4" s="1"/>
  <c r="Q121" i="4"/>
  <c r="R121" i="4" s="1"/>
  <c r="J178" i="4"/>
  <c r="J115" i="4"/>
  <c r="J58" i="4"/>
  <c r="J89" i="4"/>
  <c r="J22" i="4"/>
  <c r="J128" i="4"/>
  <c r="J103" i="4"/>
  <c r="J74" i="4"/>
  <c r="J180" i="4"/>
  <c r="J163" i="4"/>
  <c r="J179" i="4"/>
  <c r="J131" i="4"/>
  <c r="J44" i="4"/>
  <c r="J108" i="4"/>
  <c r="J99" i="4"/>
  <c r="J145" i="4"/>
  <c r="J182" i="4"/>
  <c r="J31" i="4"/>
  <c r="Q143" i="4"/>
  <c r="R143" i="4" s="1"/>
  <c r="Q90" i="4"/>
  <c r="R90" i="4" s="1"/>
  <c r="J69" i="4"/>
  <c r="J46" i="4"/>
  <c r="J162" i="4"/>
  <c r="J25" i="4"/>
  <c r="Q148" i="4"/>
  <c r="Q163" i="4"/>
  <c r="R163" i="4" s="1"/>
  <c r="Q168" i="4"/>
  <c r="R168" i="4" s="1"/>
  <c r="Q77" i="4"/>
  <c r="Q40" i="4"/>
  <c r="R40" i="4" s="1"/>
  <c r="Q91" i="4"/>
  <c r="R91" i="4" s="1"/>
  <c r="Q130" i="4"/>
  <c r="R130" i="4" s="1"/>
  <c r="Q176" i="4"/>
  <c r="R176" i="4" s="1"/>
  <c r="Q43" i="4"/>
  <c r="Q53" i="4"/>
  <c r="R53" i="4" s="1"/>
  <c r="Q109" i="4"/>
  <c r="R109" i="4" s="1"/>
  <c r="Q88" i="4"/>
  <c r="Q122" i="4"/>
  <c r="R122" i="4" s="1"/>
  <c r="Q124" i="4"/>
  <c r="R124" i="4" s="1"/>
  <c r="Q104" i="4"/>
  <c r="R104" i="4" s="1"/>
  <c r="J170" i="4"/>
  <c r="J57" i="4"/>
  <c r="J28" i="4"/>
  <c r="J167" i="4"/>
  <c r="J117" i="4"/>
  <c r="J140" i="4"/>
  <c r="J38" i="4"/>
  <c r="J94" i="4"/>
  <c r="J102" i="4"/>
  <c r="J129" i="4"/>
  <c r="J101" i="4"/>
  <c r="J174" i="4"/>
  <c r="J122" i="4"/>
  <c r="J62" i="4"/>
  <c r="J33" i="4"/>
  <c r="J164" i="4"/>
  <c r="J41" i="4"/>
  <c r="J53" i="4"/>
  <c r="Q80" i="4"/>
  <c r="R80" i="4" s="1"/>
  <c r="Q52" i="4"/>
  <c r="R52" i="4" s="1"/>
  <c r="Q92" i="4"/>
  <c r="R92" i="4" s="1"/>
  <c r="Q86" i="4"/>
  <c r="J60" i="4"/>
  <c r="J120" i="4"/>
  <c r="J65" i="4"/>
  <c r="J76" i="4"/>
  <c r="J27" i="4"/>
  <c r="Q69" i="4"/>
  <c r="Q99" i="4"/>
  <c r="Q58" i="4"/>
  <c r="R58" i="4" s="1"/>
  <c r="Q136" i="4"/>
  <c r="R136" i="4" s="1"/>
  <c r="Q127" i="4"/>
  <c r="R127" i="4" s="1"/>
  <c r="Q167" i="4"/>
  <c r="Q96" i="4"/>
  <c r="R96" i="4" s="1"/>
  <c r="Q116" i="4"/>
  <c r="Q108" i="4"/>
  <c r="R108" i="4" s="1"/>
  <c r="Q144" i="4"/>
  <c r="R144" i="4" s="1"/>
  <c r="Q36" i="4"/>
  <c r="R36" i="4" s="1"/>
  <c r="Q81" i="4"/>
  <c r="Q178" i="4"/>
  <c r="Q137" i="4"/>
  <c r="R137" i="4" s="1"/>
  <c r="Q47" i="4"/>
  <c r="R47" i="4" s="1"/>
  <c r="Q75" i="4"/>
  <c r="J171" i="4"/>
  <c r="J54" i="4"/>
  <c r="J24" i="4"/>
  <c r="J80" i="4"/>
  <c r="J40" i="4"/>
  <c r="J139" i="4"/>
  <c r="J114" i="4"/>
  <c r="J126" i="4"/>
  <c r="J36" i="4"/>
  <c r="J116" i="4"/>
  <c r="J35" i="4"/>
  <c r="J45" i="4"/>
  <c r="Q48" i="4"/>
  <c r="R48" i="4" s="1"/>
  <c r="Q134" i="4"/>
  <c r="R134" i="4" s="1"/>
  <c r="Q164" i="4"/>
  <c r="R164" i="4" s="1"/>
  <c r="Q157" i="4"/>
  <c r="R157" i="4" s="1"/>
  <c r="Q33" i="4"/>
  <c r="Q174" i="4"/>
  <c r="R174" i="4" s="1"/>
  <c r="Q82" i="4"/>
  <c r="R82" i="4" s="1"/>
  <c r="Q66" i="4"/>
  <c r="R66" i="4" s="1"/>
  <c r="Q152" i="4"/>
  <c r="Q158" i="4"/>
  <c r="R158" i="4" s="1"/>
  <c r="Q182" i="4"/>
  <c r="R182" i="4" s="1"/>
  <c r="Q103" i="4"/>
  <c r="R103" i="4" s="1"/>
  <c r="Q135" i="4"/>
  <c r="R135" i="4" s="1"/>
  <c r="Q62" i="4"/>
  <c r="Q57" i="4"/>
  <c r="R57" i="4" s="1"/>
  <c r="Q126" i="4"/>
  <c r="R126" i="4" s="1"/>
  <c r="Q128" i="4"/>
  <c r="R128" i="4" s="1"/>
  <c r="J78" i="4"/>
  <c r="J59" i="4"/>
  <c r="J23" i="4"/>
  <c r="J156" i="4"/>
  <c r="J20" i="4"/>
  <c r="J71" i="4"/>
  <c r="J136" i="4"/>
  <c r="J70" i="4"/>
  <c r="J113" i="4"/>
  <c r="J47" i="4"/>
  <c r="J112" i="4"/>
  <c r="J95" i="4"/>
  <c r="J134" i="4"/>
  <c r="J50" i="4"/>
  <c r="J43" i="4"/>
  <c r="J51" i="4"/>
  <c r="Q93" i="4"/>
  <c r="R93" i="4" s="1"/>
  <c r="Q74" i="4"/>
  <c r="Q61" i="4"/>
  <c r="R61" i="4" s="1"/>
  <c r="J158" i="4"/>
  <c r="Q155" i="4"/>
  <c r="Q84" i="4"/>
  <c r="R84" i="4" s="1"/>
  <c r="Q56" i="4"/>
  <c r="R56" i="4" s="1"/>
  <c r="Q139" i="4"/>
  <c r="Q172" i="4"/>
  <c r="R172" i="4" s="1"/>
  <c r="Q166" i="4"/>
  <c r="R166" i="4" s="1"/>
  <c r="Q38" i="4"/>
  <c r="Q45" i="4"/>
  <c r="Q100" i="4"/>
  <c r="R100" i="4" s="1"/>
  <c r="Q76" i="4"/>
  <c r="Q54" i="4"/>
  <c r="Q51" i="4"/>
  <c r="R51" i="4" s="1"/>
  <c r="Q156" i="4"/>
  <c r="R156" i="4" s="1"/>
  <c r="Q153" i="4"/>
  <c r="Q142" i="4"/>
  <c r="R142" i="4" s="1"/>
  <c r="Q65" i="4"/>
  <c r="R65" i="4" s="1"/>
  <c r="Q175" i="4"/>
  <c r="R175" i="4" s="1"/>
  <c r="J119" i="4"/>
  <c r="J55" i="4"/>
  <c r="J29" i="4"/>
  <c r="J137" i="4"/>
  <c r="J19" i="4"/>
  <c r="J83" i="4"/>
  <c r="J144" i="4"/>
  <c r="J82" i="4"/>
  <c r="J124" i="4"/>
  <c r="J81" i="4"/>
  <c r="J123" i="4"/>
  <c r="J90" i="4"/>
  <c r="J150" i="4"/>
  <c r="J39" i="4"/>
  <c r="J52" i="4"/>
  <c r="J75" i="4"/>
  <c r="J141" i="4"/>
  <c r="Q34" i="4"/>
  <c r="R34" i="4" s="1"/>
  <c r="Q117" i="4"/>
  <c r="R117" i="4" s="1"/>
  <c r="Q41" i="4"/>
  <c r="R41" i="4" s="1"/>
  <c r="P273" i="39"/>
  <c r="R273" i="39" s="1"/>
  <c r="P35" i="54"/>
  <c r="P34" i="54" s="1"/>
  <c r="P52" i="37"/>
  <c r="P143" i="39"/>
  <c r="I58" i="54"/>
  <c r="I34" i="54" s="1"/>
  <c r="K111" i="4" l="1"/>
  <c r="K90" i="4"/>
  <c r="K137" i="4"/>
  <c r="K113" i="4"/>
  <c r="K78" i="4"/>
  <c r="K139" i="4"/>
  <c r="K65" i="4"/>
  <c r="K41" i="4"/>
  <c r="K102" i="4"/>
  <c r="K170" i="4"/>
  <c r="K25" i="4"/>
  <c r="K145" i="4"/>
  <c r="K74" i="4"/>
  <c r="K26" i="4"/>
  <c r="K160" i="4"/>
  <c r="K132" i="4"/>
  <c r="K105" i="4"/>
  <c r="K123" i="4"/>
  <c r="K29" i="4"/>
  <c r="K51" i="4"/>
  <c r="K70" i="4"/>
  <c r="K40" i="4"/>
  <c r="K164" i="4"/>
  <c r="K94" i="4"/>
  <c r="K162" i="4"/>
  <c r="K99" i="4"/>
  <c r="K103" i="4"/>
  <c r="K121" i="4"/>
  <c r="K21" i="4"/>
  <c r="K30" i="4"/>
  <c r="K104" i="4"/>
  <c r="K93" i="4"/>
  <c r="K81" i="4"/>
  <c r="K55" i="4"/>
  <c r="K43" i="4"/>
  <c r="K136" i="4"/>
  <c r="K45" i="4"/>
  <c r="K80" i="4"/>
  <c r="K60" i="4"/>
  <c r="K33" i="4"/>
  <c r="K38" i="4"/>
  <c r="K46" i="4"/>
  <c r="K128" i="4"/>
  <c r="K175" i="4"/>
  <c r="K96" i="4"/>
  <c r="K49" i="4"/>
  <c r="K88" i="4"/>
  <c r="K141" i="4"/>
  <c r="K124" i="4"/>
  <c r="K119" i="4"/>
  <c r="K50" i="4"/>
  <c r="K71" i="4"/>
  <c r="K35" i="4"/>
  <c r="K24" i="4"/>
  <c r="K62" i="4"/>
  <c r="K140" i="4"/>
  <c r="K69" i="4"/>
  <c r="K44" i="4"/>
  <c r="K22" i="4"/>
  <c r="K106" i="4"/>
  <c r="K34" i="4"/>
  <c r="K48" i="4"/>
  <c r="K100" i="4"/>
  <c r="K127" i="4"/>
  <c r="K134" i="4"/>
  <c r="K20" i="4"/>
  <c r="K116" i="4"/>
  <c r="K122" i="4"/>
  <c r="K117" i="4"/>
  <c r="K131" i="4"/>
  <c r="K89" i="4"/>
  <c r="K166" i="4"/>
  <c r="K176" i="4"/>
  <c r="K135" i="4"/>
  <c r="K75" i="4"/>
  <c r="K144" i="4"/>
  <c r="K158" i="4"/>
  <c r="K95" i="4"/>
  <c r="K156" i="4"/>
  <c r="K174" i="4"/>
  <c r="K167" i="4"/>
  <c r="K179" i="4"/>
  <c r="K58" i="4"/>
  <c r="K56" i="4"/>
  <c r="K168" i="4"/>
  <c r="K61" i="4"/>
  <c r="K52" i="4"/>
  <c r="K39" i="4"/>
  <c r="K126" i="4"/>
  <c r="K27" i="4"/>
  <c r="K101" i="4"/>
  <c r="K28" i="4"/>
  <c r="K31" i="4"/>
  <c r="K163" i="4"/>
  <c r="K115" i="4"/>
  <c r="K109" i="4"/>
  <c r="K155" i="4"/>
  <c r="K42" i="4"/>
  <c r="K87" i="4"/>
  <c r="K66" i="4"/>
  <c r="K118" i="4"/>
  <c r="K82" i="4"/>
  <c r="K83" i="4"/>
  <c r="K150" i="4"/>
  <c r="K19" i="4"/>
  <c r="K47" i="4"/>
  <c r="K59" i="4"/>
  <c r="K76" i="4"/>
  <c r="K53" i="4"/>
  <c r="K129" i="4"/>
  <c r="K57" i="4"/>
  <c r="K182" i="4"/>
  <c r="K180" i="4"/>
  <c r="K161" i="4"/>
  <c r="K92" i="4"/>
  <c r="K172" i="4"/>
  <c r="K173" i="4"/>
  <c r="K169" i="4"/>
  <c r="Q54" i="39"/>
  <c r="R54" i="39" s="1"/>
  <c r="R54" i="4"/>
  <c r="R178" i="4"/>
  <c r="Q177" i="4"/>
  <c r="R177" i="4" s="1"/>
  <c r="K181" i="4"/>
  <c r="J278" i="39"/>
  <c r="R155" i="4"/>
  <c r="Q154" i="4"/>
  <c r="R86" i="4"/>
  <c r="Q85" i="4"/>
  <c r="R85" i="4" s="1"/>
  <c r="R64" i="4"/>
  <c r="R63" i="4" s="1"/>
  <c r="Q63" i="4"/>
  <c r="K18" i="4"/>
  <c r="J12" i="4"/>
  <c r="Q79" i="4"/>
  <c r="R81" i="4"/>
  <c r="Q45" i="39"/>
  <c r="R45" i="4"/>
  <c r="K54" i="4"/>
  <c r="K54" i="39" s="1"/>
  <c r="J54" i="39"/>
  <c r="R99" i="4"/>
  <c r="Q98" i="4"/>
  <c r="R98" i="4" s="1"/>
  <c r="R46" i="4"/>
  <c r="Q46" i="39"/>
  <c r="Q37" i="4"/>
  <c r="R37" i="4" s="1"/>
  <c r="R38" i="4"/>
  <c r="Q32" i="4"/>
  <c r="R33" i="4"/>
  <c r="J201" i="39"/>
  <c r="K201" i="39" s="1"/>
  <c r="K171" i="4"/>
  <c r="R69" i="4"/>
  <c r="Q68" i="4"/>
  <c r="R68" i="4" s="1"/>
  <c r="R76" i="4"/>
  <c r="Q76" i="39"/>
  <c r="K108" i="4"/>
  <c r="J107" i="4"/>
  <c r="R44" i="4"/>
  <c r="Q44" i="39"/>
  <c r="K23" i="4"/>
  <c r="J23" i="39"/>
  <c r="K23" i="39" s="1"/>
  <c r="R75" i="4"/>
  <c r="Q75" i="39"/>
  <c r="R116" i="4"/>
  <c r="Q115" i="4"/>
  <c r="R115" i="4" s="1"/>
  <c r="J110" i="39"/>
  <c r="K110" i="39" s="1"/>
  <c r="R43" i="4"/>
  <c r="Q43" i="39"/>
  <c r="Q42" i="4"/>
  <c r="Q147" i="4"/>
  <c r="R147" i="4" s="1"/>
  <c r="R148" i="4"/>
  <c r="J177" i="4"/>
  <c r="K178" i="4"/>
  <c r="R74" i="4"/>
  <c r="Q73" i="4"/>
  <c r="Q138" i="4"/>
  <c r="R138" i="4" s="1"/>
  <c r="R139" i="4"/>
  <c r="Q196" i="39"/>
  <c r="R167" i="4"/>
  <c r="J63" i="4"/>
  <c r="K64" i="4"/>
  <c r="J85" i="4"/>
  <c r="K86" i="4"/>
  <c r="M58" i="54"/>
  <c r="N34" i="54"/>
  <c r="O34" i="54" s="1"/>
  <c r="R18" i="54"/>
  <c r="P142" i="39"/>
  <c r="P11" i="54"/>
  <c r="P10" i="54" s="1"/>
  <c r="P154" i="39"/>
  <c r="R154" i="39" s="1"/>
  <c r="N58" i="54"/>
  <c r="O58" i="54" s="1"/>
  <c r="P33" i="39"/>
  <c r="P34" i="39"/>
  <c r="P35" i="39"/>
  <c r="P40" i="39"/>
  <c r="P48" i="39"/>
  <c r="P49" i="39"/>
  <c r="P50" i="39"/>
  <c r="P57" i="39"/>
  <c r="P58" i="39"/>
  <c r="P60" i="39"/>
  <c r="P64" i="39"/>
  <c r="P65" i="39"/>
  <c r="P66" i="39"/>
  <c r="P81" i="39"/>
  <c r="P82" i="39"/>
  <c r="P86" i="39"/>
  <c r="P90" i="39"/>
  <c r="P93" i="39"/>
  <c r="P94" i="39"/>
  <c r="P95" i="39"/>
  <c r="P96" i="39"/>
  <c r="P116" i="39"/>
  <c r="P119" i="39"/>
  <c r="P126" i="39"/>
  <c r="P132" i="39"/>
  <c r="P134" i="39"/>
  <c r="P139" i="39"/>
  <c r="P141" i="39"/>
  <c r="P180" i="39"/>
  <c r="P187" i="39"/>
  <c r="P269" i="39"/>
  <c r="P270" i="39"/>
  <c r="P271" i="39"/>
  <c r="P272" i="39"/>
  <c r="P23" i="37"/>
  <c r="R23" i="37" s="1"/>
  <c r="P255" i="39"/>
  <c r="P256" i="39"/>
  <c r="P238" i="39"/>
  <c r="P239" i="39"/>
  <c r="P240" i="39"/>
  <c r="P244" i="39"/>
  <c r="P245" i="39"/>
  <c r="P246" i="39"/>
  <c r="P247" i="39"/>
  <c r="P248" i="39"/>
  <c r="P254" i="39"/>
  <c r="P250" i="39"/>
  <c r="K107" i="4" l="1"/>
  <c r="K12" i="4"/>
  <c r="K85" i="4"/>
  <c r="K63" i="4"/>
  <c r="R32" i="4"/>
  <c r="Q11" i="4"/>
  <c r="R11" i="4" s="1"/>
  <c r="Q146" i="4"/>
  <c r="R154" i="4"/>
  <c r="R146" i="4" s="1"/>
  <c r="Q72" i="4"/>
  <c r="R72" i="4" s="1"/>
  <c r="R73" i="4"/>
  <c r="Q78" i="4"/>
  <c r="R78" i="4" s="1"/>
  <c r="R79" i="4"/>
  <c r="R42" i="4"/>
  <c r="Q42" i="39"/>
  <c r="P268" i="39"/>
  <c r="P63" i="39"/>
  <c r="P237" i="39"/>
  <c r="P242" i="39"/>
  <c r="M34" i="54"/>
  <c r="P32" i="39"/>
  <c r="P9" i="54"/>
  <c r="R157" i="39"/>
  <c r="P147" i="39"/>
  <c r="P155" i="39"/>
  <c r="R155" i="39" s="1"/>
  <c r="P190" i="39"/>
  <c r="P14" i="35"/>
  <c r="P13" i="35" s="1"/>
  <c r="R31" i="54"/>
  <c r="P176" i="39"/>
  <c r="R262" i="39"/>
  <c r="P182" i="39"/>
  <c r="P113" i="39"/>
  <c r="P84" i="39"/>
  <c r="P131" i="39"/>
  <c r="P74" i="39"/>
  <c r="P73" i="39" s="1"/>
  <c r="P72" i="39" s="1"/>
  <c r="P79" i="39"/>
  <c r="R14" i="35" l="1"/>
  <c r="P10" i="35"/>
  <c r="P83" i="39"/>
  <c r="Q174" i="39"/>
  <c r="P39" i="39"/>
  <c r="P148" i="39"/>
  <c r="P149" i="39"/>
  <c r="P150" i="39"/>
  <c r="P191" i="39"/>
  <c r="P192" i="39"/>
  <c r="P193" i="39"/>
  <c r="R249" i="39"/>
  <c r="P146" i="39" l="1"/>
  <c r="R11" i="54"/>
  <c r="Q272" i="39"/>
  <c r="R272" i="39" s="1"/>
  <c r="R160" i="39"/>
  <c r="R161" i="39"/>
  <c r="R162" i="39"/>
  <c r="P189" i="39"/>
  <c r="P231" i="39"/>
  <c r="P232" i="39"/>
  <c r="P252" i="39"/>
  <c r="P253" i="39"/>
  <c r="P257" i="39"/>
  <c r="P258" i="39"/>
  <c r="P259" i="39"/>
  <c r="P260" i="39"/>
  <c r="P261" i="39"/>
  <c r="R264" i="39"/>
  <c r="K251" i="39"/>
  <c r="Q27" i="37"/>
  <c r="P235" i="39" l="1"/>
  <c r="K249" i="39"/>
  <c r="Q207" i="39"/>
  <c r="R207" i="39" s="1"/>
  <c r="P233" i="39"/>
  <c r="R251" i="39"/>
  <c r="P174" i="39"/>
  <c r="R174" i="39" s="1"/>
  <c r="P156" i="39"/>
  <c r="R156" i="39" s="1"/>
  <c r="P169" i="39"/>
  <c r="R169" i="39" s="1"/>
  <c r="G254" i="39"/>
  <c r="G238" i="39"/>
  <c r="G239" i="39"/>
  <c r="G240" i="39"/>
  <c r="G243" i="39"/>
  <c r="G244" i="39"/>
  <c r="G245" i="39"/>
  <c r="G246" i="39"/>
  <c r="G247" i="39"/>
  <c r="G248" i="39"/>
  <c r="P186" i="39"/>
  <c r="G204" i="39"/>
  <c r="B204" i="39"/>
  <c r="P153" i="39" l="1"/>
  <c r="Q206" i="39"/>
  <c r="H247" i="39"/>
  <c r="H240" i="39"/>
  <c r="H243" i="39"/>
  <c r="H238" i="39"/>
  <c r="H244" i="39"/>
  <c r="H246" i="39"/>
  <c r="H239" i="39"/>
  <c r="H245" i="39"/>
  <c r="H254" i="39"/>
  <c r="H248" i="39"/>
  <c r="H27" i="37"/>
  <c r="H204" i="39" s="1"/>
  <c r="H242" i="39" l="1"/>
  <c r="H237" i="39"/>
  <c r="Q205" i="39"/>
  <c r="R205" i="39" s="1"/>
  <c r="R206" i="39"/>
  <c r="I204" i="39"/>
  <c r="M204" i="39" s="1"/>
  <c r="M27" i="37"/>
  <c r="N27" i="37"/>
  <c r="O27" i="37" s="1"/>
  <c r="P27" i="37"/>
  <c r="H41" i="35"/>
  <c r="H40" i="35" s="1"/>
  <c r="R27" i="37" l="1"/>
  <c r="H235" i="39"/>
  <c r="N204" i="39"/>
  <c r="O204" i="39" s="1"/>
  <c r="M41" i="35"/>
  <c r="O41" i="35"/>
  <c r="O40" i="35" l="1"/>
  <c r="M40" i="35"/>
  <c r="M39" i="35" l="1"/>
  <c r="O39" i="35"/>
  <c r="Q255" i="39" l="1"/>
  <c r="R255" i="39" s="1"/>
  <c r="Q247" i="39" l="1"/>
  <c r="R247" i="39" s="1"/>
  <c r="Q271" i="39"/>
  <c r="R271" i="39" s="1"/>
  <c r="Q256" i="39" l="1"/>
  <c r="R256" i="39" s="1"/>
  <c r="I37" i="35" l="1"/>
  <c r="P37" i="35"/>
  <c r="H37" i="35"/>
  <c r="P195" i="39" l="1"/>
  <c r="N37" i="35"/>
  <c r="O37" i="35" s="1"/>
  <c r="M37" i="35"/>
  <c r="M32" i="54" l="1"/>
  <c r="I9" i="54"/>
  <c r="Q37" i="35"/>
  <c r="R37" i="35" s="1"/>
  <c r="Q245" i="39" l="1"/>
  <c r="R245" i="39" s="1"/>
  <c r="Q187" i="39"/>
  <c r="R187" i="39" s="1"/>
  <c r="Q238" i="39" l="1"/>
  <c r="R238" i="39" l="1"/>
  <c r="I30" i="35" l="1"/>
  <c r="N30" i="35" s="1"/>
  <c r="Q254" i="39" l="1"/>
  <c r="R254" i="39" s="1"/>
  <c r="Q244" i="39"/>
  <c r="R244" i="39" s="1"/>
  <c r="Q240" i="39"/>
  <c r="R240" i="39" s="1"/>
  <c r="Q243" i="39"/>
  <c r="Q246" i="39"/>
  <c r="R246" i="39" s="1"/>
  <c r="O30" i="35"/>
  <c r="M30" i="35"/>
  <c r="P12" i="37"/>
  <c r="Q248" i="39"/>
  <c r="R248" i="39" s="1"/>
  <c r="R243" i="39" l="1"/>
  <c r="Q242" i="39"/>
  <c r="R242" i="39" s="1"/>
  <c r="Q239" i="39"/>
  <c r="N188" i="39"/>
  <c r="Q14" i="37"/>
  <c r="R14" i="37" s="1"/>
  <c r="R239" i="39" l="1"/>
  <c r="Q237" i="39"/>
  <c r="R237" i="39" s="1"/>
  <c r="H30" i="35"/>
  <c r="P211" i="39" l="1"/>
  <c r="P210" i="39" s="1"/>
  <c r="H89" i="39" l="1"/>
  <c r="H23" i="37" l="1"/>
  <c r="V35" i="54" l="1"/>
  <c r="P188" i="39" l="1"/>
  <c r="H26" i="35"/>
  <c r="H180" i="39" s="1"/>
  <c r="T35" i="54" l="1"/>
  <c r="T58" i="54"/>
  <c r="M25" i="37" l="1"/>
  <c r="N25" i="37" l="1"/>
  <c r="O25" i="37" s="1"/>
  <c r="Q269" i="39" l="1"/>
  <c r="R269" i="39" s="1"/>
  <c r="Q270" i="39"/>
  <c r="R270" i="39" s="1"/>
  <c r="Q41" i="35"/>
  <c r="Q268" i="39" l="1"/>
  <c r="R268" i="39" s="1"/>
  <c r="Q40" i="35" l="1"/>
  <c r="Q26" i="35" l="1"/>
  <c r="R26" i="35" s="1"/>
  <c r="Q180" i="39" l="1"/>
  <c r="R180" i="39" s="1"/>
  <c r="P25" i="37" l="1"/>
  <c r="H14" i="37" l="1"/>
  <c r="I188" i="39" l="1"/>
  <c r="H188" i="39"/>
  <c r="M188" i="39" l="1"/>
  <c r="O188" i="39"/>
  <c r="Q39" i="35"/>
  <c r="F89" i="39" l="1"/>
  <c r="L89" i="39" l="1"/>
  <c r="N89" i="39"/>
  <c r="I89" i="39" l="1"/>
  <c r="M89" i="39" l="1"/>
  <c r="O89" i="39"/>
  <c r="J241" i="39"/>
  <c r="K241" i="39" s="1"/>
  <c r="H76" i="39" l="1"/>
  <c r="F76" i="39"/>
  <c r="I76" i="39" l="1"/>
  <c r="O76" i="39" l="1"/>
  <c r="M76" i="39"/>
  <c r="F121" i="39"/>
  <c r="L121" i="39" l="1"/>
  <c r="N121" i="39"/>
  <c r="P120" i="39" l="1"/>
  <c r="H187" i="39" l="1"/>
  <c r="Q10" i="4" l="1"/>
  <c r="H28" i="35"/>
  <c r="Q9" i="4" l="1"/>
  <c r="Q28" i="35"/>
  <c r="R28" i="35" s="1"/>
  <c r="H25" i="37" l="1"/>
  <c r="P47" i="35" l="1"/>
  <c r="N277" i="39"/>
  <c r="O277" i="39" s="1"/>
  <c r="V70" i="54"/>
  <c r="T70" i="54"/>
  <c r="J70" i="54"/>
  <c r="K70" i="54" s="1"/>
  <c r="F227" i="39"/>
  <c r="F226" i="39"/>
  <c r="F225" i="39"/>
  <c r="F224" i="39"/>
  <c r="F223" i="39"/>
  <c r="F222" i="39"/>
  <c r="F221" i="39"/>
  <c r="F220" i="39"/>
  <c r="F219" i="39"/>
  <c r="F218" i="39"/>
  <c r="F217" i="39"/>
  <c r="F216" i="39"/>
  <c r="F215" i="39"/>
  <c r="F214" i="39"/>
  <c r="F213" i="39"/>
  <c r="F212" i="39"/>
  <c r="F188" i="39"/>
  <c r="F187" i="39"/>
  <c r="F186" i="39"/>
  <c r="F184" i="39"/>
  <c r="F183" i="39"/>
  <c r="F182" i="39"/>
  <c r="F179" i="39"/>
  <c r="F177" i="39"/>
  <c r="F176" i="39"/>
  <c r="F141" i="39"/>
  <c r="F139" i="39"/>
  <c r="F137" i="39"/>
  <c r="F136" i="39"/>
  <c r="F135" i="39"/>
  <c r="F134" i="39"/>
  <c r="F131" i="39"/>
  <c r="I131" i="39" s="1"/>
  <c r="I130" i="39" s="1"/>
  <c r="F129" i="39"/>
  <c r="F128" i="39"/>
  <c r="F127" i="39"/>
  <c r="F126" i="39"/>
  <c r="F124" i="39"/>
  <c r="F123" i="39"/>
  <c r="F122" i="39"/>
  <c r="F120" i="39"/>
  <c r="F119" i="39"/>
  <c r="F117" i="39"/>
  <c r="F116" i="39"/>
  <c r="F114" i="39"/>
  <c r="F113" i="39"/>
  <c r="F112" i="39"/>
  <c r="F111" i="39"/>
  <c r="H111" i="39" s="1"/>
  <c r="F109" i="39"/>
  <c r="F108" i="39"/>
  <c r="F106" i="39"/>
  <c r="F105" i="39"/>
  <c r="F104" i="39"/>
  <c r="H104" i="39" s="1"/>
  <c r="F103" i="39"/>
  <c r="I103" i="39" s="1"/>
  <c r="F102" i="39"/>
  <c r="H102" i="39" s="1"/>
  <c r="F101" i="39"/>
  <c r="H101" i="39" s="1"/>
  <c r="F100" i="39"/>
  <c r="F99" i="39"/>
  <c r="F97" i="39"/>
  <c r="F96" i="39"/>
  <c r="F95" i="39"/>
  <c r="F94" i="39"/>
  <c r="F93" i="39"/>
  <c r="F92" i="39"/>
  <c r="F91" i="39"/>
  <c r="F90" i="39"/>
  <c r="F86" i="39"/>
  <c r="F84" i="39"/>
  <c r="H84" i="39" s="1"/>
  <c r="F82" i="39"/>
  <c r="I82" i="39" s="1"/>
  <c r="F81" i="39"/>
  <c r="F75" i="39"/>
  <c r="F74" i="39"/>
  <c r="F71" i="39"/>
  <c r="F70" i="39"/>
  <c r="F69" i="39"/>
  <c r="F66" i="39"/>
  <c r="F65" i="39"/>
  <c r="F64" i="39"/>
  <c r="F61" i="39"/>
  <c r="F60" i="39"/>
  <c r="F58" i="39"/>
  <c r="F57" i="39"/>
  <c r="I57" i="39" s="1"/>
  <c r="F53" i="39"/>
  <c r="F52" i="39"/>
  <c r="F51" i="39"/>
  <c r="F50" i="39"/>
  <c r="F49" i="39"/>
  <c r="F48" i="39"/>
  <c r="F47" i="39"/>
  <c r="F46" i="39"/>
  <c r="F45" i="39"/>
  <c r="F44" i="39"/>
  <c r="F43" i="39"/>
  <c r="F40" i="39"/>
  <c r="F39" i="39"/>
  <c r="F38" i="39"/>
  <c r="F35" i="39"/>
  <c r="F34" i="39"/>
  <c r="F33" i="39"/>
  <c r="F30" i="39"/>
  <c r="F29" i="39"/>
  <c r="F27" i="39"/>
  <c r="F26" i="39"/>
  <c r="J26" i="39" s="1"/>
  <c r="F22" i="39"/>
  <c r="F21" i="39"/>
  <c r="F20" i="39"/>
  <c r="F19" i="39"/>
  <c r="F18" i="39"/>
  <c r="N18" i="39" s="1"/>
  <c r="F17" i="39"/>
  <c r="F16" i="39"/>
  <c r="F15" i="39"/>
  <c r="N15" i="39" s="1"/>
  <c r="F14" i="39"/>
  <c r="N14" i="39" s="1"/>
  <c r="F13" i="39"/>
  <c r="P41" i="35" l="1"/>
  <c r="R41" i="35" s="1"/>
  <c r="L16" i="39"/>
  <c r="N16" i="39"/>
  <c r="L27" i="39"/>
  <c r="N27" i="39"/>
  <c r="L40" i="39"/>
  <c r="N40" i="39"/>
  <c r="L50" i="39"/>
  <c r="N50" i="39"/>
  <c r="L64" i="39"/>
  <c r="N64" i="39"/>
  <c r="L81" i="39"/>
  <c r="N81" i="39"/>
  <c r="L94" i="39"/>
  <c r="N94" i="39"/>
  <c r="L103" i="39"/>
  <c r="N103" i="39"/>
  <c r="L113" i="39"/>
  <c r="N113" i="39"/>
  <c r="L124" i="39"/>
  <c r="N124" i="39"/>
  <c r="L136" i="39"/>
  <c r="N136" i="39"/>
  <c r="L17" i="39"/>
  <c r="N17" i="39"/>
  <c r="L51" i="39"/>
  <c r="N51" i="39"/>
  <c r="L82" i="39"/>
  <c r="N82" i="39"/>
  <c r="L114" i="39"/>
  <c r="N114" i="39"/>
  <c r="L137" i="39"/>
  <c r="N137" i="39"/>
  <c r="L18" i="39"/>
  <c r="L30" i="39"/>
  <c r="N30" i="39"/>
  <c r="L44" i="39"/>
  <c r="N44" i="39"/>
  <c r="L52" i="39"/>
  <c r="N52" i="39"/>
  <c r="L66" i="39"/>
  <c r="N66" i="39"/>
  <c r="L84" i="39"/>
  <c r="N84" i="39"/>
  <c r="L96" i="39"/>
  <c r="N96" i="39"/>
  <c r="L105" i="39"/>
  <c r="N105" i="39"/>
  <c r="L116" i="39"/>
  <c r="N116" i="39"/>
  <c r="L127" i="39"/>
  <c r="N127" i="39"/>
  <c r="L139" i="39"/>
  <c r="N139" i="39"/>
  <c r="N186" i="39"/>
  <c r="L186" i="39"/>
  <c r="L95" i="39"/>
  <c r="N95" i="39"/>
  <c r="L33" i="39"/>
  <c r="N33" i="39"/>
  <c r="L45" i="39"/>
  <c r="N45" i="39"/>
  <c r="L53" i="39"/>
  <c r="N53" i="39"/>
  <c r="L69" i="39"/>
  <c r="N69" i="39"/>
  <c r="L86" i="39"/>
  <c r="N86" i="39"/>
  <c r="L97" i="39"/>
  <c r="N97" i="39"/>
  <c r="L106" i="39"/>
  <c r="N106" i="39"/>
  <c r="L117" i="39"/>
  <c r="N117" i="39"/>
  <c r="L128" i="39"/>
  <c r="N128" i="39"/>
  <c r="L141" i="39"/>
  <c r="N141" i="39"/>
  <c r="N184" i="39"/>
  <c r="L19" i="39"/>
  <c r="N19" i="39"/>
  <c r="L20" i="39"/>
  <c r="N20" i="39"/>
  <c r="L34" i="39"/>
  <c r="N34" i="39"/>
  <c r="L46" i="39"/>
  <c r="N46" i="39"/>
  <c r="L57" i="39"/>
  <c r="N57" i="39"/>
  <c r="L70" i="39"/>
  <c r="N70" i="39"/>
  <c r="L90" i="39"/>
  <c r="N90" i="39"/>
  <c r="L99" i="39"/>
  <c r="N99" i="39"/>
  <c r="L108" i="39"/>
  <c r="N108" i="39"/>
  <c r="L119" i="39"/>
  <c r="N119" i="39"/>
  <c r="L129" i="39"/>
  <c r="N129" i="39"/>
  <c r="N176" i="39"/>
  <c r="L176" i="39"/>
  <c r="L13" i="39"/>
  <c r="N13" i="39"/>
  <c r="L21" i="39"/>
  <c r="N21" i="39"/>
  <c r="L35" i="39"/>
  <c r="N35" i="39"/>
  <c r="L47" i="39"/>
  <c r="N47" i="39"/>
  <c r="L58" i="39"/>
  <c r="N58" i="39"/>
  <c r="L71" i="39"/>
  <c r="N71" i="39"/>
  <c r="L91" i="39"/>
  <c r="N91" i="39"/>
  <c r="L100" i="39"/>
  <c r="N100" i="39"/>
  <c r="L109" i="39"/>
  <c r="N109" i="39"/>
  <c r="L120" i="39"/>
  <c r="N120" i="39"/>
  <c r="L131" i="39"/>
  <c r="M131" i="39" s="1"/>
  <c r="N131" i="39"/>
  <c r="O131" i="39" s="1"/>
  <c r="L29" i="39"/>
  <c r="N29" i="39"/>
  <c r="L43" i="39"/>
  <c r="N43" i="39"/>
  <c r="L65" i="39"/>
  <c r="N65" i="39"/>
  <c r="L104" i="39"/>
  <c r="N104" i="39"/>
  <c r="L126" i="39"/>
  <c r="N126" i="39"/>
  <c r="L22" i="39"/>
  <c r="N22" i="39"/>
  <c r="L38" i="39"/>
  <c r="N38" i="39"/>
  <c r="L48" i="39"/>
  <c r="N48" i="39"/>
  <c r="L60" i="39"/>
  <c r="N60" i="39"/>
  <c r="L74" i="39"/>
  <c r="N74" i="39"/>
  <c r="L92" i="39"/>
  <c r="N92" i="39"/>
  <c r="L101" i="39"/>
  <c r="N101" i="39"/>
  <c r="L111" i="39"/>
  <c r="N111" i="39"/>
  <c r="L122" i="39"/>
  <c r="N122" i="39"/>
  <c r="L134" i="39"/>
  <c r="N134" i="39"/>
  <c r="L26" i="39"/>
  <c r="N26" i="39"/>
  <c r="L39" i="39"/>
  <c r="N39" i="39"/>
  <c r="L49" i="39"/>
  <c r="N49" i="39"/>
  <c r="L61" i="39"/>
  <c r="N61" i="39"/>
  <c r="L75" i="39"/>
  <c r="N75" i="39"/>
  <c r="L93" i="39"/>
  <c r="N93" i="39"/>
  <c r="L102" i="39"/>
  <c r="N102" i="39"/>
  <c r="L112" i="39"/>
  <c r="N112" i="39"/>
  <c r="L123" i="39"/>
  <c r="N123" i="39"/>
  <c r="L135" i="39"/>
  <c r="N135" i="39"/>
  <c r="L14" i="39"/>
  <c r="H14" i="39"/>
  <c r="L15" i="39"/>
  <c r="I15" i="39"/>
  <c r="P184" i="39"/>
  <c r="P106" i="39"/>
  <c r="P51" i="39"/>
  <c r="R51" i="39" s="1"/>
  <c r="P124" i="39"/>
  <c r="P129" i="39"/>
  <c r="P130" i="39"/>
  <c r="P43" i="39"/>
  <c r="P97" i="39"/>
  <c r="P85" i="39" s="1"/>
  <c r="P44" i="39"/>
  <c r="P117" i="39"/>
  <c r="P45" i="39"/>
  <c r="P52" i="39"/>
  <c r="P100" i="39"/>
  <c r="P122" i="39"/>
  <c r="P61" i="39"/>
  <c r="P59" i="39" s="1"/>
  <c r="P123" i="39"/>
  <c r="P46" i="39"/>
  <c r="P109" i="39"/>
  <c r="P47" i="39"/>
  <c r="P69" i="39"/>
  <c r="P102" i="39"/>
  <c r="P111" i="39"/>
  <c r="P127" i="39"/>
  <c r="P135" i="39"/>
  <c r="P53" i="39"/>
  <c r="P101" i="39"/>
  <c r="P70" i="39"/>
  <c r="P103" i="39"/>
  <c r="P128" i="39"/>
  <c r="P136" i="39"/>
  <c r="P30" i="39"/>
  <c r="P121" i="39"/>
  <c r="P71" i="39"/>
  <c r="P104" i="39"/>
  <c r="P114" i="39"/>
  <c r="H58" i="54"/>
  <c r="H34" i="54" s="1"/>
  <c r="P105" i="39"/>
  <c r="I124" i="39"/>
  <c r="I17" i="39"/>
  <c r="I39" i="39"/>
  <c r="I53" i="39"/>
  <c r="I93" i="39"/>
  <c r="I100" i="39"/>
  <c r="I126" i="39"/>
  <c r="I18" i="39"/>
  <c r="I33" i="39"/>
  <c r="I40" i="39"/>
  <c r="I47" i="39"/>
  <c r="I86" i="39"/>
  <c r="I94" i="39"/>
  <c r="I101" i="39"/>
  <c r="I121" i="39"/>
  <c r="M121" i="39" s="1"/>
  <c r="I139" i="39"/>
  <c r="I22" i="39"/>
  <c r="I105" i="39"/>
  <c r="I30" i="39"/>
  <c r="I51" i="39"/>
  <c r="I74" i="39"/>
  <c r="I136" i="39"/>
  <c r="I186" i="39"/>
  <c r="I45" i="39"/>
  <c r="I99" i="39"/>
  <c r="I19" i="39"/>
  <c r="I27" i="39"/>
  <c r="I34" i="39"/>
  <c r="I48" i="39"/>
  <c r="I71" i="39"/>
  <c r="I102" i="39"/>
  <c r="I122" i="39"/>
  <c r="I66" i="39"/>
  <c r="I90" i="39"/>
  <c r="I184" i="39"/>
  <c r="I106" i="39"/>
  <c r="I52" i="39"/>
  <c r="I13" i="39"/>
  <c r="I20" i="39"/>
  <c r="I35" i="39"/>
  <c r="I49" i="39"/>
  <c r="I64" i="39"/>
  <c r="I96" i="39"/>
  <c r="I117" i="39"/>
  <c r="I123" i="39"/>
  <c r="I43" i="39"/>
  <c r="I44" i="39"/>
  <c r="I16" i="39"/>
  <c r="I60" i="39"/>
  <c r="I92" i="39"/>
  <c r="I14" i="39"/>
  <c r="I50" i="39"/>
  <c r="I65" i="39"/>
  <c r="I97" i="39"/>
  <c r="I104" i="39"/>
  <c r="I111" i="39"/>
  <c r="I141" i="39"/>
  <c r="I95" i="39"/>
  <c r="I135" i="39"/>
  <c r="I113" i="39"/>
  <c r="H184" i="39"/>
  <c r="H186" i="39"/>
  <c r="H95" i="39"/>
  <c r="H126" i="39"/>
  <c r="H97" i="39"/>
  <c r="H106" i="39"/>
  <c r="H116" i="39"/>
  <c r="H119" i="39"/>
  <c r="H127" i="39"/>
  <c r="H91" i="39"/>
  <c r="H100" i="39"/>
  <c r="H108" i="39"/>
  <c r="H113" i="39"/>
  <c r="H122" i="39"/>
  <c r="H131" i="39"/>
  <c r="H134" i="39"/>
  <c r="H92" i="39"/>
  <c r="H96" i="39"/>
  <c r="H105" i="39"/>
  <c r="H114" i="39"/>
  <c r="H123" i="39"/>
  <c r="H135" i="39"/>
  <c r="H82" i="39"/>
  <c r="H93" i="39"/>
  <c r="H136" i="39"/>
  <c r="H141" i="39"/>
  <c r="H90" i="39"/>
  <c r="H94" i="39"/>
  <c r="H103" i="39"/>
  <c r="H117" i="39"/>
  <c r="H124" i="39"/>
  <c r="H128" i="39"/>
  <c r="H137" i="39"/>
  <c r="H139" i="39"/>
  <c r="H21" i="39"/>
  <c r="H27" i="39"/>
  <c r="H34" i="39"/>
  <c r="H39" i="39"/>
  <c r="H44" i="39"/>
  <c r="H48" i="39"/>
  <c r="H51" i="39"/>
  <c r="H65" i="39"/>
  <c r="H71" i="39"/>
  <c r="H13" i="39"/>
  <c r="H16" i="39"/>
  <c r="H20" i="39"/>
  <c r="H33" i="39"/>
  <c r="H38" i="39"/>
  <c r="H43" i="39"/>
  <c r="H47" i="39"/>
  <c r="H57" i="39"/>
  <c r="H64" i="39"/>
  <c r="H70" i="39"/>
  <c r="H75" i="39"/>
  <c r="H15" i="39"/>
  <c r="H18" i="39"/>
  <c r="H22" i="39"/>
  <c r="H35" i="39"/>
  <c r="H40" i="39"/>
  <c r="H45" i="39"/>
  <c r="H49" i="39"/>
  <c r="H52" i="39"/>
  <c r="H60" i="39"/>
  <c r="H19" i="39"/>
  <c r="H30" i="39"/>
  <c r="H46" i="39"/>
  <c r="H50" i="39"/>
  <c r="H53" i="39"/>
  <c r="H61" i="39"/>
  <c r="H69" i="39"/>
  <c r="Q182" i="39"/>
  <c r="R182" i="39" s="1"/>
  <c r="H182" i="39"/>
  <c r="P203" i="39"/>
  <c r="P199" i="39" s="1"/>
  <c r="H277" i="39"/>
  <c r="H120" i="39"/>
  <c r="H39" i="35"/>
  <c r="H14" i="35"/>
  <c r="I183" i="39"/>
  <c r="H205" i="39"/>
  <c r="P183" i="39"/>
  <c r="H203" i="39"/>
  <c r="H199" i="39" s="1"/>
  <c r="H274" i="39"/>
  <c r="H275" i="39"/>
  <c r="H276" i="39"/>
  <c r="N85" i="39" l="1"/>
  <c r="N63" i="39"/>
  <c r="L175" i="39"/>
  <c r="L145" i="39" s="1"/>
  <c r="I63" i="39"/>
  <c r="H42" i="39"/>
  <c r="P68" i="39"/>
  <c r="M40" i="39"/>
  <c r="M39" i="39"/>
  <c r="N12" i="39"/>
  <c r="L12" i="39"/>
  <c r="O20" i="39"/>
  <c r="M20" i="39"/>
  <c r="O13" i="39"/>
  <c r="M13" i="39"/>
  <c r="M35" i="39"/>
  <c r="O35" i="39"/>
  <c r="M18" i="39"/>
  <c r="O18" i="39"/>
  <c r="O14" i="39"/>
  <c r="M14" i="39"/>
  <c r="M34" i="39"/>
  <c r="O34" i="39"/>
  <c r="O15" i="39"/>
  <c r="M15" i="39"/>
  <c r="M27" i="39"/>
  <c r="O27" i="39"/>
  <c r="O30" i="39"/>
  <c r="M30" i="39"/>
  <c r="O16" i="39"/>
  <c r="M16" i="39"/>
  <c r="O19" i="39"/>
  <c r="M19" i="39"/>
  <c r="M17" i="39"/>
  <c r="O17" i="39"/>
  <c r="O22" i="39"/>
  <c r="M22" i="39"/>
  <c r="O33" i="39"/>
  <c r="M33" i="39"/>
  <c r="O183" i="39"/>
  <c r="M183" i="39"/>
  <c r="K183" i="39"/>
  <c r="M184" i="39"/>
  <c r="M186" i="39"/>
  <c r="M50" i="39"/>
  <c r="M135" i="39"/>
  <c r="M93" i="39"/>
  <c r="M111" i="39"/>
  <c r="M60" i="39"/>
  <c r="M126" i="39"/>
  <c r="M100" i="39"/>
  <c r="M47" i="39"/>
  <c r="M99" i="39"/>
  <c r="M106" i="39"/>
  <c r="M53" i="39"/>
  <c r="M105" i="39"/>
  <c r="M52" i="39"/>
  <c r="M136" i="39"/>
  <c r="M94" i="39"/>
  <c r="M123" i="39"/>
  <c r="M101" i="39"/>
  <c r="M48" i="39"/>
  <c r="M104" i="39"/>
  <c r="M90" i="39"/>
  <c r="M141" i="39"/>
  <c r="M97" i="39"/>
  <c r="M45" i="39"/>
  <c r="M139" i="39"/>
  <c r="M96" i="39"/>
  <c r="M44" i="39"/>
  <c r="M82" i="39"/>
  <c r="M124" i="39"/>
  <c r="M92" i="39"/>
  <c r="M65" i="39"/>
  <c r="M71" i="39"/>
  <c r="M86" i="39"/>
  <c r="M51" i="39"/>
  <c r="M113" i="39"/>
  <c r="M64" i="39"/>
  <c r="M102" i="39"/>
  <c r="M49" i="39"/>
  <c r="M122" i="39"/>
  <c r="M74" i="39"/>
  <c r="M43" i="39"/>
  <c r="M57" i="39"/>
  <c r="M117" i="39"/>
  <c r="M95" i="39"/>
  <c r="M66" i="39"/>
  <c r="O124" i="39"/>
  <c r="O65" i="39"/>
  <c r="O71" i="39"/>
  <c r="O102" i="39"/>
  <c r="O49" i="39"/>
  <c r="O122" i="39"/>
  <c r="O43" i="39"/>
  <c r="L130" i="39"/>
  <c r="M130" i="39" s="1"/>
  <c r="O82" i="39"/>
  <c r="O51" i="39"/>
  <c r="O113" i="39"/>
  <c r="O64" i="39"/>
  <c r="O74" i="39"/>
  <c r="O57" i="39"/>
  <c r="O117" i="39"/>
  <c r="O95" i="39"/>
  <c r="O66" i="39"/>
  <c r="O92" i="39"/>
  <c r="O86" i="39"/>
  <c r="O50" i="39"/>
  <c r="O135" i="39"/>
  <c r="O93" i="39"/>
  <c r="O39" i="39"/>
  <c r="O111" i="39"/>
  <c r="O60" i="39"/>
  <c r="O126" i="39"/>
  <c r="O100" i="39"/>
  <c r="O47" i="39"/>
  <c r="O99" i="39"/>
  <c r="O106" i="39"/>
  <c r="O53" i="39"/>
  <c r="O105" i="39"/>
  <c r="O52" i="39"/>
  <c r="O121" i="39"/>
  <c r="O184" i="39"/>
  <c r="O186" i="39"/>
  <c r="O136" i="39"/>
  <c r="O94" i="39"/>
  <c r="O40" i="39"/>
  <c r="O123" i="39"/>
  <c r="O101" i="39"/>
  <c r="O48" i="39"/>
  <c r="O104" i="39"/>
  <c r="O90" i="39"/>
  <c r="O141" i="39"/>
  <c r="O97" i="39"/>
  <c r="O45" i="39"/>
  <c r="O139" i="39"/>
  <c r="O96" i="39"/>
  <c r="O44" i="39"/>
  <c r="N59" i="39"/>
  <c r="L59" i="39"/>
  <c r="N42" i="39"/>
  <c r="L42" i="39"/>
  <c r="N28" i="39"/>
  <c r="L28" i="39"/>
  <c r="P40" i="35"/>
  <c r="P39" i="35" s="1"/>
  <c r="P9" i="35" s="1"/>
  <c r="O20" i="35"/>
  <c r="I13" i="35"/>
  <c r="N32" i="39"/>
  <c r="L32" i="39"/>
  <c r="H138" i="39"/>
  <c r="H32" i="39"/>
  <c r="I32" i="39"/>
  <c r="L79" i="39"/>
  <c r="P42" i="39"/>
  <c r="L63" i="39"/>
  <c r="L25" i="39"/>
  <c r="L37" i="39"/>
  <c r="M20" i="35"/>
  <c r="O14" i="35"/>
  <c r="N98" i="39"/>
  <c r="N133" i="39"/>
  <c r="N37" i="39"/>
  <c r="L98" i="39"/>
  <c r="L133" i="39"/>
  <c r="N130" i="39"/>
  <c r="O130" i="39" s="1"/>
  <c r="N138" i="39"/>
  <c r="N73" i="39"/>
  <c r="L138" i="39"/>
  <c r="L73" i="39"/>
  <c r="N118" i="39"/>
  <c r="N83" i="39"/>
  <c r="N79" i="39"/>
  <c r="L118" i="39"/>
  <c r="L85" i="39"/>
  <c r="L83" i="39"/>
  <c r="N25" i="39"/>
  <c r="N125" i="39"/>
  <c r="N107" i="39"/>
  <c r="N56" i="39"/>
  <c r="N68" i="39"/>
  <c r="L125" i="39"/>
  <c r="L107" i="39"/>
  <c r="L56" i="39"/>
  <c r="L68" i="39"/>
  <c r="L115" i="39"/>
  <c r="R170" i="39"/>
  <c r="H10" i="54"/>
  <c r="H150" i="39" s="1"/>
  <c r="H177" i="39"/>
  <c r="H13" i="35"/>
  <c r="H10" i="35" s="1"/>
  <c r="H9" i="35" s="1"/>
  <c r="H179" i="39"/>
  <c r="H129" i="39"/>
  <c r="I129" i="39"/>
  <c r="M129" i="39" s="1"/>
  <c r="H112" i="39"/>
  <c r="I112" i="39"/>
  <c r="O112" i="39" s="1"/>
  <c r="P179" i="39"/>
  <c r="P177" i="39"/>
  <c r="V10" i="54"/>
  <c r="I179" i="39"/>
  <c r="M179" i="39" s="1"/>
  <c r="Q188" i="39"/>
  <c r="R188" i="39" s="1"/>
  <c r="H121" i="39"/>
  <c r="I177" i="39"/>
  <c r="M177" i="39" s="1"/>
  <c r="H74" i="39"/>
  <c r="I128" i="39"/>
  <c r="M128" i="39" s="1"/>
  <c r="T10" i="54"/>
  <c r="I29" i="39"/>
  <c r="I127" i="39"/>
  <c r="O127" i="39" s="1"/>
  <c r="I114" i="39"/>
  <c r="M114" i="39" s="1"/>
  <c r="I75" i="39"/>
  <c r="M75" i="39" s="1"/>
  <c r="I116" i="39"/>
  <c r="O116" i="39" s="1"/>
  <c r="I70" i="39"/>
  <c r="O70" i="39" s="1"/>
  <c r="J49" i="54"/>
  <c r="H12" i="37"/>
  <c r="H11" i="37" s="1"/>
  <c r="H183" i="39"/>
  <c r="T34" i="54"/>
  <c r="T32" i="54" s="1"/>
  <c r="I84" i="39"/>
  <c r="O84" i="39" s="1"/>
  <c r="I137" i="39"/>
  <c r="O137" i="39" s="1"/>
  <c r="P115" i="39"/>
  <c r="I38" i="39"/>
  <c r="I61" i="39"/>
  <c r="I59" i="39" s="1"/>
  <c r="I81" i="39"/>
  <c r="I79" i="39" s="1"/>
  <c r="I108" i="39"/>
  <c r="O108" i="39" s="1"/>
  <c r="H58" i="39"/>
  <c r="I58" i="39"/>
  <c r="O58" i="39" s="1"/>
  <c r="P137" i="39"/>
  <c r="I26" i="39"/>
  <c r="H29" i="39"/>
  <c r="H66" i="39"/>
  <c r="M103" i="39"/>
  <c r="I134" i="39"/>
  <c r="O134" i="39" s="1"/>
  <c r="I138" i="39"/>
  <c r="P138" i="39"/>
  <c r="H81" i="39"/>
  <c r="P29" i="39"/>
  <c r="I46" i="39"/>
  <c r="I42" i="39" s="1"/>
  <c r="P56" i="39"/>
  <c r="I69" i="39"/>
  <c r="M69" i="39" s="1"/>
  <c r="H26" i="39"/>
  <c r="P125" i="39"/>
  <c r="H109" i="39"/>
  <c r="I21" i="39"/>
  <c r="I12" i="39" s="1"/>
  <c r="H17" i="39"/>
  <c r="P108" i="39"/>
  <c r="P107" i="39" s="1"/>
  <c r="P118" i="39"/>
  <c r="H59" i="39"/>
  <c r="H133" i="39"/>
  <c r="I119" i="39"/>
  <c r="O119" i="39" s="1"/>
  <c r="I91" i="39"/>
  <c r="M91" i="39" s="1"/>
  <c r="H99" i="39"/>
  <c r="I109" i="39"/>
  <c r="M109" i="39" s="1"/>
  <c r="P99" i="39"/>
  <c r="H130" i="39"/>
  <c r="I120" i="39"/>
  <c r="M120" i="39" s="1"/>
  <c r="H86" i="39"/>
  <c r="H37" i="39"/>
  <c r="H68" i="39"/>
  <c r="I176" i="39"/>
  <c r="M176" i="39" s="1"/>
  <c r="H176" i="39"/>
  <c r="I10" i="35" l="1"/>
  <c r="N10" i="35" s="1"/>
  <c r="N13" i="35"/>
  <c r="O13" i="35" s="1"/>
  <c r="K49" i="54"/>
  <c r="J225" i="39"/>
  <c r="H63" i="39"/>
  <c r="H12" i="39"/>
  <c r="O12" i="39"/>
  <c r="M12" i="39"/>
  <c r="O32" i="39"/>
  <c r="M32" i="39"/>
  <c r="M26" i="39"/>
  <c r="O26" i="39"/>
  <c r="I28" i="39"/>
  <c r="O29" i="39"/>
  <c r="M29" i="39"/>
  <c r="O38" i="39"/>
  <c r="M38" i="39"/>
  <c r="O21" i="39"/>
  <c r="M21" i="39"/>
  <c r="M81" i="39"/>
  <c r="M63" i="39"/>
  <c r="M42" i="39"/>
  <c r="M108" i="39"/>
  <c r="M70" i="39"/>
  <c r="M134" i="39"/>
  <c r="M119" i="39"/>
  <c r="M61" i="39"/>
  <c r="M138" i="39"/>
  <c r="M79" i="39"/>
  <c r="M59" i="39"/>
  <c r="M116" i="39"/>
  <c r="M58" i="39"/>
  <c r="M84" i="39"/>
  <c r="M112" i="39"/>
  <c r="M46" i="39"/>
  <c r="M127" i="39"/>
  <c r="M137" i="39"/>
  <c r="O114" i="39"/>
  <c r="O109" i="39"/>
  <c r="O81" i="39"/>
  <c r="O46" i="39"/>
  <c r="O75" i="39"/>
  <c r="O129" i="39"/>
  <c r="O176" i="39"/>
  <c r="O103" i="39"/>
  <c r="O69" i="39"/>
  <c r="L72" i="39"/>
  <c r="O42" i="39"/>
  <c r="O128" i="39"/>
  <c r="O91" i="39"/>
  <c r="O120" i="39"/>
  <c r="N72" i="39"/>
  <c r="O59" i="39"/>
  <c r="O63" i="39"/>
  <c r="O138" i="39"/>
  <c r="O79" i="39"/>
  <c r="O61" i="39"/>
  <c r="R39" i="35"/>
  <c r="I175" i="39"/>
  <c r="M175" i="39" s="1"/>
  <c r="H79" i="4"/>
  <c r="P133" i="39"/>
  <c r="P98" i="39"/>
  <c r="P28" i="39"/>
  <c r="I133" i="39"/>
  <c r="M133" i="39" s="1"/>
  <c r="L78" i="39"/>
  <c r="H73" i="39"/>
  <c r="N177" i="39"/>
  <c r="O177" i="39" s="1"/>
  <c r="P175" i="39"/>
  <c r="P145" i="39" s="1"/>
  <c r="M13" i="35"/>
  <c r="N179" i="39"/>
  <c r="O179" i="39" s="1"/>
  <c r="L11" i="39"/>
  <c r="N41" i="39"/>
  <c r="N11" i="39"/>
  <c r="L41" i="39"/>
  <c r="N115" i="39"/>
  <c r="N78" i="39" s="1"/>
  <c r="I98" i="39"/>
  <c r="O98" i="39" s="1"/>
  <c r="I37" i="39"/>
  <c r="I25" i="39"/>
  <c r="I83" i="39"/>
  <c r="M83" i="39" s="1"/>
  <c r="I73" i="39"/>
  <c r="I72" i="39" s="1"/>
  <c r="I56" i="39"/>
  <c r="M56" i="39" s="1"/>
  <c r="H211" i="39"/>
  <c r="I74" i="37"/>
  <c r="I78" i="37" s="1"/>
  <c r="H125" i="39"/>
  <c r="H118" i="39"/>
  <c r="H79" i="39"/>
  <c r="H83" i="39"/>
  <c r="H98" i="39"/>
  <c r="H85" i="39"/>
  <c r="H56" i="39"/>
  <c r="H25" i="39"/>
  <c r="H28" i="39"/>
  <c r="H115" i="39"/>
  <c r="H107" i="39"/>
  <c r="I115" i="39"/>
  <c r="M115" i="39" s="1"/>
  <c r="I85" i="39"/>
  <c r="O85" i="39" s="1"/>
  <c r="I118" i="39"/>
  <c r="O118" i="39" s="1"/>
  <c r="I125" i="39"/>
  <c r="O125" i="39" s="1"/>
  <c r="I107" i="39"/>
  <c r="M107" i="39" s="1"/>
  <c r="Q183" i="39"/>
  <c r="R183" i="39" s="1"/>
  <c r="I68" i="39"/>
  <c r="M68" i="39" s="1"/>
  <c r="H9" i="54"/>
  <c r="H175" i="39"/>
  <c r="Q47" i="35"/>
  <c r="R47" i="35" s="1"/>
  <c r="P41" i="39"/>
  <c r="M10" i="35" l="1"/>
  <c r="P78" i="39"/>
  <c r="K238" i="39"/>
  <c r="N10" i="39"/>
  <c r="P287" i="39"/>
  <c r="H210" i="39"/>
  <c r="H41" i="39"/>
  <c r="I41" i="39"/>
  <c r="H72" i="39"/>
  <c r="O28" i="39"/>
  <c r="M28" i="39"/>
  <c r="O37" i="39"/>
  <c r="M37" i="39"/>
  <c r="O25" i="39"/>
  <c r="M25" i="39"/>
  <c r="M125" i="39"/>
  <c r="M98" i="39"/>
  <c r="M118" i="39"/>
  <c r="M72" i="39"/>
  <c r="M73" i="39"/>
  <c r="M85" i="39"/>
  <c r="O56" i="39"/>
  <c r="O83" i="39"/>
  <c r="O107" i="39"/>
  <c r="O133" i="39"/>
  <c r="O115" i="39"/>
  <c r="O73" i="39"/>
  <c r="O68" i="39"/>
  <c r="O72" i="39"/>
  <c r="H287" i="39"/>
  <c r="J239" i="39"/>
  <c r="J240" i="39"/>
  <c r="K240" i="39" s="1"/>
  <c r="P27" i="39"/>
  <c r="J14" i="35"/>
  <c r="I11" i="39"/>
  <c r="O11" i="39" s="1"/>
  <c r="I85" i="37"/>
  <c r="I88" i="37"/>
  <c r="I89" i="37" s="1"/>
  <c r="I84" i="37"/>
  <c r="K44" i="35"/>
  <c r="J271" i="39"/>
  <c r="K271" i="39" s="1"/>
  <c r="I78" i="39"/>
  <c r="M78" i="39" s="1"/>
  <c r="L10" i="39"/>
  <c r="N175" i="39"/>
  <c r="J245" i="39"/>
  <c r="K245" i="39" s="1"/>
  <c r="I82" i="37"/>
  <c r="J246" i="39"/>
  <c r="K246" i="39" s="1"/>
  <c r="I83" i="37"/>
  <c r="J244" i="39"/>
  <c r="K244" i="39" s="1"/>
  <c r="I81" i="37"/>
  <c r="J243" i="39"/>
  <c r="I80" i="37"/>
  <c r="O10" i="35"/>
  <c r="J248" i="39"/>
  <c r="K248" i="39" s="1"/>
  <c r="J247" i="39"/>
  <c r="K247" i="39" s="1"/>
  <c r="J254" i="39"/>
  <c r="K254" i="39" s="1"/>
  <c r="K27" i="35"/>
  <c r="K34" i="35"/>
  <c r="K29" i="35"/>
  <c r="J38" i="35"/>
  <c r="H11" i="39"/>
  <c r="H78" i="39"/>
  <c r="H145" i="39"/>
  <c r="Q29" i="37"/>
  <c r="R29" i="37" s="1"/>
  <c r="R166" i="39"/>
  <c r="H289" i="39"/>
  <c r="Q13" i="35"/>
  <c r="Q10" i="35" s="1"/>
  <c r="J242" i="39" l="1"/>
  <c r="K14" i="35"/>
  <c r="J237" i="39"/>
  <c r="K237" i="39" s="1"/>
  <c r="K243" i="39"/>
  <c r="K239" i="39"/>
  <c r="O175" i="39"/>
  <c r="I86" i="37"/>
  <c r="M41" i="39"/>
  <c r="K38" i="35"/>
  <c r="M11" i="39"/>
  <c r="O78" i="39"/>
  <c r="O41" i="39"/>
  <c r="Q9" i="35"/>
  <c r="R9" i="35" s="1"/>
  <c r="R13" i="35"/>
  <c r="K49" i="35"/>
  <c r="P26" i="39"/>
  <c r="P25" i="39" s="1"/>
  <c r="I10" i="39"/>
  <c r="K46" i="35"/>
  <c r="K35" i="35"/>
  <c r="K24" i="35"/>
  <c r="K28" i="35"/>
  <c r="K48" i="35"/>
  <c r="K45" i="35"/>
  <c r="K22" i="35"/>
  <c r="K31" i="35"/>
  <c r="K21" i="35"/>
  <c r="K32" i="35"/>
  <c r="K36" i="35"/>
  <c r="K33" i="35"/>
  <c r="R172" i="39"/>
  <c r="R165" i="39"/>
  <c r="R163" i="39"/>
  <c r="R167" i="39"/>
  <c r="R164" i="39"/>
  <c r="R168" i="39"/>
  <c r="R171" i="39"/>
  <c r="K41" i="35"/>
  <c r="K25" i="35"/>
  <c r="K23" i="35"/>
  <c r="K40" i="35"/>
  <c r="K30" i="35"/>
  <c r="J188" i="39"/>
  <c r="K188" i="39" s="1"/>
  <c r="K26" i="35"/>
  <c r="J180" i="39"/>
  <c r="K180" i="39" s="1"/>
  <c r="K20" i="35"/>
  <c r="J179" i="39"/>
  <c r="K179" i="39" s="1"/>
  <c r="J269" i="39"/>
  <c r="K42" i="35"/>
  <c r="J37" i="35"/>
  <c r="K270" i="39"/>
  <c r="K43" i="35"/>
  <c r="J273" i="39"/>
  <c r="K273" i="39" s="1"/>
  <c r="J272" i="39"/>
  <c r="K272" i="39" s="1"/>
  <c r="H10" i="39"/>
  <c r="H9" i="39" s="1"/>
  <c r="Q52" i="37"/>
  <c r="R52" i="37" s="1"/>
  <c r="Q177" i="39"/>
  <c r="R177" i="39" s="1"/>
  <c r="Q12" i="37"/>
  <c r="Q179" i="39"/>
  <c r="R179" i="39" s="1"/>
  <c r="K37" i="35" l="1"/>
  <c r="J268" i="39"/>
  <c r="K268" i="39" s="1"/>
  <c r="K269" i="39"/>
  <c r="P22" i="39"/>
  <c r="M10" i="39"/>
  <c r="O10" i="39"/>
  <c r="R263" i="39"/>
  <c r="J187" i="39"/>
  <c r="K187" i="39" s="1"/>
  <c r="Q287" i="39"/>
  <c r="J39" i="35"/>
  <c r="R12" i="37"/>
  <c r="P21" i="39" l="1"/>
  <c r="R287" i="39"/>
  <c r="Q153" i="39"/>
  <c r="R153" i="39" s="1"/>
  <c r="K39" i="35"/>
  <c r="J177" i="39"/>
  <c r="K177" i="39" s="1"/>
  <c r="J13" i="35"/>
  <c r="I47" i="35"/>
  <c r="I274" i="39" l="1"/>
  <c r="M274" i="39" s="1"/>
  <c r="I9" i="35"/>
  <c r="J10" i="35"/>
  <c r="K13" i="35"/>
  <c r="P20" i="39"/>
  <c r="M47" i="35"/>
  <c r="N47" i="35"/>
  <c r="N274" i="39" s="1"/>
  <c r="K47" i="35"/>
  <c r="N9" i="35" l="1"/>
  <c r="J9" i="35"/>
  <c r="K10" i="35"/>
  <c r="O47" i="35"/>
  <c r="O274" i="39"/>
  <c r="P19" i="39"/>
  <c r="M9" i="35"/>
  <c r="I287" i="39"/>
  <c r="M287" i="39" l="1"/>
  <c r="M234" i="39"/>
  <c r="P18" i="39"/>
  <c r="K9" i="35"/>
  <c r="O9" i="35"/>
  <c r="N287" i="39"/>
  <c r="O287" i="39" s="1"/>
  <c r="L211" i="39" l="1"/>
  <c r="M211" i="39" s="1"/>
  <c r="K169" i="39"/>
  <c r="K168" i="39"/>
  <c r="K164" i="39"/>
  <c r="K161" i="39"/>
  <c r="P17" i="39"/>
  <c r="O158" i="39" l="1"/>
  <c r="K158" i="39"/>
  <c r="N161" i="39"/>
  <c r="N164" i="39"/>
  <c r="O164" i="39" s="1"/>
  <c r="N168" i="39"/>
  <c r="O168" i="39" s="1"/>
  <c r="N169" i="39"/>
  <c r="O169" i="39" s="1"/>
  <c r="K153" i="39"/>
  <c r="P16" i="39"/>
  <c r="J287" i="39"/>
  <c r="S287" i="39" s="1"/>
  <c r="O161" i="39" l="1"/>
  <c r="N153" i="39"/>
  <c r="N145" i="39" s="1"/>
  <c r="N9" i="39" s="1"/>
  <c r="H78" i="4"/>
  <c r="P15" i="39"/>
  <c r="K287" i="39"/>
  <c r="H9" i="4" l="1"/>
  <c r="O153" i="39"/>
  <c r="P14" i="39"/>
  <c r="P12" i="39" s="1"/>
  <c r="P37" i="39" l="1"/>
  <c r="R10" i="4" l="1"/>
  <c r="P11" i="39"/>
  <c r="P10" i="39" l="1"/>
  <c r="P9" i="39" s="1"/>
  <c r="P286" i="39" l="1"/>
  <c r="R212" i="39" l="1"/>
  <c r="R36" i="54"/>
  <c r="M9" i="4" l="1"/>
  <c r="O9" i="4"/>
  <c r="I286" i="39"/>
  <c r="O286" i="39" l="1"/>
  <c r="M286" i="39"/>
  <c r="J10" i="54"/>
  <c r="J150" i="39" s="1"/>
  <c r="R10" i="54" l="1"/>
  <c r="N9" i="54" l="1"/>
  <c r="O9" i="54" s="1"/>
  <c r="M9" i="54"/>
  <c r="P289" i="39"/>
  <c r="N289" i="39" l="1"/>
  <c r="K10" i="54" l="1"/>
  <c r="I150" i="39"/>
  <c r="I146" i="39" l="1"/>
  <c r="O150" i="39"/>
  <c r="M150" i="39"/>
  <c r="K150" i="39"/>
  <c r="I289" i="39"/>
  <c r="I145" i="39" l="1"/>
  <c r="I9" i="39" s="1"/>
  <c r="O9" i="39" s="1"/>
  <c r="O146" i="39"/>
  <c r="M146" i="39"/>
  <c r="M289" i="39"/>
  <c r="O289" i="39"/>
  <c r="M145" i="39" l="1"/>
  <c r="O145" i="39"/>
  <c r="H286" i="39"/>
  <c r="V62" i="54"/>
  <c r="Q62" i="54" s="1"/>
  <c r="V61" i="54"/>
  <c r="Q61" i="54" s="1"/>
  <c r="V65" i="54"/>
  <c r="V66" i="54"/>
  <c r="V64" i="54"/>
  <c r="Q64" i="54" s="1"/>
  <c r="V63" i="54"/>
  <c r="Q63" i="54" s="1"/>
  <c r="V58" i="54" l="1"/>
  <c r="V34" i="54" s="1"/>
  <c r="V32" i="54" l="1"/>
  <c r="V9" i="54"/>
  <c r="Q53" i="54" l="1"/>
  <c r="Q32" i="54"/>
  <c r="Q45" i="54"/>
  <c r="Q221" i="39" s="1"/>
  <c r="Q54" i="54"/>
  <c r="Q46" i="54"/>
  <c r="Q222" i="39" s="1"/>
  <c r="Q55" i="54"/>
  <c r="Q47" i="54"/>
  <c r="Q223" i="39" s="1"/>
  <c r="Q56" i="54"/>
  <c r="Q48" i="54"/>
  <c r="Q224" i="39" s="1"/>
  <c r="Q49" i="54"/>
  <c r="Q225" i="39" s="1"/>
  <c r="Q43" i="54"/>
  <c r="Q219" i="39" s="1"/>
  <c r="Q42" i="54"/>
  <c r="Q218" i="39" s="1"/>
  <c r="Q50" i="54"/>
  <c r="Q226" i="39" s="1"/>
  <c r="Q51" i="54"/>
  <c r="Q227" i="39" s="1"/>
  <c r="Q44" i="54"/>
  <c r="Q220" i="39" s="1"/>
  <c r="Q52" i="54"/>
  <c r="Q70" i="54"/>
  <c r="R70" i="54" s="1"/>
  <c r="Q57" i="54"/>
  <c r="R57" i="54" s="1"/>
  <c r="Q68" i="54"/>
  <c r="Q69" i="54"/>
  <c r="R69" i="54" s="1"/>
  <c r="Q67" i="54"/>
  <c r="Q65" i="54"/>
  <c r="Q66" i="54"/>
  <c r="J57" i="54"/>
  <c r="J56" i="54"/>
  <c r="K56" i="54" s="1"/>
  <c r="J52" i="54"/>
  <c r="K52" i="54" s="1"/>
  <c r="J36" i="54"/>
  <c r="J212" i="39" s="1"/>
  <c r="J50" i="54"/>
  <c r="J226" i="39" s="1"/>
  <c r="J48" i="54"/>
  <c r="J224" i="39" s="1"/>
  <c r="J39" i="54"/>
  <c r="J215" i="39" s="1"/>
  <c r="J51" i="54"/>
  <c r="K51" i="54" s="1"/>
  <c r="J45" i="54"/>
  <c r="J221" i="39" s="1"/>
  <c r="J55" i="54"/>
  <c r="K55" i="54" s="1"/>
  <c r="J59" i="54"/>
  <c r="J46" i="54"/>
  <c r="J222" i="39" s="1"/>
  <c r="J54" i="54"/>
  <c r="K54" i="54" s="1"/>
  <c r="J44" i="54"/>
  <c r="J220" i="39" s="1"/>
  <c r="J42" i="54"/>
  <c r="J218" i="39" s="1"/>
  <c r="J47" i="54"/>
  <c r="J223" i="39" s="1"/>
  <c r="J40" i="54"/>
  <c r="J216" i="39" s="1"/>
  <c r="J38" i="54"/>
  <c r="J214" i="39" s="1"/>
  <c r="J60" i="54"/>
  <c r="K60" i="54" s="1"/>
  <c r="J43" i="54"/>
  <c r="J219" i="39" s="1"/>
  <c r="J33" i="54"/>
  <c r="J196" i="39" s="1"/>
  <c r="J41" i="54"/>
  <c r="J217" i="39" s="1"/>
  <c r="J37" i="54"/>
  <c r="J213" i="39" s="1"/>
  <c r="J58" i="54"/>
  <c r="K58" i="54" s="1"/>
  <c r="R53" i="54" l="1"/>
  <c r="R229" i="39" s="1"/>
  <c r="Q229" i="39"/>
  <c r="Q228" i="39"/>
  <c r="R228" i="39" s="1"/>
  <c r="J234" i="39"/>
  <c r="K234" i="39" s="1"/>
  <c r="R225" i="39"/>
  <c r="R49" i="54"/>
  <c r="R220" i="39"/>
  <c r="R44" i="54"/>
  <c r="Q35" i="54"/>
  <c r="Q58" i="54"/>
  <c r="R58" i="54" s="1"/>
  <c r="R52" i="54"/>
  <c r="K57" i="54"/>
  <c r="K38" i="54"/>
  <c r="K46" i="54"/>
  <c r="K45" i="54"/>
  <c r="K48" i="54"/>
  <c r="K37" i="54"/>
  <c r="K40" i="54"/>
  <c r="K59" i="54"/>
  <c r="J236" i="39"/>
  <c r="K50" i="54"/>
  <c r="K41" i="54"/>
  <c r="K36" i="54"/>
  <c r="K47" i="54"/>
  <c r="K39" i="54"/>
  <c r="K42" i="54"/>
  <c r="K43" i="54"/>
  <c r="K44" i="54"/>
  <c r="R51" i="54"/>
  <c r="R227" i="39"/>
  <c r="R32" i="54"/>
  <c r="Q233" i="39"/>
  <c r="R233" i="39" s="1"/>
  <c r="R56" i="54"/>
  <c r="R37" i="54"/>
  <c r="R61" i="54"/>
  <c r="Q250" i="39"/>
  <c r="Q258" i="39"/>
  <c r="R258" i="39" s="1"/>
  <c r="R65" i="54"/>
  <c r="R217" i="39"/>
  <c r="R41" i="54"/>
  <c r="R54" i="54"/>
  <c r="Q231" i="39"/>
  <c r="R231" i="39" s="1"/>
  <c r="R215" i="39"/>
  <c r="R39" i="54"/>
  <c r="Q260" i="39"/>
  <c r="R260" i="39" s="1"/>
  <c r="R67" i="54"/>
  <c r="R226" i="39"/>
  <c r="R50" i="54"/>
  <c r="R68" i="54"/>
  <c r="Q261" i="39"/>
  <c r="R261" i="39" s="1"/>
  <c r="Q236" i="39"/>
  <c r="R236" i="39" s="1"/>
  <c r="R62" i="54"/>
  <c r="Q252" i="39"/>
  <c r="R252" i="39" s="1"/>
  <c r="K33" i="54"/>
  <c r="J32" i="54"/>
  <c r="R43" i="54"/>
  <c r="R219" i="39"/>
  <c r="R222" i="39"/>
  <c r="R46" i="54"/>
  <c r="R64" i="54"/>
  <c r="Q257" i="39"/>
  <c r="R257" i="39" s="1"/>
  <c r="Q259" i="39"/>
  <c r="R259" i="39" s="1"/>
  <c r="R66" i="54"/>
  <c r="R33" i="54"/>
  <c r="R213" i="39"/>
  <c r="R216" i="39"/>
  <c r="R40" i="54"/>
  <c r="R42" i="54"/>
  <c r="R218" i="39"/>
  <c r="Q253" i="39"/>
  <c r="R253" i="39" s="1"/>
  <c r="R63" i="54"/>
  <c r="R45" i="54"/>
  <c r="R221" i="39"/>
  <c r="R47" i="54"/>
  <c r="R223" i="39"/>
  <c r="R214" i="39"/>
  <c r="R38" i="54"/>
  <c r="J266" i="39"/>
  <c r="K266" i="39" s="1"/>
  <c r="R55" i="54"/>
  <c r="Q232" i="39"/>
  <c r="R232" i="39" s="1"/>
  <c r="R224" i="39"/>
  <c r="R48" i="54"/>
  <c r="K236" i="39" l="1"/>
  <c r="Q235" i="39"/>
  <c r="R235" i="39" s="1"/>
  <c r="R250" i="39"/>
  <c r="L210" i="39" s="1"/>
  <c r="Q211" i="39"/>
  <c r="Q34" i="54"/>
  <c r="Q9" i="54" s="1"/>
  <c r="K32" i="54"/>
  <c r="R35" i="54"/>
  <c r="R211" i="39" l="1"/>
  <c r="Q210" i="39"/>
  <c r="M235" i="39"/>
  <c r="R34" i="54"/>
  <c r="K9" i="54" l="1"/>
  <c r="R9" i="54"/>
  <c r="Q289" i="39"/>
  <c r="J289" i="39"/>
  <c r="S289" i="39" s="1"/>
  <c r="R289" i="39" l="1"/>
  <c r="K289" i="39"/>
  <c r="K219" i="39" l="1"/>
  <c r="K224" i="39"/>
  <c r="K225" i="39"/>
  <c r="K222" i="39"/>
  <c r="K215" i="39"/>
  <c r="K217" i="39"/>
  <c r="K220" i="39"/>
  <c r="K218" i="39"/>
  <c r="K216" i="39"/>
  <c r="K221" i="39"/>
  <c r="K227" i="39"/>
  <c r="K213" i="39"/>
  <c r="K223" i="39"/>
  <c r="K226" i="39"/>
  <c r="K212" i="39" l="1"/>
  <c r="K214" i="39"/>
  <c r="K267" i="39"/>
  <c r="J191" i="39" l="1"/>
  <c r="K191" i="39" s="1"/>
  <c r="J62" i="39"/>
  <c r="K62" i="39" s="1"/>
  <c r="J55" i="39"/>
  <c r="K55" i="39" s="1"/>
  <c r="J178" i="39"/>
  <c r="K178" i="39" s="1"/>
  <c r="J31" i="39"/>
  <c r="K31" i="39" s="1"/>
  <c r="J16" i="39"/>
  <c r="K16" i="39" s="1"/>
  <c r="J15" i="39"/>
  <c r="K15" i="39" s="1"/>
  <c r="J13" i="39"/>
  <c r="K13" i="39" s="1"/>
  <c r="J14" i="39"/>
  <c r="K14" i="39" s="1"/>
  <c r="J17" i="39"/>
  <c r="K17" i="39" s="1"/>
  <c r="J24" i="39" l="1"/>
  <c r="K24" i="39" s="1"/>
  <c r="J190" i="39"/>
  <c r="K190" i="39" s="1"/>
  <c r="J200" i="39"/>
  <c r="K200" i="39" s="1"/>
  <c r="Q109" i="39"/>
  <c r="R109" i="39" s="1"/>
  <c r="Q113" i="39"/>
  <c r="R113" i="39" s="1"/>
  <c r="Q95" i="39"/>
  <c r="R95" i="39" s="1"/>
  <c r="Q96" i="39"/>
  <c r="R96" i="39" s="1"/>
  <c r="Q94" i="39"/>
  <c r="R94" i="39" s="1"/>
  <c r="Q144" i="39"/>
  <c r="R144" i="39" s="1"/>
  <c r="Q90" i="39"/>
  <c r="R90" i="39" s="1"/>
  <c r="Q137" i="39"/>
  <c r="R137" i="39" s="1"/>
  <c r="Q101" i="39"/>
  <c r="R101" i="39" s="1"/>
  <c r="Q82" i="39"/>
  <c r="R82" i="39" s="1"/>
  <c r="Q191" i="39"/>
  <c r="R191" i="39" s="1"/>
  <c r="Q186" i="39"/>
  <c r="R186" i="39" s="1"/>
  <c r="Q97" i="39"/>
  <c r="R97" i="39" s="1"/>
  <c r="Q184" i="39"/>
  <c r="R184" i="39" s="1"/>
  <c r="Q151" i="39"/>
  <c r="R151" i="39" s="1"/>
  <c r="Q149" i="39"/>
  <c r="R149" i="39" s="1"/>
  <c r="Q106" i="39"/>
  <c r="R106" i="39" s="1"/>
  <c r="Q120" i="39"/>
  <c r="R120" i="39" s="1"/>
  <c r="Q278" i="39"/>
  <c r="R278" i="39" s="1"/>
  <c r="Q129" i="39"/>
  <c r="R129" i="39" s="1"/>
  <c r="Q152" i="39"/>
  <c r="R152" i="39" s="1"/>
  <c r="Q91" i="39"/>
  <c r="R91" i="39" s="1"/>
  <c r="Q185" i="39"/>
  <c r="R185" i="39" s="1"/>
  <c r="Q124" i="39"/>
  <c r="R124" i="39" s="1"/>
  <c r="Q136" i="39"/>
  <c r="R136" i="39" s="1"/>
  <c r="J194" i="39"/>
  <c r="K194" i="39" s="1"/>
  <c r="J132" i="39"/>
  <c r="K132" i="39" s="1"/>
  <c r="J143" i="4"/>
  <c r="J114" i="39"/>
  <c r="K114" i="39" s="1"/>
  <c r="J111" i="39"/>
  <c r="K111" i="39" s="1"/>
  <c r="J120" i="39"/>
  <c r="K120" i="39" s="1"/>
  <c r="J112" i="39"/>
  <c r="K112" i="39" s="1"/>
  <c r="J91" i="39"/>
  <c r="K91" i="39" s="1"/>
  <c r="J84" i="39"/>
  <c r="K84" i="39" s="1"/>
  <c r="J102" i="39"/>
  <c r="K102" i="39" s="1"/>
  <c r="J60" i="39"/>
  <c r="K60" i="39" s="1"/>
  <c r="J94" i="39"/>
  <c r="K94" i="39" s="1"/>
  <c r="J49" i="39"/>
  <c r="K49" i="39" s="1"/>
  <c r="J277" i="39"/>
  <c r="K277" i="39" s="1"/>
  <c r="J113" i="39"/>
  <c r="K113" i="39" s="1"/>
  <c r="J27" i="39"/>
  <c r="K27" i="39" s="1"/>
  <c r="J105" i="39"/>
  <c r="K105" i="39" s="1"/>
  <c r="J64" i="39"/>
  <c r="K64" i="39" s="1"/>
  <c r="J75" i="39"/>
  <c r="K75" i="39" s="1"/>
  <c r="J136" i="39"/>
  <c r="K136" i="39" s="1"/>
  <c r="J275" i="39"/>
  <c r="K275" i="39" s="1"/>
  <c r="J99" i="39"/>
  <c r="K99" i="39" s="1"/>
  <c r="J109" i="39"/>
  <c r="K109" i="39" s="1"/>
  <c r="J89" i="39"/>
  <c r="K89" i="39" s="1"/>
  <c r="J184" i="39"/>
  <c r="K184" i="39" s="1"/>
  <c r="J104" i="39"/>
  <c r="K104" i="39" s="1"/>
  <c r="J186" i="39"/>
  <c r="K186" i="39" s="1"/>
  <c r="J18" i="39"/>
  <c r="K18" i="39" s="1"/>
  <c r="J129" i="39"/>
  <c r="K129" i="39" s="1"/>
  <c r="J121" i="39"/>
  <c r="K121" i="39" s="1"/>
  <c r="J134" i="39"/>
  <c r="K134" i="39" s="1"/>
  <c r="J140" i="39"/>
  <c r="K140" i="39" s="1"/>
  <c r="J90" i="39"/>
  <c r="K90" i="39" s="1"/>
  <c r="Q147" i="39"/>
  <c r="R147" i="39" s="1"/>
  <c r="J144" i="39"/>
  <c r="K144" i="39" s="1"/>
  <c r="Q176" i="39"/>
  <c r="R176" i="39" s="1"/>
  <c r="Q139" i="39"/>
  <c r="R139" i="39" s="1"/>
  <c r="J135" i="39"/>
  <c r="K135" i="39" s="1"/>
  <c r="J40" i="39"/>
  <c r="K40" i="39" s="1"/>
  <c r="J46" i="39"/>
  <c r="K46" i="39" s="1"/>
  <c r="J77" i="39"/>
  <c r="K77" i="39" s="1"/>
  <c r="K278" i="39"/>
  <c r="Q131" i="39"/>
  <c r="R131" i="39" s="1"/>
  <c r="J106" i="39"/>
  <c r="K106" i="39" s="1"/>
  <c r="Q99" i="39"/>
  <c r="R99" i="39" s="1"/>
  <c r="J48" i="39"/>
  <c r="K48" i="39" s="1"/>
  <c r="Q116" i="39"/>
  <c r="R116" i="39" s="1"/>
  <c r="J53" i="39"/>
  <c r="K53" i="39" s="1"/>
  <c r="J33" i="39"/>
  <c r="K33" i="39" s="1"/>
  <c r="J50" i="39"/>
  <c r="K50" i="39" s="1"/>
  <c r="J69" i="39"/>
  <c r="K69" i="39" s="1"/>
  <c r="J92" i="39"/>
  <c r="K92" i="39" s="1"/>
  <c r="J123" i="39"/>
  <c r="K123" i="39" s="1"/>
  <c r="J51" i="39"/>
  <c r="K51" i="39" s="1"/>
  <c r="J86" i="39"/>
  <c r="K86" i="39" s="1"/>
  <c r="Q275" i="39"/>
  <c r="R275" i="39" s="1"/>
  <c r="J76" i="39"/>
  <c r="K76" i="39" s="1"/>
  <c r="J29" i="39"/>
  <c r="K29" i="39" s="1"/>
  <c r="Q134" i="39"/>
  <c r="R134" i="39" s="1"/>
  <c r="J128" i="39"/>
  <c r="K128" i="39" s="1"/>
  <c r="J124" i="39"/>
  <c r="K124" i="39" s="1"/>
  <c r="Q108" i="39"/>
  <c r="R108" i="39" s="1"/>
  <c r="Q126" i="39"/>
  <c r="R126" i="39" s="1"/>
  <c r="J43" i="39"/>
  <c r="K43" i="39" s="1"/>
  <c r="J70" i="39"/>
  <c r="K70" i="39" s="1"/>
  <c r="Q119" i="39"/>
  <c r="R119" i="39" s="1"/>
  <c r="Q84" i="39"/>
  <c r="R84" i="39" s="1"/>
  <c r="J19" i="39"/>
  <c r="K19" i="39" s="1"/>
  <c r="J103" i="39"/>
  <c r="K103" i="39" s="1"/>
  <c r="R196" i="39"/>
  <c r="J74" i="39"/>
  <c r="K74" i="39" s="1"/>
  <c r="J97" i="39"/>
  <c r="K97" i="39" s="1"/>
  <c r="J127" i="39"/>
  <c r="K127" i="39" s="1"/>
  <c r="J93" i="39"/>
  <c r="K93" i="39" s="1"/>
  <c r="J139" i="39"/>
  <c r="K139" i="39" s="1"/>
  <c r="J141" i="39"/>
  <c r="K141" i="39" s="1"/>
  <c r="J38" i="39"/>
  <c r="K38" i="39" s="1"/>
  <c r="J116" i="39"/>
  <c r="K116" i="39" s="1"/>
  <c r="J276" i="39"/>
  <c r="K276" i="39" s="1"/>
  <c r="J131" i="39"/>
  <c r="K131" i="39" s="1"/>
  <c r="J95" i="39"/>
  <c r="K95" i="39" s="1"/>
  <c r="J176" i="39"/>
  <c r="K176" i="39" s="1"/>
  <c r="J65" i="39"/>
  <c r="K65" i="39" s="1"/>
  <c r="J137" i="39"/>
  <c r="K137" i="39" s="1"/>
  <c r="J96" i="39"/>
  <c r="K96" i="39" s="1"/>
  <c r="J57" i="39"/>
  <c r="K57" i="39" s="1"/>
  <c r="J44" i="39"/>
  <c r="K44" i="39" s="1"/>
  <c r="J126" i="39"/>
  <c r="K126" i="39" s="1"/>
  <c r="J82" i="39"/>
  <c r="K82" i="39" s="1"/>
  <c r="Q190" i="39"/>
  <c r="R190" i="39" s="1"/>
  <c r="J87" i="39"/>
  <c r="K87" i="39" s="1"/>
  <c r="J30" i="39"/>
  <c r="K30" i="39" s="1"/>
  <c r="J108" i="39"/>
  <c r="K108" i="39" s="1"/>
  <c r="J66" i="39"/>
  <c r="K66" i="39" s="1"/>
  <c r="J81" i="39"/>
  <c r="K81" i="39" s="1"/>
  <c r="J34" i="39"/>
  <c r="K34" i="39" s="1"/>
  <c r="J20" i="39"/>
  <c r="K20" i="39" s="1"/>
  <c r="J21" i="39"/>
  <c r="K21" i="39" s="1"/>
  <c r="J122" i="39"/>
  <c r="K122" i="39" s="1"/>
  <c r="J119" i="39"/>
  <c r="K119" i="39" s="1"/>
  <c r="J36" i="39"/>
  <c r="K36" i="39" s="1"/>
  <c r="J61" i="39"/>
  <c r="K61" i="39" s="1"/>
  <c r="J100" i="39"/>
  <c r="K100" i="39" s="1"/>
  <c r="J71" i="39"/>
  <c r="K71" i="39" s="1"/>
  <c r="J117" i="39"/>
  <c r="K117" i="39" s="1"/>
  <c r="J58" i="39"/>
  <c r="K58" i="39" s="1"/>
  <c r="J101" i="39"/>
  <c r="K101" i="39" s="1"/>
  <c r="J45" i="39"/>
  <c r="K45" i="39" s="1"/>
  <c r="Q86" i="39"/>
  <c r="R86" i="39" s="1"/>
  <c r="J133" i="4"/>
  <c r="J25" i="39" l="1"/>
  <c r="K25" i="39" s="1"/>
  <c r="K26" i="39"/>
  <c r="K143" i="4"/>
  <c r="K133" i="4"/>
  <c r="K177" i="4"/>
  <c r="J274" i="39"/>
  <c r="K274" i="39" s="1"/>
  <c r="K196" i="39"/>
  <c r="Q181" i="39"/>
  <c r="R181" i="39" s="1"/>
  <c r="Q117" i="39"/>
  <c r="R117" i="39" s="1"/>
  <c r="Q111" i="39"/>
  <c r="R111" i="39" s="1"/>
  <c r="Q104" i="39"/>
  <c r="R104" i="39" s="1"/>
  <c r="Q93" i="39"/>
  <c r="R93" i="39" s="1"/>
  <c r="Q123" i="39"/>
  <c r="R123" i="39" s="1"/>
  <c r="Q87" i="39"/>
  <c r="R87" i="39" s="1"/>
  <c r="Q135" i="39"/>
  <c r="R135" i="39" s="1"/>
  <c r="Q150" i="39"/>
  <c r="R150" i="39" s="1"/>
  <c r="Q89" i="39"/>
  <c r="R89" i="39" s="1"/>
  <c r="J130" i="39"/>
  <c r="K130" i="39" s="1"/>
  <c r="Q132" i="39"/>
  <c r="Q141" i="39"/>
  <c r="R141" i="39" s="1"/>
  <c r="Q105" i="39"/>
  <c r="R105" i="39" s="1"/>
  <c r="Q192" i="39"/>
  <c r="R192" i="39" s="1"/>
  <c r="Q277" i="39"/>
  <c r="R277" i="39" s="1"/>
  <c r="Q110" i="39"/>
  <c r="R110" i="39" s="1"/>
  <c r="Q102" i="39"/>
  <c r="R102" i="39" s="1"/>
  <c r="Q114" i="39"/>
  <c r="R114" i="39" s="1"/>
  <c r="Q92" i="39"/>
  <c r="R92" i="39" s="1"/>
  <c r="Q193" i="39"/>
  <c r="R193" i="39" s="1"/>
  <c r="Q100" i="39"/>
  <c r="R100" i="39" s="1"/>
  <c r="Q122" i="39"/>
  <c r="R122" i="39" s="1"/>
  <c r="Q121" i="39"/>
  <c r="R121" i="39" s="1"/>
  <c r="Q127" i="39"/>
  <c r="R127" i="39" s="1"/>
  <c r="Q140" i="39"/>
  <c r="R140" i="39" s="1"/>
  <c r="Q203" i="39"/>
  <c r="Q148" i="39"/>
  <c r="R148" i="39" s="1"/>
  <c r="Q112" i="39"/>
  <c r="R112" i="39" s="1"/>
  <c r="Q276" i="39"/>
  <c r="R276" i="39" s="1"/>
  <c r="Q128" i="39"/>
  <c r="R128" i="39" s="1"/>
  <c r="Q194" i="39"/>
  <c r="R194" i="39" s="1"/>
  <c r="J59" i="39"/>
  <c r="K59" i="39" s="1"/>
  <c r="J28" i="39"/>
  <c r="K28" i="39" s="1"/>
  <c r="J35" i="39"/>
  <c r="K35" i="39" s="1"/>
  <c r="J52" i="39"/>
  <c r="K52" i="39" s="1"/>
  <c r="J149" i="39"/>
  <c r="K149" i="39" s="1"/>
  <c r="J39" i="39"/>
  <c r="K39" i="39" s="1"/>
  <c r="J47" i="39"/>
  <c r="K47" i="39" s="1"/>
  <c r="J88" i="39"/>
  <c r="K88" i="39" s="1"/>
  <c r="J80" i="39"/>
  <c r="K80" i="39" s="1"/>
  <c r="Q103" i="39"/>
  <c r="R103" i="39" s="1"/>
  <c r="J22" i="39"/>
  <c r="K22" i="39" s="1"/>
  <c r="J83" i="39"/>
  <c r="K83" i="39" s="1"/>
  <c r="J142" i="4"/>
  <c r="J203" i="39"/>
  <c r="K203" i="39" s="1"/>
  <c r="J125" i="39"/>
  <c r="K125" i="39" s="1"/>
  <c r="J175" i="39"/>
  <c r="K175" i="39" s="1"/>
  <c r="Q195" i="39"/>
  <c r="R195" i="39" s="1"/>
  <c r="Q83" i="39"/>
  <c r="R83" i="39" s="1"/>
  <c r="J143" i="39"/>
  <c r="K143" i="39" s="1"/>
  <c r="J68" i="39"/>
  <c r="K68" i="39" s="1"/>
  <c r="J98" i="39"/>
  <c r="K98" i="39" s="1"/>
  <c r="J202" i="39"/>
  <c r="K202" i="39" s="1"/>
  <c r="J138" i="39"/>
  <c r="K138" i="39" s="1"/>
  <c r="J73" i="39"/>
  <c r="K73" i="39" s="1"/>
  <c r="J133" i="39"/>
  <c r="K133" i="39" s="1"/>
  <c r="J118" i="39"/>
  <c r="K118" i="39" s="1"/>
  <c r="J107" i="39"/>
  <c r="K107" i="39" s="1"/>
  <c r="J56" i="39"/>
  <c r="K56" i="39" s="1"/>
  <c r="J63" i="39"/>
  <c r="K63" i="39" s="1"/>
  <c r="J115" i="39"/>
  <c r="K115" i="39" s="1"/>
  <c r="Q143" i="39"/>
  <c r="R143" i="39" s="1"/>
  <c r="J154" i="4"/>
  <c r="J130" i="4"/>
  <c r="K142" i="4" l="1"/>
  <c r="K154" i="4"/>
  <c r="K130" i="4"/>
  <c r="J12" i="39"/>
  <c r="K12" i="39" s="1"/>
  <c r="Q130" i="39"/>
  <c r="R130" i="39" s="1"/>
  <c r="R132" i="39"/>
  <c r="Q199" i="39"/>
  <c r="R199" i="39" s="1"/>
  <c r="R203" i="39"/>
  <c r="Q115" i="39"/>
  <c r="R115" i="39" s="1"/>
  <c r="Q175" i="39"/>
  <c r="R175" i="39" s="1"/>
  <c r="J195" i="39"/>
  <c r="K195" i="39" s="1"/>
  <c r="Q133" i="39"/>
  <c r="R133" i="39" s="1"/>
  <c r="Q274" i="39"/>
  <c r="R274" i="39" s="1"/>
  <c r="Q189" i="39"/>
  <c r="R189" i="39" s="1"/>
  <c r="Q85" i="39"/>
  <c r="R85" i="39" s="1"/>
  <c r="Q146" i="39"/>
  <c r="R146" i="39" s="1"/>
  <c r="Q138" i="39"/>
  <c r="R138" i="39" s="1"/>
  <c r="Q125" i="39"/>
  <c r="R125" i="39" s="1"/>
  <c r="Q107" i="39"/>
  <c r="R107" i="39" s="1"/>
  <c r="Q118" i="39"/>
  <c r="R118" i="39" s="1"/>
  <c r="J42" i="39"/>
  <c r="K42" i="39" s="1"/>
  <c r="J199" i="39"/>
  <c r="K199" i="39" s="1"/>
  <c r="Q98" i="39"/>
  <c r="R98" i="39" s="1"/>
  <c r="J32" i="39"/>
  <c r="K32" i="39" s="1"/>
  <c r="J146" i="39"/>
  <c r="K146" i="39" s="1"/>
  <c r="J85" i="39"/>
  <c r="K85" i="39" s="1"/>
  <c r="J189" i="39"/>
  <c r="K189" i="39" s="1"/>
  <c r="J79" i="39"/>
  <c r="K79" i="39" s="1"/>
  <c r="J37" i="39"/>
  <c r="K37" i="39" s="1"/>
  <c r="J142" i="39"/>
  <c r="K142" i="39" s="1"/>
  <c r="J72" i="39"/>
  <c r="K72" i="39" s="1"/>
  <c r="Q142" i="39"/>
  <c r="R142" i="39" s="1"/>
  <c r="J147" i="4"/>
  <c r="J125" i="4"/>
  <c r="K125" i="4" l="1"/>
  <c r="K147" i="4"/>
  <c r="J146" i="4"/>
  <c r="Q81" i="39"/>
  <c r="R81" i="39" s="1"/>
  <c r="Q145" i="39"/>
  <c r="R145" i="39" s="1"/>
  <c r="J145" i="39"/>
  <c r="K145" i="39" s="1"/>
  <c r="J41" i="39"/>
  <c r="K41" i="39" s="1"/>
  <c r="J11" i="39"/>
  <c r="K11" i="39" s="1"/>
  <c r="J78" i="39"/>
  <c r="K78" i="39" s="1"/>
  <c r="K146" i="4" l="1"/>
  <c r="Q79" i="39"/>
  <c r="R79" i="39" s="1"/>
  <c r="J10" i="39"/>
  <c r="J138" i="4"/>
  <c r="K10" i="39" l="1"/>
  <c r="K138" i="4"/>
  <c r="Q78" i="39"/>
  <c r="R78" i="39" s="1"/>
  <c r="J98" i="4" l="1"/>
  <c r="K98" i="4" l="1"/>
  <c r="R76" i="39"/>
  <c r="R75" i="39" l="1"/>
  <c r="J79" i="4"/>
  <c r="K79" i="4" l="1"/>
  <c r="Q74" i="39"/>
  <c r="R74" i="39" l="1"/>
  <c r="Q73" i="39"/>
  <c r="J73" i="4"/>
  <c r="K73" i="4" l="1"/>
  <c r="R73" i="39"/>
  <c r="Q72" i="39"/>
  <c r="R72" i="39" s="1"/>
  <c r="J72" i="4"/>
  <c r="K72" i="4" l="1"/>
  <c r="Q71" i="39"/>
  <c r="R71" i="39" s="1"/>
  <c r="J68" i="4"/>
  <c r="K68" i="4" l="1"/>
  <c r="Q70" i="39"/>
  <c r="R70" i="39" s="1"/>
  <c r="Q69" i="39" l="1"/>
  <c r="R69" i="39" l="1"/>
  <c r="Q68" i="39"/>
  <c r="R68" i="39" s="1"/>
  <c r="Q66" i="39" l="1"/>
  <c r="R66" i="39" s="1"/>
  <c r="Q65" i="39" l="1"/>
  <c r="R65" i="39" s="1"/>
  <c r="Q64" i="39" l="1"/>
  <c r="J37" i="4"/>
  <c r="K37" i="4" l="1"/>
  <c r="R64" i="39"/>
  <c r="Q63" i="39"/>
  <c r="R63" i="39" s="1"/>
  <c r="J32" i="4"/>
  <c r="K32" i="4" l="1"/>
  <c r="Q61" i="39"/>
  <c r="R61" i="39" s="1"/>
  <c r="J11" i="4"/>
  <c r="K11" i="4" l="1"/>
  <c r="Q60" i="39"/>
  <c r="J10" i="4"/>
  <c r="R60" i="39" l="1"/>
  <c r="Q59" i="39"/>
  <c r="R59" i="39" s="1"/>
  <c r="K10" i="4"/>
  <c r="J9" i="4"/>
  <c r="Q58" i="39" l="1"/>
  <c r="R58" i="39" s="1"/>
  <c r="K9" i="4"/>
  <c r="J286" i="39"/>
  <c r="S286" i="39" l="1"/>
  <c r="Q57" i="39"/>
  <c r="K286" i="39"/>
  <c r="AA32" i="37"/>
  <c r="AA11" i="37" s="1"/>
  <c r="L32" i="37"/>
  <c r="AB32" i="37"/>
  <c r="AB11" i="37" s="1"/>
  <c r="Z32" i="37"/>
  <c r="Z11" i="37" s="1"/>
  <c r="AH32" i="37"/>
  <c r="AH11" i="37" s="1"/>
  <c r="V32" i="37"/>
  <c r="V11" i="37" s="1"/>
  <c r="L23" i="37" s="1"/>
  <c r="T32" i="37"/>
  <c r="T11" i="37" s="1"/>
  <c r="AE32" i="37"/>
  <c r="AE11" i="37" s="1"/>
  <c r="H288" i="39"/>
  <c r="H291" i="39" s="1"/>
  <c r="AF32" i="37"/>
  <c r="AF11" i="37" s="1"/>
  <c r="AG32" i="37"/>
  <c r="AG11" i="37" s="1"/>
  <c r="JW60" i="115"/>
  <c r="AD32" i="37"/>
  <c r="AD11" i="37" s="1"/>
  <c r="X11" i="37"/>
  <c r="P32" i="37"/>
  <c r="S32" i="37"/>
  <c r="AC32" i="37"/>
  <c r="AC11" i="37" s="1"/>
  <c r="S11" i="37" l="1"/>
  <c r="J51" i="37" s="1"/>
  <c r="J32" i="37"/>
  <c r="P11" i="37"/>
  <c r="P288" i="39" s="1"/>
  <c r="P291" i="39" s="1"/>
  <c r="P293" i="39" s="1"/>
  <c r="R57" i="39"/>
  <c r="Q56" i="39"/>
  <c r="R56" i="39" s="1"/>
  <c r="H293" i="39"/>
  <c r="M32" i="37"/>
  <c r="Q26" i="37"/>
  <c r="N32" i="37"/>
  <c r="O32" i="37" s="1"/>
  <c r="I288" i="39"/>
  <c r="I291" i="39" s="1"/>
  <c r="L196" i="39"/>
  <c r="Q32" i="37"/>
  <c r="R32" i="37" s="1"/>
  <c r="K32" i="37" l="1"/>
  <c r="P292" i="39"/>
  <c r="R26" i="37"/>
  <c r="M23" i="37"/>
  <c r="H292" i="39"/>
  <c r="Q55" i="39"/>
  <c r="R55" i="39" s="1"/>
  <c r="Q198" i="39"/>
  <c r="R198" i="39" s="1"/>
  <c r="Q25" i="37"/>
  <c r="L11" i="37"/>
  <c r="N23" i="37"/>
  <c r="O23" i="37" s="1"/>
  <c r="J34" i="37"/>
  <c r="J23" i="37"/>
  <c r="J33" i="37"/>
  <c r="K33" i="37" s="1"/>
  <c r="J27" i="37"/>
  <c r="J29" i="37"/>
  <c r="J50" i="37"/>
  <c r="J28" i="37"/>
  <c r="J30" i="37"/>
  <c r="J25" i="37"/>
  <c r="R210" i="39"/>
  <c r="J11" i="37" l="1"/>
  <c r="K51" i="37"/>
  <c r="K50" i="37"/>
  <c r="K27" i="37"/>
  <c r="K25" i="37"/>
  <c r="K28" i="37"/>
  <c r="K29" i="37"/>
  <c r="K30" i="37"/>
  <c r="K23" i="37"/>
  <c r="R25" i="37"/>
  <c r="L288" i="39"/>
  <c r="M196" i="39"/>
  <c r="L195" i="39"/>
  <c r="L9" i="39" s="1"/>
  <c r="M9" i="39" s="1"/>
  <c r="JX60" i="115"/>
  <c r="Q53" i="39"/>
  <c r="R53" i="39" s="1"/>
  <c r="Q197" i="39"/>
  <c r="R197" i="39" s="1"/>
  <c r="M11" i="37"/>
  <c r="Q11" i="37"/>
  <c r="N11" i="37"/>
  <c r="J230" i="39"/>
  <c r="K34" i="37"/>
  <c r="J36" i="37"/>
  <c r="K36" i="37" s="1"/>
  <c r="J255" i="39"/>
  <c r="J256" i="39"/>
  <c r="K256" i="39" s="1"/>
  <c r="J204" i="39"/>
  <c r="J206" i="39"/>
  <c r="K206" i="39" s="1"/>
  <c r="K204" i="39" l="1"/>
  <c r="J235" i="39"/>
  <c r="Q288" i="39"/>
  <c r="R288" i="39" s="1"/>
  <c r="K255" i="39"/>
  <c r="M288" i="39"/>
  <c r="L291" i="39"/>
  <c r="M291" i="39" s="1"/>
  <c r="M195" i="39"/>
  <c r="K230" i="39"/>
  <c r="Q52" i="39"/>
  <c r="R52" i="39" s="1"/>
  <c r="R11" i="37"/>
  <c r="N288" i="39"/>
  <c r="O11" i="37"/>
  <c r="K11" i="37"/>
  <c r="JY60" i="115"/>
  <c r="J288" i="39"/>
  <c r="J205" i="39"/>
  <c r="K205" i="39" s="1"/>
  <c r="S288" i="39" l="1"/>
  <c r="J291" i="39"/>
  <c r="K291" i="39" s="1"/>
  <c r="K242" i="39"/>
  <c r="O288" i="39"/>
  <c r="N291" i="39"/>
  <c r="K288" i="39"/>
  <c r="K235" i="39" l="1"/>
  <c r="Q50" i="39"/>
  <c r="R50" i="39" s="1"/>
  <c r="O291" i="39"/>
  <c r="I210" i="39"/>
  <c r="I292" i="39" l="1"/>
  <c r="Q49" i="39"/>
  <c r="R49" i="39" s="1"/>
  <c r="O210" i="39"/>
  <c r="M210" i="39"/>
  <c r="I293" i="39" l="1"/>
  <c r="Q48" i="39"/>
  <c r="R48" i="39" s="1"/>
  <c r="Q47" i="39" l="1"/>
  <c r="R47" i="39" s="1"/>
  <c r="L292" i="39"/>
  <c r="L293" i="39"/>
  <c r="N293" i="39"/>
  <c r="N292" i="39"/>
  <c r="R46" i="39" l="1"/>
  <c r="O292" i="39"/>
  <c r="O293" i="39"/>
  <c r="M293" i="39"/>
  <c r="M292" i="39"/>
  <c r="R45" i="39" l="1"/>
  <c r="R44" i="39" l="1"/>
  <c r="R43" i="39" l="1"/>
  <c r="R42" i="39" l="1"/>
  <c r="Q41" i="39"/>
  <c r="R41" i="39" s="1"/>
  <c r="Q40" i="39" l="1"/>
  <c r="R40" i="39" s="1"/>
  <c r="Q39" i="39" l="1"/>
  <c r="R39" i="39" s="1"/>
  <c r="Q38" i="39" l="1"/>
  <c r="R38" i="39" l="1"/>
  <c r="Q37" i="39"/>
  <c r="R37" i="39" s="1"/>
  <c r="Q36" i="39" l="1"/>
  <c r="R36" i="39" s="1"/>
  <c r="Q35" i="39" l="1"/>
  <c r="R35" i="39" s="1"/>
  <c r="Q34" i="39" l="1"/>
  <c r="R34" i="39" s="1"/>
  <c r="Q33" i="39" l="1"/>
  <c r="R33" i="39" l="1"/>
  <c r="Q32" i="39"/>
  <c r="R32" i="39" s="1"/>
  <c r="Q31" i="39"/>
  <c r="R31" i="39" l="1"/>
  <c r="Q30" i="39"/>
  <c r="R30" i="39" s="1"/>
  <c r="Q29" i="39" l="1"/>
  <c r="R29" i="39" l="1"/>
  <c r="Q28" i="39"/>
  <c r="R28" i="39" l="1"/>
  <c r="Q27" i="39"/>
  <c r="R27" i="39" s="1"/>
  <c r="Q26" i="39" l="1"/>
  <c r="R26" i="39" l="1"/>
  <c r="Q25" i="39"/>
  <c r="R25" i="39" s="1"/>
  <c r="Q24" i="39" l="1"/>
  <c r="R24" i="39" s="1"/>
  <c r="Q22" i="39" l="1"/>
  <c r="R22" i="39" s="1"/>
  <c r="Q21" i="39" l="1"/>
  <c r="R21" i="39" s="1"/>
  <c r="Q20" i="39" l="1"/>
  <c r="R20" i="39" s="1"/>
  <c r="Q19" i="39" l="1"/>
  <c r="R19" i="39" s="1"/>
  <c r="Q18" i="39" l="1"/>
  <c r="R18" i="39" s="1"/>
  <c r="Q17" i="39" l="1"/>
  <c r="R17" i="39" s="1"/>
  <c r="Q16" i="39" l="1"/>
  <c r="R16" i="39" s="1"/>
  <c r="Q15" i="39" l="1"/>
  <c r="R15" i="39" s="1"/>
  <c r="Q14" i="39" l="1"/>
  <c r="R14" i="39" s="1"/>
  <c r="Q13" i="39" l="1"/>
  <c r="Q12" i="39" s="1"/>
  <c r="Q11" i="39" s="1"/>
  <c r="R13" i="39" l="1"/>
  <c r="R12" i="39"/>
  <c r="R11" i="39" l="1"/>
  <c r="Q10" i="39"/>
  <c r="R9" i="4"/>
  <c r="Q286" i="39" l="1"/>
  <c r="R10" i="39"/>
  <c r="Q9" i="39"/>
  <c r="R9" i="39" l="1"/>
  <c r="R286" i="39"/>
  <c r="Q291" i="39"/>
  <c r="R291" i="39" s="1"/>
  <c r="R293" i="39" l="1"/>
  <c r="Q293" i="39"/>
  <c r="Q292" i="39"/>
  <c r="R292" i="39"/>
  <c r="K53" i="54"/>
  <c r="K229" i="39"/>
  <c r="J211" i="39"/>
  <c r="K211" i="39" s="1"/>
  <c r="J35" i="54"/>
  <c r="J34" i="54" s="1"/>
  <c r="K34" i="54" s="1"/>
  <c r="K35" i="54" l="1"/>
  <c r="J210" i="39"/>
  <c r="J9" i="39" l="1"/>
  <c r="K9" i="39" s="1"/>
  <c r="K210" i="39"/>
  <c r="J293" i="39" l="1"/>
  <c r="J292" i="39"/>
  <c r="K293" i="39" l="1"/>
  <c r="K292" i="39"/>
</calcChain>
</file>

<file path=xl/comments1.xml><?xml version="1.0" encoding="utf-8"?>
<comments xmlns="http://schemas.openxmlformats.org/spreadsheetml/2006/main">
  <authors>
    <author>Stefanni Cifuentes Rivas</author>
  </authors>
  <commentList>
    <comment ref="P234" authorId="0" shapeId="0">
      <text>
        <r>
          <rPr>
            <b/>
            <sz val="9"/>
            <color indexed="81"/>
            <rFont val="Tahoma"/>
            <family val="2"/>
          </rPr>
          <t>2021 Y 2022, CAMBIA NOMBRE DE IMPUTACION. P03 Y P05-06</t>
        </r>
      </text>
    </comment>
  </commentList>
</comments>
</file>

<file path=xl/comments2.xml><?xml version="1.0" encoding="utf-8"?>
<comments xmlns="http://schemas.openxmlformats.org/spreadsheetml/2006/main">
  <authors>
    <author>Stefanni Cifuentes Rivas</author>
  </authors>
  <commentList>
    <comment ref="G30" authorId="0" shapeId="0">
      <text>
        <r>
          <rPr>
            <sz val="9"/>
            <color indexed="81"/>
            <rFont val="Tahoma"/>
            <family val="2"/>
          </rPr>
          <t xml:space="preserve">en sigfe asigancion 32,04,002 indica MUNICIPALIDADES-. 
ASIGANCION 3204 DE FOMENTO
</t>
        </r>
      </text>
    </comment>
  </commentList>
</comments>
</file>

<file path=xl/sharedStrings.xml><?xml version="1.0" encoding="utf-8"?>
<sst xmlns="http://schemas.openxmlformats.org/spreadsheetml/2006/main" count="16961" uniqueCount="1037">
  <si>
    <t>ENERO</t>
  </si>
  <si>
    <t xml:space="preserve">24   </t>
  </si>
  <si>
    <t xml:space="preserve">  </t>
  </si>
  <si>
    <t xml:space="preserve"> A Otras Entidades Públicas </t>
  </si>
  <si>
    <t xml:space="preserve">33   </t>
  </si>
  <si>
    <t xml:space="preserve"> Al Gobierno Central </t>
  </si>
  <si>
    <t>MARZO</t>
  </si>
  <si>
    <t>ABRIL</t>
  </si>
  <si>
    <t>MAYO</t>
  </si>
  <si>
    <t>JUNIO</t>
  </si>
  <si>
    <t>AGOSTO</t>
  </si>
  <si>
    <t>SEPTIEMBRE</t>
  </si>
  <si>
    <t>OCTUBRE</t>
  </si>
  <si>
    <t>NOVIEMBRE</t>
  </si>
  <si>
    <t>DICIEMBRE</t>
  </si>
  <si>
    <t>BIENES Y SERVICIOS DE CONSUMO</t>
  </si>
  <si>
    <t>GASTOS EN PERSONAL</t>
  </si>
  <si>
    <t>Personal de Planta</t>
  </si>
  <si>
    <t>Sueldos y Sobresueldos</t>
  </si>
  <si>
    <t>Asignación de Antigüedad</t>
  </si>
  <si>
    <t>Asignación Profesional</t>
  </si>
  <si>
    <t>Asignación de Zona</t>
  </si>
  <si>
    <t>Gastos de Representación</t>
  </si>
  <si>
    <t>Asignación de Dirección Superior</t>
  </si>
  <si>
    <t>Asignaciones Compensatorias</t>
  </si>
  <si>
    <t>Asignaciones Sustitutivas</t>
  </si>
  <si>
    <t>Componente Base Asignación de Desempeño</t>
  </si>
  <si>
    <t>Asignación de Responsabilidad Superior</t>
  </si>
  <si>
    <t>Aportes del Empleador</t>
  </si>
  <si>
    <t>A Servicios de Bienestar</t>
  </si>
  <si>
    <t>Otras Cotizaciones Previsionales</t>
  </si>
  <si>
    <t>Asignaciones por Desempeño</t>
  </si>
  <si>
    <t>Desempeño Institucional</t>
  </si>
  <si>
    <t>Desempeño Colectivo</t>
  </si>
  <si>
    <t>Remuneraciones Variables</t>
  </si>
  <si>
    <t>Asignación por Desempeño de Funciones Críticas</t>
  </si>
  <si>
    <t>Trabajos Extraordinarios</t>
  </si>
  <si>
    <t>Comisiones de Servicios en el País</t>
  </si>
  <si>
    <t>Comisiones de Servicios en el Exterior</t>
  </si>
  <si>
    <t>Personal a Contrata</t>
  </si>
  <si>
    <t>Asignación Zonas Extremas</t>
  </si>
  <si>
    <t>Honorarios a Suma Alzada - Personas Naturales</t>
  </si>
  <si>
    <t>Honorarios a Suma Alzada-Honorarios</t>
  </si>
  <si>
    <t>Honorarios a Suma Alzada-Viaticos</t>
  </si>
  <si>
    <t>Textiles, Vestuario y Calzado</t>
  </si>
  <si>
    <t>Vestuario, Accesorios y Prendas Diversas</t>
  </si>
  <si>
    <t>Combustibles y Lubricantes</t>
  </si>
  <si>
    <t>Materiales de Uso o Consumo</t>
  </si>
  <si>
    <t>Insumos, Repuestos y Accesorios Computacionales</t>
  </si>
  <si>
    <t>Materiales para Mantenimiento y Reparaciones de Inmuebles</t>
  </si>
  <si>
    <t>Repuestos y Accesorios para Mantenimiento y Reparaciones de Vehículos</t>
  </si>
  <si>
    <t>Otros</t>
  </si>
  <si>
    <t>Servicios Básicos</t>
  </si>
  <si>
    <t>Electricidad</t>
  </si>
  <si>
    <t>Agua</t>
  </si>
  <si>
    <t>Gas</t>
  </si>
  <si>
    <t>Correo</t>
  </si>
  <si>
    <t>Telefonía Fija</t>
  </si>
  <si>
    <t>Telefonía Celular</t>
  </si>
  <si>
    <t>Acceso a Internet</t>
  </si>
  <si>
    <t>Enlaces de Telecomunicaciones</t>
  </si>
  <si>
    <t>Mantenimiento y Reparación de Vehículos</t>
  </si>
  <si>
    <t>Mantenimiento y Reparación de Máquinas y Equipos de Oficina</t>
  </si>
  <si>
    <t>Mantenimiento y Reparación de Equipos Informáticos</t>
  </si>
  <si>
    <t>Publicidad y Difusión</t>
  </si>
  <si>
    <t>Servicios de Publicidad</t>
  </si>
  <si>
    <t>Servicios de Impresión</t>
  </si>
  <si>
    <t>Servicios Generales</t>
  </si>
  <si>
    <t>Servicios de Aseo</t>
  </si>
  <si>
    <t>Servicios de Vigilancia</t>
  </si>
  <si>
    <t>Servicios de Suscripción y Similares</t>
  </si>
  <si>
    <t>Arriendo de Edificios</t>
  </si>
  <si>
    <t>Gastos Bancarios</t>
  </si>
  <si>
    <t>Servicios Técnicos y Profesionales</t>
  </si>
  <si>
    <t>Estudios e Investigaciones</t>
  </si>
  <si>
    <t>Cursos de Capacitación</t>
  </si>
  <si>
    <t>Otros Gastos en Bienes y Servicios de Consumo</t>
  </si>
  <si>
    <t>Gastos Menores</t>
  </si>
  <si>
    <t>Gastos de Representación, Protocolo y Ceremonial</t>
  </si>
  <si>
    <t>JULIO</t>
  </si>
  <si>
    <t>Programas Informáticos</t>
  </si>
  <si>
    <t>Equipos Informáticos</t>
  </si>
  <si>
    <t>CONSOLIDADO PROGRAMA 01</t>
  </si>
  <si>
    <t>SERVICIO DE LA DEUDA</t>
  </si>
  <si>
    <t>Amortizacion de la Deuda Externa</t>
  </si>
  <si>
    <t>Intereses Deuda Externa</t>
  </si>
  <si>
    <t>Al Gobierno Central</t>
  </si>
  <si>
    <t>A Otras Entidades Publicas</t>
  </si>
  <si>
    <t>Programa Inversión Regional Región Metropolitana</t>
  </si>
  <si>
    <t xml:space="preserve">02            </t>
  </si>
  <si>
    <t xml:space="preserve">04            </t>
  </si>
  <si>
    <t>Sub.</t>
  </si>
  <si>
    <t>Item.</t>
  </si>
  <si>
    <t>Asig.</t>
  </si>
  <si>
    <t>Sub</t>
  </si>
  <si>
    <t>Aguinaldos</t>
  </si>
  <si>
    <t>Bono de Escolaridad</t>
  </si>
  <si>
    <t xml:space="preserve">Bonos Especiales </t>
  </si>
  <si>
    <t>sueldos base</t>
  </si>
  <si>
    <t>Asignaciónes del DL N° 2.411, de 1978</t>
  </si>
  <si>
    <t>Asignaciónes del DL N° 3.551, de 1981</t>
  </si>
  <si>
    <t xml:space="preserve">Asignación de Responsabilidad Superior </t>
  </si>
  <si>
    <t xml:space="preserve">Otras Remuneraciones </t>
  </si>
  <si>
    <t xml:space="preserve">Para Vehículos </t>
  </si>
  <si>
    <t xml:space="preserve">Materiales de Oficina </t>
  </si>
  <si>
    <t xml:space="preserve">Materiales y útiles de Aseo </t>
  </si>
  <si>
    <t xml:space="preserve">Menaje para Oficina, Casino y Otros </t>
  </si>
  <si>
    <t xml:space="preserve">Otros Materiales, Repuestos y Útiles Diversos para Mantenimiento </t>
  </si>
  <si>
    <t xml:space="preserve">Equipos Menores </t>
  </si>
  <si>
    <t xml:space="preserve">Otros </t>
  </si>
  <si>
    <t>Mantenimiento y Reparaciones.</t>
  </si>
  <si>
    <t>Mantenimiento y Reparación de Edificaciones.</t>
  </si>
  <si>
    <t>Mantenimiento y Reparación de Mobiliarios y Otros.</t>
  </si>
  <si>
    <t>Pasajes, Fletes y Bodegaje.</t>
  </si>
  <si>
    <t>Salas Cunas y/o Jardines Infantiles.</t>
  </si>
  <si>
    <t>Arriendo</t>
  </si>
  <si>
    <t xml:space="preserve">Arriendo de Máquinas  y Equipos </t>
  </si>
  <si>
    <t>Arriendo de Equipos Informaticos</t>
  </si>
  <si>
    <t xml:space="preserve">Servicios Financieros y de Seguros </t>
  </si>
  <si>
    <t xml:space="preserve">Primas y Gastos de Seguros </t>
  </si>
  <si>
    <t>Sercicios Informáticos</t>
  </si>
  <si>
    <t>Provisión Fondo nacional de Desarrollo Regional</t>
  </si>
  <si>
    <t>Provisión Incorporación Mayores Ingresos Propios</t>
  </si>
  <si>
    <t>Provisión Energización</t>
  </si>
  <si>
    <t>Sueldo Bases</t>
  </si>
  <si>
    <t>SALDO FINAL DE CAJA</t>
  </si>
  <si>
    <t>Calzado</t>
  </si>
  <si>
    <t>SI</t>
  </si>
  <si>
    <t>Deuda Flotante</t>
  </si>
  <si>
    <t>Asig. Del DL N° 3,551, de 1981</t>
  </si>
  <si>
    <t>[ 1 ]</t>
  </si>
  <si>
    <t>[ 2 ]</t>
  </si>
  <si>
    <t>[ 3 ]</t>
  </si>
  <si>
    <t>[ 3/2 ]</t>
  </si>
  <si>
    <t>[ 2/1 ]</t>
  </si>
  <si>
    <t>A Organismos Internacionales</t>
  </si>
  <si>
    <t>CONSOLIDADO POR SUBTITULO PROGRAMA 02</t>
  </si>
  <si>
    <t>FEBRERO</t>
  </si>
  <si>
    <t>CONSOLIDADO PROGRAMA 02</t>
  </si>
  <si>
    <t>Programa Academia Capacitación Muncipal y Regional</t>
  </si>
  <si>
    <t xml:space="preserve">Deuda Flotante </t>
  </si>
  <si>
    <t>TOTAL</t>
  </si>
  <si>
    <t>Municipalidades</t>
  </si>
  <si>
    <t>CONSOLIDADO POR SUBTITULO PROGRAMA 03</t>
  </si>
  <si>
    <t>CONSOLIDADO PROGRAMA 03</t>
  </si>
  <si>
    <t>PRESTAMOS</t>
  </si>
  <si>
    <t>De Fomento</t>
  </si>
  <si>
    <t>CONSOLIDADO PROGRAMAS</t>
  </si>
  <si>
    <t xml:space="preserve">TRANSFERENCIAS CORRIENTES </t>
  </si>
  <si>
    <t xml:space="preserve">PRESTAMOS </t>
  </si>
  <si>
    <t xml:space="preserve">TRANSFERENCIAS DE CAPITAL </t>
  </si>
  <si>
    <t>CONSOLIDADO POR PROGRAMA</t>
  </si>
  <si>
    <t>FRC</t>
  </si>
  <si>
    <t xml:space="preserve">Presupuesto inicial </t>
  </si>
  <si>
    <t>Emergencia</t>
  </si>
  <si>
    <t>21.</t>
  </si>
  <si>
    <t>001.</t>
  </si>
  <si>
    <t>01.</t>
  </si>
  <si>
    <t>002.</t>
  </si>
  <si>
    <t>003.</t>
  </si>
  <si>
    <t>004.</t>
  </si>
  <si>
    <t>005.</t>
  </si>
  <si>
    <t>02.</t>
  </si>
  <si>
    <t>03.</t>
  </si>
  <si>
    <t>.02</t>
  </si>
  <si>
    <t>.002</t>
  </si>
  <si>
    <t>.003</t>
  </si>
  <si>
    <t>.03</t>
  </si>
  <si>
    <t>.04</t>
  </si>
  <si>
    <t>.001</t>
  </si>
  <si>
    <t>.007</t>
  </si>
  <si>
    <t>.008</t>
  </si>
  <si>
    <t>.009</t>
  </si>
  <si>
    <t>.010</t>
  </si>
  <si>
    <t>.011</t>
  </si>
  <si>
    <t>.012</t>
  </si>
  <si>
    <t>.013</t>
  </si>
  <si>
    <t>.999</t>
  </si>
  <si>
    <t>.05</t>
  </si>
  <si>
    <t>.004</t>
  </si>
  <si>
    <t>.005</t>
  </si>
  <si>
    <t>.006</t>
  </si>
  <si>
    <t>.06</t>
  </si>
  <si>
    <t>.07</t>
  </si>
  <si>
    <t>.08</t>
  </si>
  <si>
    <t>.09</t>
  </si>
  <si>
    <t>.10</t>
  </si>
  <si>
    <t>.11</t>
  </si>
  <si>
    <t>.12</t>
  </si>
  <si>
    <t>.110</t>
  </si>
  <si>
    <t>.111</t>
  </si>
  <si>
    <t>.014</t>
  </si>
  <si>
    <t>.015</t>
  </si>
  <si>
    <t>.017</t>
  </si>
  <si>
    <t>.021</t>
  </si>
  <si>
    <t>.024</t>
  </si>
  <si>
    <t>.025</t>
  </si>
  <si>
    <t>.130</t>
  </si>
  <si>
    <t>.190</t>
  </si>
  <si>
    <t>.418</t>
  </si>
  <si>
    <t>.421</t>
  </si>
  <si>
    <t>.426</t>
  </si>
  <si>
    <t>.429</t>
  </si>
  <si>
    <t>34.02</t>
  </si>
  <si>
    <t>34.04</t>
  </si>
  <si>
    <t>34.07</t>
  </si>
  <si>
    <t>21.01.004.007</t>
  </si>
  <si>
    <t>Productos Químicos</t>
  </si>
  <si>
    <t>Servicios Informáticos</t>
  </si>
  <si>
    <t>22.12.003</t>
  </si>
  <si>
    <t>TRANSFERENCIAS CORRIENTES</t>
  </si>
  <si>
    <t>A Otras Entidades Públicas</t>
  </si>
  <si>
    <t>29.06</t>
  </si>
  <si>
    <t>29.06.001</t>
  </si>
  <si>
    <t>Equipos Computacionales y Periféricos</t>
  </si>
  <si>
    <t>29.07</t>
  </si>
  <si>
    <t>Programas Computacionales</t>
  </si>
  <si>
    <t>24.03.026</t>
  </si>
  <si>
    <t>Buscador</t>
  </si>
  <si>
    <t>24.03.403</t>
  </si>
  <si>
    <t>Municipalidades (Compensación por Predios Exentos)</t>
  </si>
  <si>
    <t>Tradicional</t>
  </si>
  <si>
    <t>33.03.110</t>
  </si>
  <si>
    <t>Municipalidades (Fondo de Incentivo al Mejoramiento de la Gestión Municipal)</t>
  </si>
  <si>
    <t>32.04.002</t>
  </si>
  <si>
    <t>.026</t>
  </si>
  <si>
    <t>.403</t>
  </si>
  <si>
    <t>.016</t>
  </si>
  <si>
    <t>24.02.101</t>
  </si>
  <si>
    <t>24.02.103</t>
  </si>
  <si>
    <t>24.02.104</t>
  </si>
  <si>
    <t>24.02.105</t>
  </si>
  <si>
    <t>24.02.106</t>
  </si>
  <si>
    <t>24.02.107</t>
  </si>
  <si>
    <t>24.02.108</t>
  </si>
  <si>
    <t>24.02.109</t>
  </si>
  <si>
    <t>24.02.110</t>
  </si>
  <si>
    <t>24.02.111</t>
  </si>
  <si>
    <t>24.02.112</t>
  </si>
  <si>
    <t>24.02.113</t>
  </si>
  <si>
    <t>24.02.114</t>
  </si>
  <si>
    <t>24.02.115</t>
  </si>
  <si>
    <t>Capacitación en Desarrollo Regional y Comunal</t>
  </si>
  <si>
    <t>Capacitacion en Desarrollo Regional y Comunal</t>
  </si>
  <si>
    <t>24.07.002</t>
  </si>
  <si>
    <t>CONSOLIDADO POR SUBTITULO PROGRAMA 05</t>
  </si>
  <si>
    <t>Provisión Fondo Nacional de Desarrollo Regional</t>
  </si>
  <si>
    <t>Provisión Programa Infraestructura Rural</t>
  </si>
  <si>
    <t>Provisión Puesta en Valor del Patrimonio</t>
  </si>
  <si>
    <t>Provisión de Apoyo a la Gestión Subnacional</t>
  </si>
  <si>
    <t>Provisión Programa Saneamiento Sanitario</t>
  </si>
  <si>
    <t>Provisión Programa Residuos Sólidos</t>
  </si>
  <si>
    <t>PROGRAMA 02 - SUBNACIONAL</t>
  </si>
  <si>
    <t>PROGRAMA 03 - DESARROLLO LOCAL</t>
  </si>
  <si>
    <t>Municipalidades (Programa Esterilización y Atención Sanitaria de Animales de Compañía)</t>
  </si>
  <si>
    <t>.406</t>
  </si>
  <si>
    <t>24.03.406</t>
  </si>
  <si>
    <t>.409</t>
  </si>
  <si>
    <t>.415</t>
  </si>
  <si>
    <t>.427</t>
  </si>
  <si>
    <t>.428</t>
  </si>
  <si>
    <t>Oficina Revitalización de Barrios e Infraestructural Patrimonial</t>
  </si>
  <si>
    <t>Oficina de Donación Española</t>
  </si>
  <si>
    <t xml:space="preserve">Programa de Apoyo a la Acreditación de Calidad de Servicios Municipales </t>
  </si>
  <si>
    <t>Municipalidades (Programa Esterilización y Atención Sanitaria de Animales de Compañia)</t>
  </si>
  <si>
    <t>Municipalidades (Prevención y Mitigación de Riesgos)</t>
  </si>
  <si>
    <t>Terrenos</t>
  </si>
  <si>
    <t>Otras Transferencias</t>
  </si>
  <si>
    <t>33.03.111</t>
  </si>
  <si>
    <t>Municipalidades (Progr Revital de Barrios e Infraestruct Patrimonial Emblematica)</t>
  </si>
  <si>
    <t>Provisión Regiones Extremas</t>
  </si>
  <si>
    <t>Provisión Territorios Rezagados</t>
  </si>
  <si>
    <t>.500</t>
  </si>
  <si>
    <t>OK</t>
  </si>
  <si>
    <t>Capacitación Directiva o Diplomados</t>
  </si>
  <si>
    <t>Capacitación Alianzas Estratégica Contingente Acción de Apoyo</t>
  </si>
  <si>
    <t>Transferencias - Programa Esterilización</t>
  </si>
  <si>
    <t>Honorarios - Programa Esterilización</t>
  </si>
  <si>
    <t>Viaticos - Programa Esterilización</t>
  </si>
  <si>
    <t>Otros Gastos - Programa Esterilización</t>
  </si>
  <si>
    <t>PRESTACIONES DE SEGURIDAD SOCIAL</t>
  </si>
  <si>
    <t>Fondo Retiro Funcionarios Públicos Ley N° 19.882</t>
  </si>
  <si>
    <t>23.03.003</t>
  </si>
  <si>
    <t>CLASIFICACIÓN PRESUPUESTARIA</t>
  </si>
  <si>
    <t>FORTALECIMIENTO DE LA GESTIÓN SUBNACIONAL</t>
  </si>
  <si>
    <t>TRANSFERENCIAS A GOBIERNOS REGIONALES</t>
  </si>
  <si>
    <t>PROGRAMAS PRESUPUESTARIOS</t>
  </si>
  <si>
    <t>CONSOLIDADO PROGRAMA 05</t>
  </si>
  <si>
    <t>24.02.006</t>
  </si>
  <si>
    <t>OTROS GASTOS CORRIENTES</t>
  </si>
  <si>
    <t>Devoluciones</t>
  </si>
  <si>
    <t>.</t>
  </si>
  <si>
    <t>24.02.004</t>
  </si>
  <si>
    <t>A la Dirección de Arquitectura - MOP</t>
  </si>
  <si>
    <t> A Organismos Internacionales</t>
  </si>
  <si>
    <t>Otros Gastos Financieros Deuda Externa</t>
  </si>
  <si>
    <t>34.06</t>
  </si>
  <si>
    <t>Predios Exentos</t>
  </si>
  <si>
    <t xml:space="preserve">Sistema de Capacitación por Competencias </t>
  </si>
  <si>
    <t>Fondo Concursable Becas - Ley N° 20.742</t>
  </si>
  <si>
    <t>Honorarios Fondo de Becas</t>
  </si>
  <si>
    <t>Viaticos Fondo de Becas</t>
  </si>
  <si>
    <t>Otros Gastos Fondo de Becas</t>
  </si>
  <si>
    <t>Programa de Modernización Municipal</t>
  </si>
  <si>
    <t>24.03.033</t>
  </si>
  <si>
    <t>Cuenca del Carbón</t>
  </si>
  <si>
    <t>.033</t>
  </si>
  <si>
    <t>Fondo Concursable Becas - Ley N°20.742</t>
  </si>
  <si>
    <t>Asistencia Técnica</t>
  </si>
  <si>
    <t>Al Sector Privado</t>
  </si>
  <si>
    <t>24.01.100</t>
  </si>
  <si>
    <t>.01</t>
  </si>
  <si>
    <t> Al Sector Privado</t>
  </si>
  <si>
    <t xml:space="preserve">Municipalidades (Compensación por Predios Exentos) </t>
  </si>
  <si>
    <t xml:space="preserve">A Otras Entidades Públicas </t>
  </si>
  <si>
    <t>ADQUISICIÓN DE ACTIVOS NO FINANCIEROS</t>
  </si>
  <si>
    <t>Al Consejo de Monumentos Nacionales</t>
  </si>
  <si>
    <t>24.01.101</t>
  </si>
  <si>
    <t>Alumnos en Práctica</t>
  </si>
  <si>
    <t>007</t>
  </si>
  <si>
    <t>26.01</t>
  </si>
  <si>
    <t>Pago por Servicio de Recolección de Basura</t>
  </si>
  <si>
    <t>Viáticos - Programa Esterilización</t>
  </si>
  <si>
    <t>Prevención y Mitigación de Riesgos</t>
  </si>
  <si>
    <t>Programa de Modernización</t>
  </si>
  <si>
    <t>.602</t>
  </si>
  <si>
    <t>24.07.003</t>
  </si>
  <si>
    <t>A Banco Interamericano de Desarrollo (BID)</t>
  </si>
  <si>
    <t>Otorgamiento de Becas - Aranceles</t>
  </si>
  <si>
    <t>Gastos en Personal - Honorarios</t>
  </si>
  <si>
    <t>Gastos en Personal - Viáticos</t>
  </si>
  <si>
    <t>Otros Gastos Administrativos</t>
  </si>
  <si>
    <t>Suplencias y Reemplazos</t>
  </si>
  <si>
    <t>005</t>
  </si>
  <si>
    <t>Materiales y Útiles Quirúrgicos</t>
  </si>
  <si>
    <t>Municipalidades (Programa de Modernización)</t>
  </si>
  <si>
    <t>006</t>
  </si>
  <si>
    <t xml:space="preserve"> </t>
  </si>
  <si>
    <t>24.01.102</t>
  </si>
  <si>
    <t>Otorgamiento de Becas - Manutención</t>
  </si>
  <si>
    <t>Implementación Ley N 21.020</t>
  </si>
  <si>
    <t>Fondo Concursable</t>
  </si>
  <si>
    <t>Estudios y Diseños</t>
  </si>
  <si>
    <t>Implementación Ley N 21.020 - Fondo Consursable</t>
  </si>
  <si>
    <t>Otorgamiento de Becas Aranceles</t>
  </si>
  <si>
    <t>Otorgamiento de Becas Manutención</t>
  </si>
  <si>
    <t xml:space="preserve">Sistema Información Financiera Municipal </t>
  </si>
  <si>
    <t xml:space="preserve">Gobierno Electrónico Local </t>
  </si>
  <si>
    <t>23.03</t>
  </si>
  <si>
    <t>Concepto Presupuestario</t>
  </si>
  <si>
    <t>Saldo por Aplicar</t>
  </si>
  <si>
    <t>Compromiso</t>
  </si>
  <si>
    <t>Devengado</t>
  </si>
  <si>
    <t>Saldo por Devengar</t>
  </si>
  <si>
    <t>Trabajos  Extraordinarios</t>
  </si>
  <si>
    <t>2</t>
  </si>
  <si>
    <t>Requerimiento</t>
  </si>
  <si>
    <t>Requerimiento M$</t>
  </si>
  <si>
    <t>2101002 Aportes del Empleador</t>
  </si>
  <si>
    <t>2101003002 Desempeño Colectivo</t>
  </si>
  <si>
    <t>2101004 Remuneraciones Variables</t>
  </si>
  <si>
    <t>2101005 Aguinaldos y Bonos</t>
  </si>
  <si>
    <t>2101005001 Aguinaldos</t>
  </si>
  <si>
    <t>2101005003 Bonos Especiales</t>
  </si>
  <si>
    <t>2102 Personal a Contrata</t>
  </si>
  <si>
    <t>2102001 Sueldos y Sobresueldos</t>
  </si>
  <si>
    <t>2102001001 Sueldos Bases</t>
  </si>
  <si>
    <t>2102001003 Asignación Profesional</t>
  </si>
  <si>
    <t>2102001004 Asignación de Zona</t>
  </si>
  <si>
    <t>2102002 Aportes del Empleador</t>
  </si>
  <si>
    <t>2102003002 Desempeño Colectivo</t>
  </si>
  <si>
    <t>2102004 Remuneraciones Variables</t>
  </si>
  <si>
    <t>2102005 Aguinaldos y Bonos</t>
  </si>
  <si>
    <t>2102005001 Aguinaldos</t>
  </si>
  <si>
    <t>2102005003 Bonos Especiales</t>
  </si>
  <si>
    <t>2103 Otras Remuneraciones</t>
  </si>
  <si>
    <t>2103005 Suplencias y Reemplazos</t>
  </si>
  <si>
    <t>2103007 Alumnos en Práctica</t>
  </si>
  <si>
    <t>22 BIENES Y SERVICIOS DE CONSUMO</t>
  </si>
  <si>
    <t>2202 Textiles, Vestuario y Calzado</t>
  </si>
  <si>
    <t>2202003 Calzado</t>
  </si>
  <si>
    <t>2204 Materiales de Uso o Consumo</t>
  </si>
  <si>
    <t>2204001 Materiales de Oficina</t>
  </si>
  <si>
    <t>2204003 Productos Químicos</t>
  </si>
  <si>
    <t>2204007 Materiales y Útiles de Aseo</t>
  </si>
  <si>
    <t>2204013 Equipos Menores</t>
  </si>
  <si>
    <t>2204999 Otros</t>
  </si>
  <si>
    <t>2205 Servicios Básicos</t>
  </si>
  <si>
    <t>2205001 Electricidad</t>
  </si>
  <si>
    <t>2205002 Agua</t>
  </si>
  <si>
    <t>2205003 Gas</t>
  </si>
  <si>
    <t>2205004 Correo</t>
  </si>
  <si>
    <t>2205005 Telefonía Fija</t>
  </si>
  <si>
    <t>2205006 Telefonía Celular</t>
  </si>
  <si>
    <t>2205007 Acceso a Internet</t>
  </si>
  <si>
    <t>2206 Mantenimiento y Reparaciones</t>
  </si>
  <si>
    <t>2206999 Otros</t>
  </si>
  <si>
    <t>2207 Publicidad y Difusión</t>
  </si>
  <si>
    <t>2207001 Servicios de Publicidad</t>
  </si>
  <si>
    <t>2207002 Servicios de Impresión</t>
  </si>
  <si>
    <t>2208 Servicios Generales</t>
  </si>
  <si>
    <t>2208001 Servicios de Aseo</t>
  </si>
  <si>
    <t>2208999 Otros</t>
  </si>
  <si>
    <t>2209 Arriendos</t>
  </si>
  <si>
    <t>2209002 Arriendo de Edificios</t>
  </si>
  <si>
    <t>2210002 Primas y Gastos de Seguros</t>
  </si>
  <si>
    <t>2211001 Estudios e Investigaciones</t>
  </si>
  <si>
    <t>2211002 Cursos de Capacitación</t>
  </si>
  <si>
    <t>2211003 Servicios Informáticos</t>
  </si>
  <si>
    <t>2211999 Otros</t>
  </si>
  <si>
    <t>2212002 Gastos Menores</t>
  </si>
  <si>
    <t>2212999 Otros</t>
  </si>
  <si>
    <t>24 TRANSFERENCIAS CORRIENTES</t>
  </si>
  <si>
    <t>2403 A Otras Entidades Públicas</t>
  </si>
  <si>
    <t>2906 Equipos Informáticos</t>
  </si>
  <si>
    <t>2907 Programas Informáticos</t>
  </si>
  <si>
    <t>34 SERVICIO DE LA DEUDA</t>
  </si>
  <si>
    <t>3402 Amortización Deuda Externa</t>
  </si>
  <si>
    <t>3402002 Empréstitos</t>
  </si>
  <si>
    <t>3404 Intereses Deuda Externa</t>
  </si>
  <si>
    <t>3404002 Empréstitos</t>
  </si>
  <si>
    <t>3406002 Empréstitos</t>
  </si>
  <si>
    <t>3407 Deuda Flotante</t>
  </si>
  <si>
    <t>Total</t>
  </si>
  <si>
    <t>Saldo por Comprometer</t>
  </si>
  <si>
    <t>Código Concepto</t>
  </si>
  <si>
    <t>Código Insumo</t>
  </si>
  <si>
    <t>Catálogo 01</t>
  </si>
  <si>
    <t>Catálogo 04</t>
  </si>
  <si>
    <t>Monto Devengo</t>
  </si>
  <si>
    <t>2403026</t>
  </si>
  <si>
    <t>42426003</t>
  </si>
  <si>
    <t>Capac En Alianzas Estratégicas; Capac Contingente;</t>
  </si>
  <si>
    <t>ProgramaPresupuestario - 02 P02-Fortalecimiento de la Gestión Subnacional</t>
  </si>
  <si>
    <t>2403033</t>
  </si>
  <si>
    <t>42433001</t>
  </si>
  <si>
    <t>42433002</t>
  </si>
  <si>
    <t>42433003</t>
  </si>
  <si>
    <t>2403602</t>
  </si>
  <si>
    <t>42402001</t>
  </si>
  <si>
    <t>Monto Devengo M$</t>
  </si>
  <si>
    <t>02</t>
  </si>
  <si>
    <t>2403403</t>
  </si>
  <si>
    <t>42403002</t>
  </si>
  <si>
    <t>2403406</t>
  </si>
  <si>
    <t>42406002</t>
  </si>
  <si>
    <t>42406003</t>
  </si>
  <si>
    <t>Sin Insumo</t>
  </si>
  <si>
    <t>3303110</t>
  </si>
  <si>
    <t>1</t>
  </si>
  <si>
    <t>3204002</t>
  </si>
  <si>
    <t>3303111</t>
  </si>
  <si>
    <t>3407</t>
  </si>
  <si>
    <t>Descripción Concepto</t>
  </si>
  <si>
    <t>Programa Academia Capacitación Municipal y Regiona</t>
  </si>
  <si>
    <t>42426002</t>
  </si>
  <si>
    <t>Sistema de Capacitación por Competencias</t>
  </si>
  <si>
    <t>42426001</t>
  </si>
  <si>
    <t>42433004</t>
  </si>
  <si>
    <t>42433005</t>
  </si>
  <si>
    <t>2403500</t>
  </si>
  <si>
    <t>Municipalidades (Prevención y Mitigación de Riesgo</t>
  </si>
  <si>
    <t>42402004</t>
  </si>
  <si>
    <t>3303602001</t>
  </si>
  <si>
    <t>Municipalidades - Sistema Información Financiera M</t>
  </si>
  <si>
    <t>3303602002</t>
  </si>
  <si>
    <t>Municipalidades - Unidad de Gobierno Electrónico L</t>
  </si>
  <si>
    <t>Monto Requerimiento</t>
  </si>
  <si>
    <t>Municipalidades (Programa Esterilización y Atenció</t>
  </si>
  <si>
    <t>Municipalidades (Fondo de Incentivo al Mejoramient</t>
  </si>
  <si>
    <t>Municipalidades (Progr. Revital de Barrios e Infra</t>
  </si>
  <si>
    <t>42406004</t>
  </si>
  <si>
    <t>42406005</t>
  </si>
  <si>
    <t>Implementación Ley N 21.020 - Transferencia Munici</t>
  </si>
  <si>
    <t>42406001</t>
  </si>
  <si>
    <t>Textiles y Acabados Textiles</t>
  </si>
  <si>
    <t>2101001003 Asignación Profesional</t>
  </si>
  <si>
    <t>2101001001 Sueldos Bases</t>
  </si>
  <si>
    <t>2101001 Sueldos y Sobresueldos</t>
  </si>
  <si>
    <t>2101 Personal de Planta</t>
  </si>
  <si>
    <t>21 GASTOS EN PERSONAL</t>
  </si>
  <si>
    <t>2101005002 Bono de Escolaridad</t>
  </si>
  <si>
    <t>2102005002 Bono de Escolaridad</t>
  </si>
  <si>
    <t>2402102</t>
  </si>
  <si>
    <t>2402108</t>
  </si>
  <si>
    <t>2402111</t>
  </si>
  <si>
    <t>3303001</t>
  </si>
  <si>
    <t>Monto Compromiso</t>
  </si>
  <si>
    <t>42402002</t>
  </si>
  <si>
    <t>Fortalecimiento de la gestión financiera y presupu</t>
  </si>
  <si>
    <t>Monto Requerimiento M$</t>
  </si>
  <si>
    <t>Fortalecimiento de la gestión financiera y presupuestaria</t>
  </si>
  <si>
    <t>Fortalecimiento de las Asociaciones Municipales</t>
  </si>
  <si>
    <t>2208002 Servicios de Vigilancia</t>
  </si>
  <si>
    <t>2209999 Otros</t>
  </si>
  <si>
    <t>2407 A Organismos Internacionales</t>
  </si>
  <si>
    <t>35 SALDO FINAL DE CAJA</t>
  </si>
  <si>
    <t>42403001</t>
  </si>
  <si>
    <t>42406006</t>
  </si>
  <si>
    <t>42402005</t>
  </si>
  <si>
    <t>42402003</t>
  </si>
  <si>
    <t>A Banco Mundial</t>
  </si>
  <si>
    <t>2203 Combustibles y Lubricantes</t>
  </si>
  <si>
    <t>2203001 Para Vehículos</t>
  </si>
  <si>
    <t>2210004 Gastos Bancarios</t>
  </si>
  <si>
    <t>2407006 A Banco Mundial</t>
  </si>
  <si>
    <t>3302018</t>
  </si>
  <si>
    <t>Al Serviu VIII</t>
  </si>
  <si>
    <t>2403034</t>
  </si>
  <si>
    <t>Programa Inversión Regional Región de Ñuble</t>
  </si>
  <si>
    <t>Programa Inversión Regional Región de Coquimbo</t>
  </si>
  <si>
    <t>Programa Inversión Regional Región de Atacama</t>
  </si>
  <si>
    <t>Programa Inversión Regional Región de Antofagasta</t>
  </si>
  <si>
    <t>Programa Inversión Regional Región de Valparaíso</t>
  </si>
  <si>
    <t>Programa Inversión Regional Región del Maule</t>
  </si>
  <si>
    <t>Programa Inversión Regional Región de Magallanes y de la Antártica Chilena</t>
  </si>
  <si>
    <t>Programa Inversión Regional Región Metropolitana de Santiago</t>
  </si>
  <si>
    <t>Programa Inversión Regional Región de Los Ríos</t>
  </si>
  <si>
    <t>Programa Inversión Regional Región de Arica y Parinacota</t>
  </si>
  <si>
    <t>Programa Inversión Regional Región de Tarapaca</t>
  </si>
  <si>
    <t>Programa Inversión Regional Región del Bío Bío</t>
  </si>
  <si>
    <t>Programa Inversión Regional Región de Araucanía</t>
  </si>
  <si>
    <t>Programa Inversión Regional Región de Los Lagos</t>
  </si>
  <si>
    <t xml:space="preserve">Programa de Apoyo al Mejoramiento de la Gestión y </t>
  </si>
  <si>
    <t>Monto Compromiso M$</t>
  </si>
  <si>
    <t xml:space="preserve">Apoyo a la Acreditación de Calidad de Servicios Municipales </t>
  </si>
  <si>
    <t>24.03.034</t>
  </si>
  <si>
    <t>.034</t>
  </si>
  <si>
    <t>Enero</t>
  </si>
  <si>
    <t>IRAL- Inversión Regional de Asignación Local</t>
  </si>
  <si>
    <t>abril</t>
  </si>
  <si>
    <t>2403415 Oficina de Donación Española</t>
  </si>
  <si>
    <t>2403409 Oficina Revitalización de Barrios e Infraestructur</t>
  </si>
  <si>
    <t>Municipalidades Sistema Información Municipal (SIM)</t>
  </si>
  <si>
    <t>3303602003</t>
  </si>
  <si>
    <t xml:space="preserve">Descripción Insumo </t>
  </si>
  <si>
    <t>Subsecretaría de Desarrollo Regional y Administrat</t>
  </si>
  <si>
    <t>Municipalidades Sistema Información Municipal (SIM</t>
  </si>
  <si>
    <t>2401 Al Sector Privado</t>
  </si>
  <si>
    <t>A la Subsecretaría de Bienes Nacionales</t>
  </si>
  <si>
    <t>Al Servicio Nacional del Patrimonio Cultural</t>
  </si>
  <si>
    <t xml:space="preserve">Presupuesto vigente </t>
  </si>
  <si>
    <t>INGRESOS AL FISCO</t>
  </si>
  <si>
    <t>Otros Ingresos al Fisco</t>
  </si>
  <si>
    <t>2599</t>
  </si>
  <si>
    <t>Otros Íntegros al Fisco</t>
  </si>
  <si>
    <t>INTEGROS AL FISCO</t>
  </si>
  <si>
    <t>ProgramaPresupuestario - 03 P03-Programas de Desarrollo Local</t>
  </si>
  <si>
    <t xml:space="preserve">Ley de Presupuestos </t>
  </si>
  <si>
    <t>3303021 Provisión Puesta en Valor del Patrimonio</t>
  </si>
  <si>
    <t>3303025 Provisión de Apoyo a la Gestión Subnacional</t>
  </si>
  <si>
    <t>3303017 Provisión Programa Infraestructura Rural</t>
  </si>
  <si>
    <t>Nivel Cruce</t>
  </si>
  <si>
    <t>3</t>
  </si>
  <si>
    <t>4</t>
  </si>
  <si>
    <t>2101001002 Asignación de Antigüedad</t>
  </si>
  <si>
    <t>2101001007 Asignaciones del DL N ° 3.551, de 1981</t>
  </si>
  <si>
    <t>2101001012 Gastos de Representación</t>
  </si>
  <si>
    <t>2101001013 Asignación de Dirección Superior</t>
  </si>
  <si>
    <t>2101001014 Asignaciones Compensatorias</t>
  </si>
  <si>
    <t>2101001015 Asignaciones Sustitutivas</t>
  </si>
  <si>
    <t>2101001022 Componente Base Asignación de Desempeño</t>
  </si>
  <si>
    <t>2101001039 Asignación de Responsabilidad Superior</t>
  </si>
  <si>
    <t>2101002001 A Servicios de Bienestar</t>
  </si>
  <si>
    <t>2101002002 Otras Cotizaciones Previsionales</t>
  </si>
  <si>
    <t>2101003 Asignaciones por Desempeño</t>
  </si>
  <si>
    <t>2101003001 Desempeño Institucional</t>
  </si>
  <si>
    <t>2101004004 Asignación por Desempeño de Funciones Críticas</t>
  </si>
  <si>
    <t>2101004005 Trabajos  Extraordinarios</t>
  </si>
  <si>
    <t>2101004007 Comisiones de Servicios en el Exterior</t>
  </si>
  <si>
    <t>2102001002 Asignación de Antigüedad</t>
  </si>
  <si>
    <t>2102001006 Asignaciones del DL N ° 2.411, de 1978</t>
  </si>
  <si>
    <t>2102001007 Asignaciones del DL N ° 3.551, de 1981</t>
  </si>
  <si>
    <t>2102001013 Asignaciones Compensatorias</t>
  </si>
  <si>
    <t>2102001014 Asignaciones Sustitutivas</t>
  </si>
  <si>
    <t>2102001021 Componente Base Asignación de Desempeño</t>
  </si>
  <si>
    <t>2102001037 Asignación Zonas Extremas</t>
  </si>
  <si>
    <t>2102001038 Asignación de Responsabilidad Superior</t>
  </si>
  <si>
    <t>2102002001 A Servicios de Bienestar</t>
  </si>
  <si>
    <t>2102002002 Otras Cotizaciones Previsionales</t>
  </si>
  <si>
    <t>2102003 Asignaciones por Desempeño</t>
  </si>
  <si>
    <t>2102003001 Desempeño Institucional</t>
  </si>
  <si>
    <t>2102004004 Asignación por Desempeño de Funciones Críticas</t>
  </si>
  <si>
    <t>2102004005 Trabajos Extraordinarios</t>
  </si>
  <si>
    <t>2103001 Honorarios a Suma Alzada - Personas Naturales</t>
  </si>
  <si>
    <t>2103001001 Honorarios a Suma Alzada-Honorarios</t>
  </si>
  <si>
    <t>2103001002 Honorarios a Suma Alzada - Viáticos</t>
  </si>
  <si>
    <t>2202001 Textiles y Acabados Textiles</t>
  </si>
  <si>
    <t>2202002 Vestuario, Accesorios y Prendas Diversas</t>
  </si>
  <si>
    <t>2204005 Materiales y Útiles Quirúrgicos</t>
  </si>
  <si>
    <t>2204008 Menaje para Oficina, Casino y Otros</t>
  </si>
  <si>
    <t>2204009 Insumos, Repuestos y Accesorios Computacionales</t>
  </si>
  <si>
    <t>2204010 Materiales para Mantenimiento y Reparaciones de In</t>
  </si>
  <si>
    <t>2204011 Repuestos y Accesorios para Mantenimiento y Repara</t>
  </si>
  <si>
    <t>2204012 Otros Materiales, Repuestos y Útiles Diversos para</t>
  </si>
  <si>
    <t>2205008 Enlaces de Telecomunicaciones</t>
  </si>
  <si>
    <t>2206001 Mantenimiento y Reparación de Edificaciones</t>
  </si>
  <si>
    <t>2206002 Mantenimiento y Reparación de Vehículos</t>
  </si>
  <si>
    <t>2206003 Mantenimiento y Reparación de Mobiliarios y Otros</t>
  </si>
  <si>
    <t>2206004 Mantenimiento y Reparación de Máquinas y Equipos d</t>
  </si>
  <si>
    <t>2206007 Mantenimiento y Reparación de Equipos Informáticos</t>
  </si>
  <si>
    <t>2208007 Pasajes, Fletes y Bodegajes</t>
  </si>
  <si>
    <t>2208008 Salas Cunas y/o Jardines Infantiles</t>
  </si>
  <si>
    <t>2208010 Servicios de Suscripción y Similares</t>
  </si>
  <si>
    <t>2209005 Arriendo de Máquinas y Equipos</t>
  </si>
  <si>
    <t>2209006 Arriendo de  Equipos Informáticos</t>
  </si>
  <si>
    <t>2210 Servicios Financieros y de Seguros</t>
  </si>
  <si>
    <t>2211 Servicios Técnicos y Profesionales</t>
  </si>
  <si>
    <t>2212 Otros Gastos en Bienes y Servicios de Consumo</t>
  </si>
  <si>
    <t>2212003 Gastos de Representación, Protocolo y Ceremonial</t>
  </si>
  <si>
    <t>23 PRESTACIONES DE SEGURIDAD SOCIAL</t>
  </si>
  <si>
    <t>2303 Prestaciones Sociales del Empleador</t>
  </si>
  <si>
    <t>2303003 Fondo Retiro Funcionarios Públicos Ley N° 19.882</t>
  </si>
  <si>
    <t>2401103 Universidad Católica-Centro Latinoamericano de Pol</t>
  </si>
  <si>
    <t>2403024 Capacitación en Desarrollo Regional y Comunal</t>
  </si>
  <si>
    <t>2407002 A Comisión Económica Para América Latina y el Cari</t>
  </si>
  <si>
    <t>2407003 A Banco Interamericano de Desarrollo (BID)</t>
  </si>
  <si>
    <t>2407007 Organización de las Naciones Unidas para la Alimen</t>
  </si>
  <si>
    <t>29 ADQUISICION DE ACTIVOS NO FINANCIEROS</t>
  </si>
  <si>
    <t>2906001 Equipos Computacionales y Periféricos</t>
  </si>
  <si>
    <t>2907001 Programas Computacionales</t>
  </si>
  <si>
    <t>3404002001 Intereses Deuda Pública</t>
  </si>
  <si>
    <t>3406 Otros Gastos Financieros Deuda Externa</t>
  </si>
  <si>
    <t>2101004006 Comisiones de Servicios en el Pais</t>
  </si>
  <si>
    <t>2102004006 Comisiones de Servicios en el Pais</t>
  </si>
  <si>
    <t>Sueldos base</t>
  </si>
  <si>
    <t>.431</t>
  </si>
  <si>
    <t>Otros Gastos Academia</t>
  </si>
  <si>
    <t>42426007</t>
  </si>
  <si>
    <t>42402006</t>
  </si>
  <si>
    <t>SIM - FIMU Corriente</t>
  </si>
  <si>
    <t>Mejora de la gestión en la provisión de servicios</t>
  </si>
  <si>
    <t>Fortalecimiento Institucional</t>
  </si>
  <si>
    <t>Fortalecimiento de la Participación Ciudadana y la</t>
  </si>
  <si>
    <t>Obras</t>
  </si>
  <si>
    <t>Programa Gasto de Funcionamiento Región del Maule</t>
  </si>
  <si>
    <t>Programa Gastos de Funcionamiento Región de Ñuble</t>
  </si>
  <si>
    <t>Fondo de Desarrollo Local</t>
  </si>
  <si>
    <t>25 INTEGROS AL FISCO</t>
  </si>
  <si>
    <t>2599 Otros Íntegros al Fisco</t>
  </si>
  <si>
    <t>Marzo</t>
  </si>
  <si>
    <t>3303110 Municipalidades (Fondo de Incentivo al Mejoramient</t>
  </si>
  <si>
    <t>3303111 Municipalidades (Progr. Revital de Barrios e Infra</t>
  </si>
  <si>
    <t xml:space="preserve">Otros Integros Al Fisco </t>
  </si>
  <si>
    <t xml:space="preserve">INTEGROS AL FISCO </t>
  </si>
  <si>
    <t>Programa Gastos de Funcionamiento Región de Antofa</t>
  </si>
  <si>
    <t>Programa Gasto de Funcionamiento Región de Aysén d</t>
  </si>
  <si>
    <t>Universidad del Desarrollo</t>
  </si>
  <si>
    <t xml:space="preserve">Provisión Ley N° 20.378 - Fondo de Apoyo Regional </t>
  </si>
  <si>
    <t>Provisión Programas de Apoyo al Empleo</t>
  </si>
  <si>
    <t>acumulado a junio</t>
  </si>
  <si>
    <t>Mantenimiento y Reparación de Máquinas y Equipos d</t>
  </si>
  <si>
    <t>CONSOLIDADO POR SUBTÍTULO PROGRAMA 01</t>
  </si>
  <si>
    <t xml:space="preserve">CONSOLIDADO POR SUBTÍTULO </t>
  </si>
  <si>
    <t>Fundación Chile Descentralizado Desarrollado</t>
  </si>
  <si>
    <t>enero</t>
  </si>
  <si>
    <t>3010001</t>
  </si>
  <si>
    <t>Fondo de  Emergencia Transitorio</t>
  </si>
  <si>
    <t>Aporte Reembolsable Especial a Municipalidades</t>
  </si>
  <si>
    <t>330312000501</t>
  </si>
  <si>
    <t>330312000502</t>
  </si>
  <si>
    <t>330312000505</t>
  </si>
  <si>
    <t>330312000601</t>
  </si>
  <si>
    <t>330312000603</t>
  </si>
  <si>
    <t>330312000604</t>
  </si>
  <si>
    <t>330312000605</t>
  </si>
  <si>
    <t>330312000606</t>
  </si>
  <si>
    <t>330312000607</t>
  </si>
  <si>
    <t>3303120100</t>
  </si>
  <si>
    <t>Fondo Recuperación de Ciudades</t>
  </si>
  <si>
    <t xml:space="preserve">ADQUISICIÓN DE ACTIVOS FINANCIEROS </t>
  </si>
  <si>
    <t>Fondo de Emergencia Transitorio</t>
  </si>
  <si>
    <t>3303602004</t>
  </si>
  <si>
    <t>Plataforma Unidad de RRHH</t>
  </si>
  <si>
    <t>3303602005</t>
  </si>
  <si>
    <t>Servicios SINIM</t>
  </si>
  <si>
    <t>Tradicional (PMU)</t>
  </si>
  <si>
    <t>Emergencia (PMU)</t>
  </si>
  <si>
    <t>Cuenca del Carbón (PMU)</t>
  </si>
  <si>
    <t>Asistencia Técnica (PMB)</t>
  </si>
  <si>
    <t>Terrenos (PMB)</t>
  </si>
  <si>
    <t>Otras Transferencias (PMB)</t>
  </si>
  <si>
    <t>Estudios y diseños (PMB)</t>
  </si>
  <si>
    <t>IRAL Inversión Regional de Asignación Local (PMB)</t>
  </si>
  <si>
    <t>Obras (PMB)</t>
  </si>
  <si>
    <t>Fondo Recuperación de  (FRC)</t>
  </si>
  <si>
    <t>33.03.120.100</t>
  </si>
  <si>
    <t>Servicio Nacional del Patrimonio Cultural</t>
  </si>
  <si>
    <t>2401100 Universidad del Desarrollo</t>
  </si>
  <si>
    <t>2401101 Fundación Chile Descentralizado Desarrollado</t>
  </si>
  <si>
    <t>2401102 Universidad Adolfo Ibañez - Índice de bienestar te</t>
  </si>
  <si>
    <t>.020</t>
  </si>
  <si>
    <t>marzo</t>
  </si>
  <si>
    <t>acumulado a marzo</t>
  </si>
  <si>
    <t>febrero</t>
  </si>
  <si>
    <t>acumulado abril</t>
  </si>
  <si>
    <t>mayo</t>
  </si>
  <si>
    <t>acumulado a mayo</t>
  </si>
  <si>
    <t xml:space="preserve">Aporte Reembolsable Compensación Ingresos Propios </t>
  </si>
  <si>
    <t>julio</t>
  </si>
  <si>
    <t>2401104 Fortalecimiento y Apoyo Técnico a los Gobiernos Re</t>
  </si>
  <si>
    <t xml:space="preserve">2401105 Fortalecimiento de Capacidades de Intervención en </t>
  </si>
  <si>
    <t xml:space="preserve">2403105 Fortalecimiento de Capacidades de Intervención en </t>
  </si>
  <si>
    <t>3302020</t>
  </si>
  <si>
    <t xml:space="preserve">Al Serviu </t>
  </si>
  <si>
    <t>PROGRAMA 05 - TRANSFERENCIA GORES</t>
  </si>
  <si>
    <t>2403410 Universidad de Chile - Fortalecimiento Organizacio</t>
  </si>
  <si>
    <t>MOVIMIENTO AÑO 2022</t>
  </si>
  <si>
    <t>GASTO REAL AÑO 2022</t>
  </si>
  <si>
    <t>GASTO REAL   AÑO 2022</t>
  </si>
  <si>
    <t>Fondo de Equidad Interregional</t>
  </si>
  <si>
    <t>.433</t>
  </si>
  <si>
    <t>3303432</t>
  </si>
  <si>
    <t>Fondo de Apoyo Contingencia Regional</t>
  </si>
  <si>
    <t>.432</t>
  </si>
  <si>
    <t>42426008</t>
  </si>
  <si>
    <t>Tecnologías de Información y Comunicaciones TIC</t>
  </si>
  <si>
    <t xml:space="preserve">2206006 Mantenimiento y Reparación de Otras Maquinarias y </t>
  </si>
  <si>
    <t>GASTO AÑO 2022</t>
  </si>
  <si>
    <t>Mantenimiento y Reparación de otras Máquinarias y Equipos</t>
  </si>
  <si>
    <t xml:space="preserve">PROGRAMA 01 - SUBSECRETARIA </t>
  </si>
  <si>
    <t>N° Decreto</t>
  </si>
  <si>
    <t>24.03.406.001</t>
  </si>
  <si>
    <t>24.03.406.002</t>
  </si>
  <si>
    <t>24.03.406.003</t>
  </si>
  <si>
    <t>24.03.406.004</t>
  </si>
  <si>
    <t>24.03.406.005</t>
  </si>
  <si>
    <t>24.03.406.006</t>
  </si>
  <si>
    <t>25.99</t>
  </si>
  <si>
    <t>33.03.120.005.01</t>
  </si>
  <si>
    <t>33.03.120.005.02</t>
  </si>
  <si>
    <t>33.03.120.005.05</t>
  </si>
  <si>
    <t>33.03.120.006.01</t>
  </si>
  <si>
    <t>33.03.120.006.03</t>
  </si>
  <si>
    <t>33.03.120.006.04</t>
  </si>
  <si>
    <t>33.03.120.006.05</t>
  </si>
  <si>
    <t>33.03.120.006.06</t>
  </si>
  <si>
    <t>33.03.120.006.07</t>
  </si>
  <si>
    <t>Programa Gastos de Funcionamiento Región de Tarapacá</t>
  </si>
  <si>
    <t>Programa Gastos de Funcionamiento Región de Atacama</t>
  </si>
  <si>
    <t>Programa Gastos de Funcionamiento Región de Coquimbo</t>
  </si>
  <si>
    <t>Programa Gasto de Funcionamiento Región de Valparaíso</t>
  </si>
  <si>
    <t>Programa Gasto de Funcionamiento Región del Libertador B. O'Higgins</t>
  </si>
  <si>
    <t>Programa Gastos de Funcionamiento Región de La Araucanía</t>
  </si>
  <si>
    <t>Programa Gasto de Funcionamiento Región de Los Lagos</t>
  </si>
  <si>
    <t>Programa Gasto de Funcionamiento Región de Magallanes</t>
  </si>
  <si>
    <t>Programa Gasto de Funcionamiento Región Metropolitana</t>
  </si>
  <si>
    <t>Programa Gastos de Funcionamiento Región de Los Ríos</t>
  </si>
  <si>
    <t>Programa Gastos de Funcionamiento Región de Arica Parinacota</t>
  </si>
  <si>
    <t>24.02.007</t>
  </si>
  <si>
    <t>24.02.914</t>
  </si>
  <si>
    <t>Programa Inversión Regional Región del Libertador General B. O' Higgins</t>
  </si>
  <si>
    <t>Programa Inversión Regional Región de Aysén del G. Carlos Ibañez del Campo</t>
  </si>
  <si>
    <t>24.01.103</t>
  </si>
  <si>
    <t xml:space="preserve">Universidad Adolfo Ibañez - Índice de bienestar </t>
  </si>
  <si>
    <t>Universidad Católica-Centro Latinoamericano</t>
  </si>
  <si>
    <t>24.07.006</t>
  </si>
  <si>
    <t>A Comisión Económica Para América Latina y el Caribe</t>
  </si>
  <si>
    <t>002</t>
  </si>
  <si>
    <t>003</t>
  </si>
  <si>
    <t>24.07.007</t>
  </si>
  <si>
    <t>A Organización de las Naciones Unidas para la Alimentación</t>
  </si>
  <si>
    <t>acumulado a febrero</t>
  </si>
  <si>
    <t xml:space="preserve">acumulado a febrero </t>
  </si>
  <si>
    <t>acumulado febrero</t>
  </si>
  <si>
    <t>001</t>
  </si>
  <si>
    <t>.107</t>
  </si>
  <si>
    <t>.914</t>
  </si>
  <si>
    <t>.916</t>
  </si>
  <si>
    <t>3303010 Programa de Mejoramiento Urbano y Equipamiento Com</t>
  </si>
  <si>
    <t>3303020 Programa de Mejoramiento de Barrios FET-Covid-19</t>
  </si>
  <si>
    <t>Sistema Información Financiera Municipal</t>
  </si>
  <si>
    <t>Unidad de Gobierno Electrónico Local</t>
  </si>
  <si>
    <t>Sistema Información Municipal (SIM )</t>
  </si>
  <si>
    <t>Presupuesto Inicial 2022 M$</t>
  </si>
  <si>
    <t>Presupuesto  Vigente 2022 M$</t>
  </si>
  <si>
    <t>PMU</t>
  </si>
  <si>
    <t>PMB</t>
  </si>
  <si>
    <t xml:space="preserve">Programa Gastos de Funcionamiento Región de Aysén del General Carlos Ibañez del Campo </t>
  </si>
  <si>
    <t>Programa Gastos de Funcionamiento Región del Bio Bio</t>
  </si>
  <si>
    <t>.105</t>
  </si>
  <si>
    <t>Programa Financiamiento Gobiernos Regionales</t>
  </si>
  <si>
    <t>Presupuesto Vigente</t>
  </si>
  <si>
    <t>Ejecución</t>
  </si>
  <si>
    <t>subtítulo</t>
  </si>
  <si>
    <t>acumulado marzo</t>
  </si>
  <si>
    <t xml:space="preserve">06    </t>
  </si>
  <si>
    <t xml:space="preserve">07    </t>
  </si>
  <si>
    <t>24.02.116</t>
  </si>
  <si>
    <t>[ 4 ]</t>
  </si>
  <si>
    <t>[ 5 ]</t>
  </si>
  <si>
    <t>[ 4/2]</t>
  </si>
  <si>
    <t>[ 5/2]</t>
  </si>
  <si>
    <t>Etiquetas de fila</t>
  </si>
  <si>
    <t>Total general</t>
  </si>
  <si>
    <t>D M$</t>
  </si>
  <si>
    <t>R M$</t>
  </si>
  <si>
    <t>Com  M$</t>
  </si>
  <si>
    <t>Saldo M$</t>
  </si>
  <si>
    <t xml:space="preserve"> Prestaciones Sociales del Empleador</t>
  </si>
  <si>
    <t>M$ COM</t>
  </si>
  <si>
    <t>M$ DEV</t>
  </si>
  <si>
    <t>M$ Req</t>
  </si>
  <si>
    <t>acumulado a abril</t>
  </si>
  <si>
    <t>32.04.003</t>
  </si>
  <si>
    <t>Trabajos extraordinarios</t>
  </si>
  <si>
    <t>gg</t>
  </si>
  <si>
    <t>SUBSECRETARIA DE DESARROLLO REGIONAL Y ADMINISTRATIVO</t>
  </si>
  <si>
    <t>Valores</t>
  </si>
  <si>
    <t>Saldo por ejecutar M$</t>
  </si>
  <si>
    <t>[ 5-3]</t>
  </si>
  <si>
    <t>Saldo disponible M$</t>
  </si>
  <si>
    <t xml:space="preserve">% Saldo disponible </t>
  </si>
  <si>
    <t>% Presupuesto comprometido M$</t>
  </si>
  <si>
    <t>Presupuesto comprometido M$</t>
  </si>
  <si>
    <t>MS</t>
  </si>
  <si>
    <t>Compromiso  M$</t>
  </si>
  <si>
    <t>Saldo por Comprometer  M$</t>
  </si>
  <si>
    <t>Devengado  M$</t>
  </si>
  <si>
    <t>22.02.001</t>
  </si>
  <si>
    <t>acumulado mayo</t>
  </si>
  <si>
    <t>M$ Requerimiento</t>
  </si>
  <si>
    <t>M$  Compromiso</t>
  </si>
  <si>
    <t>M$ Devengo</t>
  </si>
  <si>
    <t>M$ Compromiso</t>
  </si>
  <si>
    <t>ProgramaPresupuestario - 05 P05-Transferencias a Gobiernos Regionales</t>
  </si>
  <si>
    <t>UnidadesDemandantes - 00 Institucional</t>
  </si>
  <si>
    <t>Programa Inversión Regional Región I  Tarapacá</t>
  </si>
  <si>
    <t>Programa Inversión Regional Región II  Antofagasta</t>
  </si>
  <si>
    <t>Programa Inversión Regional Región III Atacama</t>
  </si>
  <si>
    <t>Programa Inversión Regional Región IV Coquimbo</t>
  </si>
  <si>
    <t>Programa Inversión Regional Región V Valparaíso</t>
  </si>
  <si>
    <t xml:space="preserve">Programa Inversión Regional Región VI del Libertador </t>
  </si>
  <si>
    <t>Programa Inversión Regional Región VII  Maule</t>
  </si>
  <si>
    <t>Programa Inversión Regional Región VIII  Bío Bío</t>
  </si>
  <si>
    <t>Programa Inversión Regional Región IX La Araucanía</t>
  </si>
  <si>
    <t>Programa Inversión Regional Región X  Los Lagos</t>
  </si>
  <si>
    <t>Programa Inversión Regional Región XI  Aysén</t>
  </si>
  <si>
    <t xml:space="preserve">Programa Inversión Regional Región XII Magallanes </t>
  </si>
  <si>
    <t>Programa Inversión Regional Región XIV Los Ríos</t>
  </si>
  <si>
    <t>Programa Inversión Regional Región XV  Arica y Parinacota</t>
  </si>
  <si>
    <t>Programa Inversión Regional Región XVI  Ñuble</t>
  </si>
  <si>
    <t>Subsecretaría de Desarrollo Regional y Administrativo</t>
  </si>
  <si>
    <t>Saldo disponible M$.</t>
  </si>
  <si>
    <t>M$</t>
  </si>
  <si>
    <t xml:space="preserve"> junio 2022</t>
  </si>
  <si>
    <t>UnidadesDemandantes - 02 DEPTO. DE INVERSIONES REGIONALES</t>
  </si>
  <si>
    <t xml:space="preserve"> JUNIO 2022</t>
  </si>
  <si>
    <t>ACUMULADO A JUNIO 2022</t>
  </si>
  <si>
    <t xml:space="preserve"> acumulado junio 2022</t>
  </si>
  <si>
    <t xml:space="preserve"> PROGRAMAS DE DESARROLLO LOCAL</t>
  </si>
  <si>
    <t>M$ Devengado</t>
  </si>
  <si>
    <t>acumulado a junio 2022</t>
  </si>
  <si>
    <t xml:space="preserve"> Gastos de Representación, Protocolo y Ceremonial</t>
  </si>
  <si>
    <t>32.04.004</t>
  </si>
  <si>
    <t>Subtitulo</t>
  </si>
  <si>
    <t>nombre</t>
  </si>
  <si>
    <t>(Varios elementos)</t>
  </si>
  <si>
    <t>M$ Monto Requerimiento</t>
  </si>
  <si>
    <t>M$  Monto Compromiso</t>
  </si>
  <si>
    <t>M$  Monto Devengo</t>
  </si>
  <si>
    <t>ACUMULADO A JULIO</t>
  </si>
  <si>
    <t>M$ Monto Compromiso</t>
  </si>
  <si>
    <t>M$ Monto Devengo</t>
  </si>
  <si>
    <t>ACUMULADO JULIO</t>
  </si>
  <si>
    <t>acumulacion julio</t>
  </si>
  <si>
    <t>A JULIO 2022</t>
  </si>
  <si>
    <t>M$  Saldo por Comprometer</t>
  </si>
  <si>
    <t>M$  Devengado</t>
  </si>
  <si>
    <t>JULIO 2022 ACUMULADO</t>
  </si>
  <si>
    <t>ACUMULADO AGOSTO</t>
  </si>
  <si>
    <t>ACUMULADO A AGOSTO</t>
  </si>
  <si>
    <t>Amortización de la Deuda Extterna</t>
  </si>
  <si>
    <t>Fortalecimiento y Apoyo Técnico a los Gobiernos Re</t>
  </si>
  <si>
    <t xml:space="preserve">Fortalecimiento de Capacidades de Intervención en </t>
  </si>
  <si>
    <t>Saldo Disponible M$</t>
  </si>
  <si>
    <t>SEPTIEMBRE ACUMULADO</t>
  </si>
  <si>
    <t>SEPTIMEBRE</t>
  </si>
  <si>
    <t>ACUMULADO SEPTIEMBRE</t>
  </si>
  <si>
    <t>22.06.004</t>
  </si>
  <si>
    <t xml:space="preserve">24.03.105 </t>
  </si>
  <si>
    <t>24.03.015</t>
  </si>
  <si>
    <t>2204004 Productos Farmacéuticos</t>
  </si>
  <si>
    <t>22.04.004</t>
  </si>
  <si>
    <t>Productos Farmacéuticos</t>
  </si>
  <si>
    <t>21.03.007</t>
  </si>
  <si>
    <t>Ejecución al   M$</t>
  </si>
  <si>
    <t>Presupuesto  Vigente  M$</t>
  </si>
  <si>
    <t>Ejecución M$</t>
  </si>
  <si>
    <t>Ejecución  M$</t>
  </si>
  <si>
    <t>Presupuesto  Vigente M$</t>
  </si>
  <si>
    <t>%                            Ejecución 2021 M$</t>
  </si>
  <si>
    <t>%                            Ejecución    2021 M$</t>
  </si>
  <si>
    <t>% de Ejecución  2022 M$</t>
  </si>
  <si>
    <t>Ejecución.</t>
  </si>
  <si>
    <t>Saldo por ejecutar.</t>
  </si>
  <si>
    <t>Saldo disponible.</t>
  </si>
  <si>
    <t>Presupuesto Comprometido M$</t>
  </si>
  <si>
    <t>ACUMULADO A OCTUBRE</t>
  </si>
  <si>
    <t>ACUMULADO OCTUBRE</t>
  </si>
  <si>
    <t>Programa Gastos de Funcionamiento Región del Biobío</t>
  </si>
  <si>
    <t>330312000508</t>
  </si>
  <si>
    <t>Emergencia S.P.D.</t>
  </si>
  <si>
    <t>ACUMULADA ASEPTIEMBRE</t>
  </si>
  <si>
    <t>2407008 A Facultad Latinoamericana de Ciencias Sociales</t>
  </si>
  <si>
    <t>A Facultad Latinoamericana de Ciencias Sociales</t>
  </si>
  <si>
    <t xml:space="preserve">24.07.008 </t>
  </si>
  <si>
    <t>24.02.102</t>
  </si>
  <si>
    <t>ACUMULADO A NOVIEMBRE</t>
  </si>
  <si>
    <t>NOVIEMBRE ACUMULADO</t>
  </si>
  <si>
    <t>OCTUBRE ACUMULADO</t>
  </si>
  <si>
    <t>.018</t>
  </si>
  <si>
    <t>33.02.020</t>
  </si>
  <si>
    <t>33.02.018</t>
  </si>
  <si>
    <t>2907002 Sistemas de Información</t>
  </si>
  <si>
    <t xml:space="preserve">NOVIEMBRE </t>
  </si>
  <si>
    <t>DICIEMBRE ACUMULADO</t>
  </si>
  <si>
    <t>ACUMULADO A DICIEMBRE</t>
  </si>
  <si>
    <t>ACUMULADO DICIEMBRE</t>
  </si>
  <si>
    <t>Universidad de Chile - Fortalecimiento Organizacio</t>
  </si>
  <si>
    <t>24.03.410</t>
  </si>
  <si>
    <t>24.01.104</t>
  </si>
  <si>
    <t>24.01.105</t>
  </si>
  <si>
    <t>2101001999 Otras Asignaciones</t>
  </si>
  <si>
    <t>2101003003 Desempeño Individual</t>
  </si>
  <si>
    <t>2102001999 Otras Asignaciones</t>
  </si>
  <si>
    <t>2102003003 Desempeño Individual</t>
  </si>
  <si>
    <t>2303004 Otras Indemnizaciones</t>
  </si>
  <si>
    <t>2403027 Aceleración de Carteras de Planes de Zonas Rezagad</t>
  </si>
  <si>
    <t>2903 Vehículos</t>
  </si>
  <si>
    <t>Otras Asignaciones</t>
  </si>
  <si>
    <t>Desempeño Individual</t>
  </si>
  <si>
    <t>Otras Indemnizaciones</t>
  </si>
  <si>
    <t>Aceleración de Carteras de Planes de Zonas Rezagad</t>
  </si>
  <si>
    <t>23.03.004</t>
  </si>
  <si>
    <t>.410</t>
  </si>
  <si>
    <t>Universidad de Chile - Fortalecimiento Organización</t>
  </si>
  <si>
    <t>Vehículos</t>
  </si>
  <si>
    <t>29.03</t>
  </si>
  <si>
    <t>.027</t>
  </si>
  <si>
    <t>Vehículo</t>
  </si>
  <si>
    <t>GASTO REAL   AÑO 2023</t>
  </si>
  <si>
    <t>MOVIMIENTO AÑO 2023</t>
  </si>
  <si>
    <t>Presupuesto  Vigente 2023 M$</t>
  </si>
  <si>
    <t>Presupuesto Inicial 2023 M$</t>
  </si>
  <si>
    <t>3303005001</t>
  </si>
  <si>
    <t>P.M.U. - Tradicional</t>
  </si>
  <si>
    <t>3303005002</t>
  </si>
  <si>
    <t>P.M.U. - Emergencia</t>
  </si>
  <si>
    <t>3303005005</t>
  </si>
  <si>
    <t>P.M.U. - Cuenca del Carbón</t>
  </si>
  <si>
    <t>3303005008</t>
  </si>
  <si>
    <t>P.M.U. - Emergencia - SPD</t>
  </si>
  <si>
    <t>3303006001</t>
  </si>
  <si>
    <t>P.M.B. - Asistencia Ténica</t>
  </si>
  <si>
    <t>3303006003</t>
  </si>
  <si>
    <t>P.M.B. - Terrenos</t>
  </si>
  <si>
    <t>3303006004</t>
  </si>
  <si>
    <t>P.M.B. - Otras Transferencias</t>
  </si>
  <si>
    <t>3303006005</t>
  </si>
  <si>
    <t>P.M.B. - Estudios y Diseños</t>
  </si>
  <si>
    <t>3303006006</t>
  </si>
  <si>
    <t>P.M.B. - IRAL- Inversión Regional de Asignación Lo</t>
  </si>
  <si>
    <t>3303006007</t>
  </si>
  <si>
    <t>P.M.B. - OBRA</t>
  </si>
  <si>
    <t>3303100</t>
  </si>
  <si>
    <t>Municipalidades (Fondo Recuperación de Ciudades)</t>
  </si>
  <si>
    <t>Mumicipalidades (PMU)</t>
  </si>
  <si>
    <t>Municipaliades (PMB)</t>
  </si>
  <si>
    <t>33.03.005.001</t>
  </si>
  <si>
    <t>33.03.005.002</t>
  </si>
  <si>
    <t>33.03.005.003</t>
  </si>
  <si>
    <t>33.03.005.008</t>
  </si>
  <si>
    <t>33.03.006.001</t>
  </si>
  <si>
    <t>33.03.006.002</t>
  </si>
  <si>
    <t>33.03.006.003</t>
  </si>
  <si>
    <t>33.03.006.004</t>
  </si>
  <si>
    <t>33.03.006.005</t>
  </si>
  <si>
    <t>33.03.006.006</t>
  </si>
  <si>
    <t>33.03.100</t>
  </si>
  <si>
    <t>Programa 03 33-03-005 Decretos</t>
  </si>
  <si>
    <t>Ejecución Linea de Financiamiento</t>
  </si>
  <si>
    <t>Programa 03 33-03-006 Decretos</t>
  </si>
  <si>
    <t>Municipalidades (PMU)</t>
  </si>
  <si>
    <t>Municipalidades (PMB)</t>
  </si>
  <si>
    <t>.100</t>
  </si>
  <si>
    <t>GASTO REAL AÑO 2023</t>
  </si>
  <si>
    <t>2402500</t>
  </si>
  <si>
    <t>Servicio Nacional de Prevención y Respuesta Ante D</t>
  </si>
  <si>
    <t>GASTO AÑO 2023</t>
  </si>
  <si>
    <t>Presupuesto Vigente 2023 M$</t>
  </si>
  <si>
    <t xml:space="preserve">2101001998 Aplicación inciso 5to del Artículo 1 de la Ley N° </t>
  </si>
  <si>
    <t xml:space="preserve">2102001998 Aplicación inciso 5to del Artículo 1 de la Ley N° </t>
  </si>
  <si>
    <t>2102004007 Comisiones de Servicios en el Exterior</t>
  </si>
  <si>
    <t>2208003 Servicios de Mantención de Jardines</t>
  </si>
  <si>
    <t>26 OTROS GASTOS CORRIENTES</t>
  </si>
  <si>
    <t>2602 Compensaciones por Daños a Terceros y/o a la Propi</t>
  </si>
  <si>
    <t>2904 Mobiliario y Otros</t>
  </si>
  <si>
    <t xml:space="preserve">Aplicación inciso 5to del Artículo 1 de la Ley N° </t>
  </si>
  <si>
    <t>Mobiliario y Otros</t>
  </si>
  <si>
    <t>21.01.001.998</t>
  </si>
  <si>
    <t xml:space="preserve">21.02.001.998 </t>
  </si>
  <si>
    <t xml:space="preserve">21.02.004.007 </t>
  </si>
  <si>
    <t xml:space="preserve"> Presupuesto Inicial 2023 M$.</t>
  </si>
  <si>
    <t>% de Ejecución  2023 M$.</t>
  </si>
  <si>
    <t>% Ejecución 2022 M$.</t>
  </si>
  <si>
    <t xml:space="preserve"> % de Ejecución 2023 M$.</t>
  </si>
  <si>
    <t>23.</t>
  </si>
  <si>
    <t>NO</t>
  </si>
  <si>
    <t>FEBRERO ACUMULADO</t>
  </si>
  <si>
    <t>ACUMULADO FEBRERO</t>
  </si>
  <si>
    <t>24.02.500</t>
  </si>
  <si>
    <t>Febrero acumulado</t>
  </si>
  <si>
    <t>ACUMULADO MARZO</t>
  </si>
  <si>
    <t>MARZO DE 2023</t>
  </si>
  <si>
    <t>ACUMULADO A MARZO</t>
  </si>
  <si>
    <t>Presupuesto Vigente al 30/04/2022 M$</t>
  </si>
  <si>
    <t>Ejecución al 30/04/2022 M$</t>
  </si>
  <si>
    <t>%                            Ejecución al 30/04/2022  M$</t>
  </si>
  <si>
    <t>Ejecución al 30/04/2023 M$</t>
  </si>
  <si>
    <t>% de Ejecución 30/04/2023 M$</t>
  </si>
  <si>
    <t>Sistemas de Información</t>
  </si>
  <si>
    <t>29.07.002</t>
  </si>
  <si>
    <t>29.04</t>
  </si>
  <si>
    <t>ACUMULADO ABRIL 2023</t>
  </si>
  <si>
    <t>Presupuesto  Vigente al 30/04/2022  M$</t>
  </si>
  <si>
    <t>Ejecución al 30/04/2022  M$</t>
  </si>
  <si>
    <t xml:space="preserve">                        Ejecución al 30/04/2022  %</t>
  </si>
  <si>
    <t>% de Ejecución 30/04/2023  M$</t>
  </si>
  <si>
    <t>ABRIL ACUMULADO</t>
  </si>
  <si>
    <t>Presupuesto  Vigente al 30/04/2022 M$</t>
  </si>
  <si>
    <t>ACUMULADO ABRIL</t>
  </si>
  <si>
    <t>MODIFICACIONES RELEVANTES MUNICIPALIDADES AL 30 DE ABRIL 2023</t>
  </si>
  <si>
    <t>3302025</t>
  </si>
  <si>
    <t>Gobiernos Regionales - Programas de Inversión</t>
  </si>
  <si>
    <t xml:space="preserve">ACUMULADO A ABRIL </t>
  </si>
  <si>
    <t>SITUACIÓN PRESUPUESTARIA AÑO 2023 AL 30/04/2023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</si>
</sst>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64" formatCode="_-&quot;$&quot;\ * #,##0.00_-;\-&quot;$&quot;\ * #,##0.00_-;_-&quot;$&quot;\ * &quot;-&quot;??_-;_-@_-"/>
    <numFmt numFmtId="165" formatCode="_-* #,##0.00_-;\-* #,##0.00_-;_-* &quot;-&quot;??_-;_-@_-"/>
    <numFmt numFmtId="166" formatCode="_-* #,##0.00\ _€_-;\-* #,##0.00\ _€_-;_-* &quot;-&quot;??\ _€_-;_-@_-"/>
    <numFmt numFmtId="167" formatCode="00"/>
    <numFmt numFmtId="168" formatCode="000"/>
    <numFmt numFmtId="169" formatCode="#,##0_ ;[Red]\-#,##0\ "/>
    <numFmt numFmtId="170" formatCode="#,##0.000"/>
    <numFmt numFmtId="171" formatCode="_-* #,##0_-;\-* #,##0_-;_-* &quot;-&quot;??_-;_-@_-"/>
    <numFmt numFmtId="172" formatCode="0.0%"/>
    <numFmt numFmtId="173" formatCode="#,##0;\(#,##0\)"/>
    <numFmt numFmtId="174" formatCode="_(&quot;$&quot;* #,##0_);_(&quot;$&quot;* \(#,##0\);_(&quot;$&quot;* &quot;-&quot;_);_(@_)"/>
    <numFmt numFmtId="175" formatCode="0.0"/>
  </numFmts>
  <fonts count="57" x14ac:knownFonts="1">
    <font>
      <sz val="11"/>
      <color theme="1"/>
      <name val="Calibri"/>
      <family val="2"/>
      <scheme val="minor"/>
    </font>
    <font>
      <sz val="10"/>
      <color indexed="8"/>
      <name val="Arial"/>
      <family val="2"/>
    </font>
    <font>
      <b/>
      <sz val="10"/>
      <color indexed="8"/>
      <name val="Arial"/>
      <family val="2"/>
    </font>
    <font>
      <sz val="10"/>
      <name val="Arial"/>
      <family val="2"/>
    </font>
    <font>
      <b/>
      <sz val="12"/>
      <color indexed="8"/>
      <name val="Arial"/>
      <family val="2"/>
    </font>
    <font>
      <b/>
      <sz val="14"/>
      <color indexed="8"/>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theme="1"/>
      <name val="Calibri"/>
      <family val="2"/>
      <scheme val="minor"/>
    </font>
    <font>
      <sz val="11"/>
      <color indexed="8"/>
      <name val="Arial"/>
      <family val="2"/>
    </font>
    <font>
      <b/>
      <sz val="16"/>
      <color theme="0"/>
      <name val="Arial"/>
      <family val="2"/>
    </font>
    <font>
      <b/>
      <sz val="12"/>
      <color theme="0"/>
      <name val="Arial"/>
      <family val="2"/>
    </font>
    <font>
      <sz val="10"/>
      <color rgb="FFFF0000"/>
      <name val="Arial"/>
      <family val="2"/>
    </font>
    <font>
      <sz val="7"/>
      <name val="Trebuchet MS"/>
      <family val="2"/>
    </font>
    <font>
      <sz val="8"/>
      <name val="Trebuchet MS"/>
      <family val="2"/>
    </font>
    <font>
      <sz val="10"/>
      <name val="Trebuchet MS"/>
      <family val="2"/>
    </font>
    <font>
      <sz val="11"/>
      <name val="Calibri"/>
      <family val="2"/>
      <scheme val="minor"/>
    </font>
    <font>
      <sz val="9"/>
      <color rgb="FF333333"/>
      <name val="Arial"/>
      <family val="2"/>
    </font>
    <font>
      <b/>
      <sz val="10"/>
      <name val="Arial"/>
      <family val="2"/>
    </font>
    <font>
      <sz val="9"/>
      <name val="Trebuchet MS"/>
      <family val="2"/>
    </font>
    <font>
      <sz val="10"/>
      <color theme="1"/>
      <name val="Trebuchet MS"/>
      <family val="2"/>
    </font>
    <font>
      <sz val="8"/>
      <color theme="1"/>
      <name val="Calibri"/>
      <family val="2"/>
      <scheme val="minor"/>
    </font>
    <font>
      <sz val="9"/>
      <color indexed="81"/>
      <name val="Tahoma"/>
      <family val="2"/>
    </font>
    <font>
      <b/>
      <sz val="9"/>
      <color indexed="81"/>
      <name val="Tahoma"/>
      <family val="2"/>
    </font>
    <font>
      <sz val="8"/>
      <name val="Calibri"/>
      <family val="2"/>
      <scheme val="minor"/>
    </font>
    <font>
      <b/>
      <sz val="10"/>
      <color rgb="FFFF0000"/>
      <name val="Arial"/>
      <family val="2"/>
    </font>
    <font>
      <sz val="10"/>
      <color theme="0"/>
      <name val="Arial"/>
      <family val="2"/>
    </font>
    <font>
      <b/>
      <sz val="10"/>
      <color theme="0"/>
      <name val="Arial"/>
      <family val="2"/>
    </font>
    <font>
      <b/>
      <sz val="11"/>
      <color theme="0"/>
      <name val="Arial"/>
      <family val="2"/>
    </font>
    <font>
      <sz val="16"/>
      <color indexed="8"/>
      <name val="Arial"/>
      <family val="2"/>
    </font>
    <font>
      <b/>
      <sz val="14"/>
      <name val="Arial"/>
      <family val="2"/>
    </font>
    <font>
      <sz val="7"/>
      <color indexed="13"/>
      <name val="Trebuchet MS"/>
      <family val="2"/>
    </font>
    <font>
      <b/>
      <sz val="11"/>
      <color indexed="8"/>
      <name val="Arial"/>
      <family val="2"/>
    </font>
    <font>
      <sz val="11"/>
      <color rgb="FF006100"/>
      <name val="Calibri"/>
      <family val="2"/>
      <scheme val="minor"/>
    </font>
    <font>
      <sz val="11"/>
      <color rgb="FF9C0006"/>
      <name val="Calibri"/>
      <family val="2"/>
      <scheme val="minor"/>
    </font>
    <font>
      <sz val="9"/>
      <color theme="1"/>
      <name val="Calibri"/>
      <family val="2"/>
      <scheme val="minor"/>
    </font>
    <font>
      <sz val="10"/>
      <color theme="5" tint="0.79998168889431442"/>
      <name val="Arial"/>
      <family val="2"/>
    </font>
    <font>
      <sz val="9"/>
      <color indexed="9"/>
      <name val="Trebuchet MS"/>
      <family val="2"/>
    </font>
    <font>
      <sz val="11"/>
      <name val="Trebuchet MS"/>
      <family val="2"/>
    </font>
    <font>
      <sz val="7"/>
      <color theme="1"/>
      <name val="Calibri"/>
      <family val="2"/>
      <scheme val="minor"/>
    </font>
    <font>
      <sz val="7"/>
      <color rgb="FF666666"/>
      <name val="Trebuchet MS"/>
      <family val="2"/>
    </font>
    <font>
      <sz val="10"/>
      <color rgb="FF666666"/>
      <name val="Trebuchet MS"/>
      <family val="2"/>
    </font>
    <font>
      <sz val="7"/>
      <name val="Trebuchet MS"/>
      <family val="2"/>
    </font>
    <font>
      <sz val="11"/>
      <color theme="1"/>
      <name val="Trebuchet MS"/>
      <family val="2"/>
    </font>
    <font>
      <b/>
      <sz val="11"/>
      <color theme="1"/>
      <name val="Trebuchet MS"/>
      <family val="2"/>
    </font>
    <font>
      <sz val="9"/>
      <color theme="1"/>
      <name val="Trebuchet MS"/>
      <family val="2"/>
    </font>
    <font>
      <sz val="8"/>
      <color indexed="8"/>
      <name val="Arial"/>
      <family val="2"/>
    </font>
    <font>
      <sz val="7"/>
      <color theme="1"/>
      <name val="Trebuchet MS"/>
      <family val="2"/>
    </font>
    <font>
      <sz val="9"/>
      <color rgb="FF666666"/>
      <name val="Trebuchet MS"/>
      <family val="2"/>
    </font>
    <font>
      <sz val="18"/>
      <color indexed="8"/>
      <name val="Arial"/>
      <family val="2"/>
    </font>
    <font>
      <b/>
      <sz val="9"/>
      <color theme="1"/>
      <name val="Trebuchet MS"/>
      <family val="2"/>
    </font>
  </fonts>
  <fills count="25">
    <fill>
      <patternFill patternType="none"/>
    </fill>
    <fill>
      <patternFill patternType="gray125"/>
    </fill>
    <fill>
      <patternFill patternType="solid">
        <fgColor indexed="47"/>
        <bgColor indexed="64"/>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indexed="65"/>
        <bgColor indexed="64"/>
      </patternFill>
    </fill>
    <fill>
      <patternFill patternType="solid">
        <fgColor theme="0"/>
        <bgColor indexed="64"/>
      </patternFill>
    </fill>
    <fill>
      <patternFill patternType="solid">
        <fgColor rgb="FF0F69B4"/>
        <bgColor indexed="64"/>
      </patternFill>
    </fill>
    <fill>
      <patternFill patternType="solid">
        <fgColor rgb="FFEB3C46"/>
        <bgColor indexed="64"/>
      </patternFill>
    </fill>
    <fill>
      <patternFill patternType="solid">
        <fgColor theme="9" tint="0.39997558519241921"/>
        <bgColor indexed="64"/>
      </patternFill>
    </fill>
    <fill>
      <patternFill patternType="solid">
        <fgColor theme="5"/>
        <bgColor indexed="64"/>
      </patternFill>
    </fill>
    <fill>
      <patternFill patternType="solid">
        <fgColor theme="4"/>
        <bgColor indexed="64"/>
      </patternFill>
    </fill>
    <fill>
      <patternFill patternType="solid">
        <fgColor indexed="9"/>
        <bgColor indexed="64"/>
      </patternFill>
    </fill>
    <fill>
      <patternFill patternType="solid">
        <fgColor rgb="FFE1C1D6"/>
        <bgColor indexed="64"/>
      </patternFill>
    </fill>
    <fill>
      <patternFill patternType="solid">
        <fgColor indexed="11"/>
        <bgColor indexed="64"/>
      </patternFill>
    </fill>
    <fill>
      <patternFill patternType="solid">
        <fgColor theme="6"/>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FFFF"/>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rgb="FFCCCCCC"/>
      </left>
      <right style="thin">
        <color rgb="FFCCCCCC"/>
      </right>
      <top/>
      <bottom/>
      <diagonal/>
    </border>
    <border>
      <left/>
      <right/>
      <top/>
      <bottom style="thin">
        <color rgb="FFCCCCCC"/>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rgb="FFFFFFFF"/>
      </left>
      <right style="thin">
        <color rgb="FFFFFFFF"/>
      </right>
      <top style="thin">
        <color rgb="FFCCCCCC"/>
      </top>
      <bottom style="thin">
        <color rgb="FFFFFFFF"/>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7">
    <xf numFmtId="0" fontId="0" fillId="0" borderId="0"/>
    <xf numFmtId="0" fontId="9" fillId="3" borderId="0" applyNumberFormat="0" applyBorder="0" applyAlignment="0" applyProtection="0"/>
    <xf numFmtId="0" fontId="9" fillId="4" borderId="0" applyNumberFormat="0" applyBorder="0" applyAlignment="0" applyProtection="0"/>
    <xf numFmtId="165" fontId="8" fillId="0" borderId="0" applyFont="0" applyFill="0" applyBorder="0" applyAlignment="0" applyProtection="0"/>
    <xf numFmtId="166" fontId="6" fillId="0" borderId="0" applyFont="0" applyFill="0" applyBorder="0" applyAlignment="0" applyProtection="0"/>
    <xf numFmtId="0" fontId="6" fillId="0" borderId="0"/>
    <xf numFmtId="0" fontId="3" fillId="0" borderId="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3" fillId="0" borderId="0" applyFont="0" applyFill="0" applyBorder="0" applyAlignment="0" applyProtection="0"/>
    <xf numFmtId="164" fontId="8" fillId="0" borderId="0" applyFont="0" applyFill="0" applyBorder="0" applyAlignment="0" applyProtection="0"/>
    <xf numFmtId="0" fontId="3" fillId="0" borderId="0"/>
    <xf numFmtId="165" fontId="8" fillId="0" borderId="0" applyFont="0" applyFill="0" applyBorder="0" applyAlignment="0" applyProtection="0"/>
    <xf numFmtId="41" fontId="8" fillId="0" borderId="0" applyFont="0" applyFill="0" applyBorder="0" applyAlignment="0" applyProtection="0"/>
    <xf numFmtId="0" fontId="39" fillId="22" borderId="0" applyNumberFormat="0" applyBorder="0" applyAlignment="0" applyProtection="0"/>
    <xf numFmtId="0" fontId="40" fillId="23" borderId="0" applyNumberFormat="0" applyBorder="0" applyAlignment="0" applyProtection="0"/>
  </cellStyleXfs>
  <cellXfs count="1808">
    <xf numFmtId="0" fontId="0" fillId="0" borderId="0" xfId="0"/>
    <xf numFmtId="0" fontId="1" fillId="0" borderId="0" xfId="0" applyFont="1"/>
    <xf numFmtId="0" fontId="1" fillId="0" borderId="0" xfId="0" applyFont="1" applyBorder="1"/>
    <xf numFmtId="3" fontId="2" fillId="5"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1" fillId="0" borderId="0" xfId="0" applyFont="1" applyFill="1"/>
    <xf numFmtId="3" fontId="1" fillId="0" borderId="0" xfId="0" applyNumberFormat="1" applyFont="1"/>
    <xf numFmtId="3" fontId="1" fillId="0" borderId="0" xfId="0" applyNumberFormat="1" applyFont="1" applyBorder="1"/>
    <xf numFmtId="0" fontId="1" fillId="0" borderId="0" xfId="0" applyFont="1" applyAlignment="1">
      <alignment horizontal="left"/>
    </xf>
    <xf numFmtId="0" fontId="1" fillId="0" borderId="0" xfId="0" applyFont="1" applyBorder="1" applyAlignment="1">
      <alignment horizontal="left"/>
    </xf>
    <xf numFmtId="167" fontId="1" fillId="0" borderId="0" xfId="0" applyNumberFormat="1" applyFont="1" applyAlignment="1">
      <alignment horizontal="left" vertical="center"/>
    </xf>
    <xf numFmtId="167" fontId="1" fillId="0" borderId="0" xfId="0" applyNumberFormat="1" applyFont="1" applyBorder="1" applyAlignment="1">
      <alignment horizontal="left" vertical="center"/>
    </xf>
    <xf numFmtId="168" fontId="1" fillId="0" borderId="0" xfId="0" applyNumberFormat="1" applyFont="1" applyAlignment="1">
      <alignment horizontal="left" vertical="center"/>
    </xf>
    <xf numFmtId="168" fontId="1" fillId="0" borderId="0" xfId="0" applyNumberFormat="1" applyFont="1" applyBorder="1" applyAlignment="1">
      <alignment horizontal="left" vertical="center"/>
    </xf>
    <xf numFmtId="168" fontId="1" fillId="0" borderId="0" xfId="0" applyNumberFormat="1" applyFont="1"/>
    <xf numFmtId="168" fontId="1" fillId="0" borderId="0" xfId="0" applyNumberFormat="1" applyFont="1" applyBorder="1"/>
    <xf numFmtId="3" fontId="1" fillId="0" borderId="0" xfId="0" applyNumberFormat="1" applyFont="1" applyFill="1"/>
    <xf numFmtId="3" fontId="2" fillId="5" borderId="1" xfId="0" applyNumberFormat="1" applyFont="1" applyFill="1" applyBorder="1" applyAlignment="1" applyProtection="1">
      <alignment horizontal="right" vertical="top" wrapText="1"/>
    </xf>
    <xf numFmtId="168" fontId="12" fillId="0" borderId="1" xfId="0" applyNumberFormat="1" applyFont="1" applyFill="1" applyBorder="1" applyAlignment="1" applyProtection="1">
      <alignment vertical="top" wrapText="1"/>
    </xf>
    <xf numFmtId="3" fontId="1" fillId="0" borderId="1" xfId="0" applyNumberFormat="1" applyFont="1" applyFill="1" applyBorder="1" applyAlignment="1" applyProtection="1">
      <alignment horizontal="right" vertical="top" wrapText="1"/>
    </xf>
    <xf numFmtId="3" fontId="2" fillId="5" borderId="1" xfId="0" applyNumberFormat="1" applyFont="1" applyFill="1" applyBorder="1" applyProtection="1"/>
    <xf numFmtId="0" fontId="2" fillId="5" borderId="16" xfId="0" applyFont="1" applyFill="1" applyBorder="1" applyAlignment="1" applyProtection="1">
      <alignment horizontal="left" vertical="top" wrapText="1"/>
    </xf>
    <xf numFmtId="167" fontId="2" fillId="5" borderId="1" xfId="0" applyNumberFormat="1" applyFont="1" applyFill="1" applyBorder="1" applyAlignment="1" applyProtection="1">
      <alignment horizontal="left" vertical="center" wrapText="1"/>
    </xf>
    <xf numFmtId="168" fontId="2" fillId="5" borderId="1" xfId="0" applyNumberFormat="1" applyFont="1" applyFill="1" applyBorder="1" applyAlignment="1" applyProtection="1">
      <alignment horizontal="left" vertical="center" wrapText="1"/>
    </xf>
    <xf numFmtId="168" fontId="2" fillId="5" borderId="1" xfId="0" applyNumberFormat="1" applyFont="1" applyFill="1" applyBorder="1" applyAlignment="1" applyProtection="1">
      <alignment vertical="top" wrapText="1"/>
    </xf>
    <xf numFmtId="0" fontId="2" fillId="0" borderId="16" xfId="0" applyFont="1" applyFill="1" applyBorder="1" applyAlignment="1" applyProtection="1">
      <alignment horizontal="left" vertical="top" wrapText="1"/>
    </xf>
    <xf numFmtId="168" fontId="2" fillId="0" borderId="1" xfId="0" applyNumberFormat="1" applyFont="1" applyFill="1" applyBorder="1" applyAlignment="1" applyProtection="1">
      <alignment vertical="top" wrapText="1"/>
    </xf>
    <xf numFmtId="167" fontId="1" fillId="5" borderId="1" xfId="0" applyNumberFormat="1" applyFont="1" applyFill="1" applyBorder="1" applyAlignment="1" applyProtection="1">
      <alignment horizontal="left" vertical="center" wrapText="1"/>
    </xf>
    <xf numFmtId="168" fontId="1" fillId="5" borderId="1" xfId="0" applyNumberFormat="1" applyFont="1" applyFill="1" applyBorder="1" applyAlignment="1" applyProtection="1">
      <alignment horizontal="left" vertical="center" wrapText="1"/>
    </xf>
    <xf numFmtId="167" fontId="2" fillId="0" borderId="1" xfId="0" applyNumberFormat="1" applyFont="1" applyFill="1" applyBorder="1" applyAlignment="1" applyProtection="1">
      <alignment horizontal="left" vertical="center" wrapText="1"/>
    </xf>
    <xf numFmtId="168" fontId="1" fillId="0" borderId="1" xfId="0" applyNumberFormat="1" applyFont="1" applyFill="1" applyBorder="1" applyProtection="1"/>
    <xf numFmtId="0" fontId="2" fillId="5" borderId="17" xfId="0" applyFont="1" applyFill="1" applyBorder="1" applyAlignment="1" applyProtection="1">
      <alignment horizontal="left" vertical="top" wrapText="1"/>
    </xf>
    <xf numFmtId="167" fontId="2" fillId="5" borderId="3" xfId="0" applyNumberFormat="1" applyFont="1" applyFill="1" applyBorder="1" applyAlignment="1" applyProtection="1">
      <alignment horizontal="left" vertical="center" wrapText="1"/>
    </xf>
    <xf numFmtId="168" fontId="2" fillId="5" borderId="3" xfId="0" applyNumberFormat="1" applyFont="1" applyFill="1" applyBorder="1" applyAlignment="1" applyProtection="1">
      <alignment horizontal="left" vertical="center" wrapText="1"/>
    </xf>
    <xf numFmtId="168" fontId="2" fillId="5" borderId="3" xfId="0" applyNumberFormat="1" applyFont="1" applyFill="1" applyBorder="1" applyAlignment="1" applyProtection="1">
      <alignment vertical="top" wrapText="1"/>
    </xf>
    <xf numFmtId="3" fontId="2" fillId="5" borderId="3" xfId="0" applyNumberFormat="1" applyFont="1" applyFill="1" applyBorder="1" applyAlignment="1" applyProtection="1">
      <alignment horizontal="right" vertical="top" wrapText="1"/>
    </xf>
    <xf numFmtId="3" fontId="1" fillId="0" borderId="0" xfId="0" applyNumberFormat="1" applyFont="1" applyProtection="1">
      <protection locked="0"/>
    </xf>
    <xf numFmtId="0" fontId="1" fillId="0" borderId="0" xfId="0" applyFont="1" applyFill="1" applyProtection="1">
      <protection locked="0"/>
    </xf>
    <xf numFmtId="0" fontId="1" fillId="0" borderId="0" xfId="0" applyFont="1" applyAlignment="1" applyProtection="1">
      <protection locked="0"/>
    </xf>
    <xf numFmtId="0" fontId="1" fillId="0" borderId="0" xfId="0" applyFont="1" applyBorder="1" applyAlignment="1" applyProtection="1">
      <alignment horizontal="left"/>
      <protection locked="0"/>
    </xf>
    <xf numFmtId="167" fontId="1" fillId="0" borderId="0" xfId="0" applyNumberFormat="1" applyFont="1" applyBorder="1" applyAlignment="1" applyProtection="1">
      <alignment horizontal="left" vertical="center"/>
      <protection locked="0"/>
    </xf>
    <xf numFmtId="168" fontId="1" fillId="0" borderId="0" xfId="0" applyNumberFormat="1" applyFont="1" applyBorder="1" applyAlignment="1" applyProtection="1">
      <alignment horizontal="left" vertical="center"/>
      <protection locked="0"/>
    </xf>
    <xf numFmtId="168" fontId="1" fillId="0" borderId="0" xfId="0" applyNumberFormat="1" applyFont="1" applyBorder="1" applyProtection="1">
      <protection locked="0"/>
    </xf>
    <xf numFmtId="3" fontId="1" fillId="0" borderId="0" xfId="0" applyNumberFormat="1" applyFont="1" applyBorder="1" applyProtection="1">
      <protection locked="0"/>
    </xf>
    <xf numFmtId="0" fontId="1" fillId="0" borderId="0" xfId="0" applyFont="1" applyAlignment="1" applyProtection="1">
      <alignment horizontal="left"/>
      <protection locked="0"/>
    </xf>
    <xf numFmtId="167" fontId="1" fillId="0" borderId="0" xfId="0" applyNumberFormat="1" applyFont="1" applyAlignment="1" applyProtection="1">
      <alignment horizontal="left" vertical="center"/>
      <protection locked="0"/>
    </xf>
    <xf numFmtId="168" fontId="1" fillId="0" borderId="0" xfId="0" applyNumberFormat="1" applyFont="1" applyAlignment="1" applyProtection="1">
      <alignment horizontal="left" vertical="center"/>
      <protection locked="0"/>
    </xf>
    <xf numFmtId="168" fontId="1" fillId="0" borderId="0" xfId="0" applyNumberFormat="1" applyFont="1" applyProtection="1">
      <protection locked="0"/>
    </xf>
    <xf numFmtId="0" fontId="1" fillId="0" borderId="0" xfId="0" applyFont="1" applyProtection="1">
      <protection locked="0"/>
    </xf>
    <xf numFmtId="3" fontId="0" fillId="0" borderId="0" xfId="0" applyNumberFormat="1"/>
    <xf numFmtId="168" fontId="1" fillId="0" borderId="1" xfId="0" applyNumberFormat="1" applyFont="1" applyFill="1" applyBorder="1" applyAlignment="1" applyProtection="1">
      <alignment horizontal="right" vertical="top" wrapText="1"/>
    </xf>
    <xf numFmtId="0" fontId="4" fillId="8" borderId="9" xfId="0" applyFont="1" applyFill="1" applyBorder="1" applyAlignment="1" applyProtection="1">
      <alignment horizontal="center"/>
    </xf>
    <xf numFmtId="0" fontId="4" fillId="8" borderId="10" xfId="0" applyFont="1" applyFill="1" applyBorder="1" applyAlignment="1" applyProtection="1">
      <alignment horizontal="center"/>
    </xf>
    <xf numFmtId="0" fontId="4" fillId="7" borderId="9" xfId="0" applyFont="1" applyFill="1" applyBorder="1" applyAlignment="1" applyProtection="1">
      <alignment horizontal="center"/>
    </xf>
    <xf numFmtId="0" fontId="1" fillId="0" borderId="0" xfId="0" applyFont="1" applyFill="1" applyAlignment="1">
      <alignment horizontal="center" vertical="center"/>
    </xf>
    <xf numFmtId="0" fontId="1" fillId="0" borderId="0" xfId="0" applyFont="1" applyFill="1" applyAlignment="1" applyProtection="1">
      <alignment horizontal="center" vertical="center"/>
      <protection locked="0"/>
    </xf>
    <xf numFmtId="3" fontId="1" fillId="0" borderId="0" xfId="0" applyNumberFormat="1" applyFont="1" applyFill="1" applyProtection="1">
      <protection locked="0"/>
    </xf>
    <xf numFmtId="0" fontId="1" fillId="10" borderId="0" xfId="0" applyFont="1" applyFill="1"/>
    <xf numFmtId="3" fontId="1" fillId="10" borderId="0" xfId="0" applyNumberFormat="1" applyFont="1" applyFill="1" applyBorder="1"/>
    <xf numFmtId="167" fontId="1" fillId="10" borderId="0" xfId="0" applyNumberFormat="1" applyFont="1" applyFill="1" applyBorder="1" applyAlignment="1">
      <alignment horizontal="left" vertical="center"/>
    </xf>
    <xf numFmtId="168" fontId="1" fillId="10" borderId="0" xfId="0" applyNumberFormat="1" applyFont="1" applyFill="1" applyBorder="1" applyAlignment="1">
      <alignment horizontal="left" vertical="center"/>
    </xf>
    <xf numFmtId="168" fontId="1" fillId="10" borderId="0" xfId="0" applyNumberFormat="1" applyFont="1" applyFill="1" applyBorder="1"/>
    <xf numFmtId="0" fontId="1" fillId="10" borderId="0" xfId="0" applyFont="1" applyFill="1" applyBorder="1"/>
    <xf numFmtId="0" fontId="1" fillId="10" borderId="0" xfId="0" applyFont="1" applyFill="1" applyBorder="1" applyAlignment="1">
      <alignment horizontal="left"/>
    </xf>
    <xf numFmtId="0" fontId="4" fillId="8" borderId="12" xfId="0" applyNumberFormat="1" applyFont="1" applyFill="1" applyBorder="1" applyAlignment="1" applyProtection="1">
      <alignment horizontal="center"/>
    </xf>
    <xf numFmtId="3" fontId="2" fillId="5" borderId="17" xfId="0" applyNumberFormat="1" applyFont="1" applyFill="1" applyBorder="1" applyAlignment="1" applyProtection="1">
      <alignment horizontal="right" vertical="top" wrapText="1"/>
    </xf>
    <xf numFmtId="3" fontId="1" fillId="0" borderId="0" xfId="0" applyNumberFormat="1" applyFont="1" applyAlignment="1" applyProtection="1">
      <alignment horizontal="right"/>
      <protection locked="0"/>
    </xf>
    <xf numFmtId="3" fontId="1" fillId="0" borderId="0" xfId="0" applyNumberFormat="1" applyFont="1" applyBorder="1" applyAlignment="1" applyProtection="1">
      <alignment horizontal="right"/>
      <protection locked="0"/>
    </xf>
    <xf numFmtId="3" fontId="1" fillId="0" borderId="0" xfId="0" applyNumberFormat="1" applyFont="1" applyFill="1" applyBorder="1" applyProtection="1">
      <protection locked="0"/>
    </xf>
    <xf numFmtId="0" fontId="4" fillId="7" borderId="40" xfId="0" applyFont="1" applyFill="1" applyBorder="1" applyAlignment="1" applyProtection="1">
      <alignment horizontal="center"/>
    </xf>
    <xf numFmtId="0" fontId="0" fillId="0" borderId="0" xfId="0" applyAlignment="1">
      <alignment horizontal="left"/>
    </xf>
    <xf numFmtId="0" fontId="0" fillId="0" borderId="0" xfId="0" applyFill="1"/>
    <xf numFmtId="0" fontId="1" fillId="0" borderId="0" xfId="0" applyFont="1" applyFill="1" applyBorder="1" applyProtection="1">
      <protection locked="0"/>
    </xf>
    <xf numFmtId="170" fontId="1" fillId="0" borderId="0" xfId="0" applyNumberFormat="1" applyFont="1" applyBorder="1" applyProtection="1">
      <protection locked="0"/>
    </xf>
    <xf numFmtId="0" fontId="11" fillId="0" borderId="0" xfId="0" applyFont="1"/>
    <xf numFmtId="0" fontId="0" fillId="0" borderId="0" xfId="0"/>
    <xf numFmtId="0" fontId="0" fillId="0" borderId="0" xfId="0" applyAlignment="1"/>
    <xf numFmtId="0" fontId="1" fillId="0" borderId="0" xfId="0" applyFont="1" applyFill="1" applyProtection="1">
      <protection locked="0"/>
    </xf>
    <xf numFmtId="3" fontId="1" fillId="0" borderId="0" xfId="0" applyNumberFormat="1" applyFont="1" applyBorder="1" applyProtection="1">
      <protection locked="0"/>
    </xf>
    <xf numFmtId="173" fontId="0" fillId="0" borderId="0" xfId="0" applyNumberFormat="1"/>
    <xf numFmtId="173" fontId="19" fillId="17" borderId="0" xfId="0" applyNumberFormat="1" applyFont="1" applyFill="1" applyAlignment="1" applyProtection="1">
      <alignment horizontal="right" vertical="center" wrapText="1"/>
    </xf>
    <xf numFmtId="0" fontId="22" fillId="0" borderId="0" xfId="0" applyFont="1"/>
    <xf numFmtId="0" fontId="25" fillId="18" borderId="0" xfId="0" applyFont="1" applyFill="1" applyAlignment="1" applyProtection="1">
      <alignment horizontal="center" vertical="center" wrapText="1"/>
    </xf>
    <xf numFmtId="3" fontId="1" fillId="11" borderId="0" xfId="0" applyNumberFormat="1" applyFont="1" applyFill="1"/>
    <xf numFmtId="0" fontId="1" fillId="11" borderId="0" xfId="0" applyFont="1" applyFill="1"/>
    <xf numFmtId="3" fontId="1" fillId="11" borderId="1" xfId="0" applyNumberFormat="1" applyFont="1" applyFill="1" applyBorder="1"/>
    <xf numFmtId="0" fontId="15" fillId="0" borderId="0" xfId="0" applyFont="1" applyFill="1" applyProtection="1">
      <protection locked="0"/>
    </xf>
    <xf numFmtId="0" fontId="21" fillId="17" borderId="0" xfId="0" applyFont="1" applyFill="1" applyAlignment="1" applyProtection="1">
      <alignment horizontal="center" vertical="center" wrapText="1"/>
    </xf>
    <xf numFmtId="173" fontId="21" fillId="17" borderId="0" xfId="0" applyNumberFormat="1" applyFont="1" applyFill="1" applyAlignment="1" applyProtection="1">
      <alignment horizontal="right" vertical="center" wrapText="1"/>
    </xf>
    <xf numFmtId="0" fontId="19" fillId="17" borderId="0" xfId="0" applyFont="1" applyFill="1" applyAlignment="1" applyProtection="1">
      <alignment horizontal="center" vertical="center" wrapText="1"/>
    </xf>
    <xf numFmtId="0" fontId="21" fillId="17" borderId="0" xfId="0" applyFont="1" applyFill="1" applyAlignment="1">
      <alignment horizontal="center" vertical="center" wrapText="1"/>
    </xf>
    <xf numFmtId="173" fontId="21" fillId="17" borderId="0" xfId="0" applyNumberFormat="1" applyFont="1" applyFill="1" applyAlignment="1">
      <alignment horizontal="right" vertical="center" wrapText="1"/>
    </xf>
    <xf numFmtId="0" fontId="26" fillId="17" borderId="0" xfId="0" applyFont="1" applyFill="1" applyAlignment="1">
      <alignment horizontal="center" vertical="center" wrapText="1"/>
    </xf>
    <xf numFmtId="173" fontId="26" fillId="17" borderId="0" xfId="0" applyNumberFormat="1" applyFont="1" applyFill="1" applyAlignment="1">
      <alignment horizontal="right" vertical="center" wrapText="1"/>
    </xf>
    <xf numFmtId="0" fontId="21" fillId="0" borderId="0" xfId="0" applyFont="1" applyAlignment="1" applyProtection="1">
      <alignment horizontal="left" vertical="center" wrapText="1"/>
    </xf>
    <xf numFmtId="173" fontId="21" fillId="0" borderId="0" xfId="0" applyNumberFormat="1" applyFont="1" applyAlignment="1" applyProtection="1">
      <alignment horizontal="right" vertical="center" wrapText="1"/>
    </xf>
    <xf numFmtId="0" fontId="27" fillId="0" borderId="0" xfId="0" applyFont="1"/>
    <xf numFmtId="167" fontId="1" fillId="11" borderId="1" xfId="0" applyNumberFormat="1" applyFont="1" applyFill="1" applyBorder="1" applyAlignment="1" applyProtection="1">
      <alignment horizontal="left" vertical="center" wrapText="1"/>
    </xf>
    <xf numFmtId="0" fontId="26" fillId="19" borderId="0" xfId="0" applyFont="1" applyFill="1" applyAlignment="1">
      <alignment horizontal="center" vertical="center" wrapText="1"/>
    </xf>
    <xf numFmtId="3" fontId="3" fillId="0" borderId="1" xfId="0" applyNumberFormat="1" applyFont="1" applyFill="1" applyBorder="1" applyAlignment="1" applyProtection="1">
      <alignment horizontal="right" vertical="top" wrapText="1"/>
    </xf>
    <xf numFmtId="0" fontId="21" fillId="19" borderId="0" xfId="0" applyFont="1" applyFill="1" applyAlignment="1">
      <alignment horizontal="center" vertical="center" wrapText="1"/>
    </xf>
    <xf numFmtId="0" fontId="21" fillId="0" borderId="0" xfId="0" applyFont="1" applyFill="1" applyAlignment="1">
      <alignment horizontal="center" vertical="center" wrapText="1"/>
    </xf>
    <xf numFmtId="172" fontId="1" fillId="11" borderId="1" xfId="7" applyNumberFormat="1" applyFont="1" applyFill="1" applyBorder="1" applyAlignment="1">
      <alignment horizontal="center" vertical="center"/>
    </xf>
    <xf numFmtId="168" fontId="1" fillId="5" borderId="1" xfId="0" applyNumberFormat="1" applyFont="1" applyFill="1" applyBorder="1" applyProtection="1"/>
    <xf numFmtId="3" fontId="1" fillId="0" borderId="20" xfId="0" applyNumberFormat="1" applyFont="1" applyBorder="1" applyAlignment="1">
      <alignment horizontal="center" vertical="center" wrapText="1"/>
    </xf>
    <xf numFmtId="0" fontId="2" fillId="10" borderId="15" xfId="0" applyFont="1" applyFill="1" applyBorder="1" applyAlignment="1">
      <alignment horizontal="left"/>
    </xf>
    <xf numFmtId="169" fontId="1" fillId="10" borderId="37" xfId="11" applyNumberFormat="1" applyFont="1" applyFill="1" applyBorder="1" applyAlignment="1">
      <alignment horizontal="right"/>
    </xf>
    <xf numFmtId="169" fontId="2" fillId="10" borderId="42" xfId="11" applyNumberFormat="1" applyFont="1" applyFill="1" applyBorder="1" applyAlignment="1">
      <alignment horizontal="right"/>
    </xf>
    <xf numFmtId="167" fontId="24" fillId="11" borderId="1" xfId="0" applyNumberFormat="1" applyFont="1" applyFill="1" applyBorder="1" applyAlignment="1">
      <alignment horizontal="left" vertical="center" wrapText="1"/>
    </xf>
    <xf numFmtId="168" fontId="24" fillId="11" borderId="1" xfId="0" applyNumberFormat="1" applyFont="1" applyFill="1" applyBorder="1" applyAlignment="1">
      <alignment horizontal="left" vertical="center" wrapText="1"/>
    </xf>
    <xf numFmtId="168" fontId="24" fillId="11" borderId="1" xfId="0" applyNumberFormat="1" applyFont="1" applyFill="1" applyBorder="1" applyAlignment="1">
      <alignment vertical="top" wrapText="1"/>
    </xf>
    <xf numFmtId="3" fontId="3" fillId="11" borderId="1" xfId="0" applyNumberFormat="1" applyFont="1" applyFill="1" applyBorder="1" applyAlignment="1">
      <alignment horizontal="right" vertical="top" wrapText="1"/>
    </xf>
    <xf numFmtId="168" fontId="24" fillId="11" borderId="1" xfId="0" applyNumberFormat="1" applyFont="1" applyFill="1" applyBorder="1" applyAlignment="1" applyProtection="1">
      <alignment vertical="top" wrapText="1"/>
    </xf>
    <xf numFmtId="3" fontId="3" fillId="11" borderId="1" xfId="0" applyNumberFormat="1" applyFont="1" applyFill="1" applyBorder="1"/>
    <xf numFmtId="168" fontId="24" fillId="11" borderId="1" xfId="0" quotePrefix="1" applyNumberFormat="1" applyFont="1" applyFill="1" applyBorder="1" applyAlignment="1">
      <alignment horizontal="left" vertical="center" wrapText="1"/>
    </xf>
    <xf numFmtId="49" fontId="24" fillId="11" borderId="1" xfId="0" applyNumberFormat="1" applyFont="1" applyFill="1" applyBorder="1" applyAlignment="1">
      <alignment horizontal="left" vertical="center" wrapText="1"/>
    </xf>
    <xf numFmtId="3" fontId="3" fillId="11" borderId="1" xfId="0" applyNumberFormat="1" applyFont="1" applyFill="1" applyBorder="1" applyAlignment="1">
      <alignment horizontal="right"/>
    </xf>
    <xf numFmtId="168" fontId="24" fillId="11" borderId="1" xfId="0" applyNumberFormat="1" applyFont="1" applyFill="1" applyBorder="1" applyAlignment="1">
      <alignment horizontal="right" vertical="center" wrapText="1"/>
    </xf>
    <xf numFmtId="168" fontId="24" fillId="11" borderId="1" xfId="0" applyNumberFormat="1" applyFont="1" applyFill="1" applyBorder="1" applyAlignment="1">
      <alignment horizontal="right" vertical="top" wrapText="1"/>
    </xf>
    <xf numFmtId="168" fontId="24" fillId="11" borderId="1" xfId="0" applyNumberFormat="1" applyFont="1" applyFill="1" applyBorder="1"/>
    <xf numFmtId="168" fontId="24" fillId="11" borderId="1" xfId="0" applyNumberFormat="1" applyFont="1" applyFill="1" applyBorder="1" applyAlignment="1">
      <alignment horizontal="center" vertical="center" wrapText="1"/>
    </xf>
    <xf numFmtId="49" fontId="24" fillId="11" borderId="1" xfId="0" applyNumberFormat="1" applyFont="1" applyFill="1" applyBorder="1" applyAlignment="1">
      <alignment horizontal="right" vertical="center" wrapText="1"/>
    </xf>
    <xf numFmtId="49" fontId="24" fillId="11" borderId="1" xfId="0" applyNumberFormat="1" applyFont="1" applyFill="1" applyBorder="1" applyAlignment="1">
      <alignment horizontal="right" vertical="top" wrapText="1"/>
    </xf>
    <xf numFmtId="0" fontId="2" fillId="10" borderId="44" xfId="0" applyFont="1" applyFill="1" applyBorder="1"/>
    <xf numFmtId="0" fontId="0" fillId="0" borderId="0" xfId="0" applyAlignment="1">
      <alignment horizontal="center"/>
    </xf>
    <xf numFmtId="0" fontId="18" fillId="0" borderId="0" xfId="0" applyFont="1" applyFill="1"/>
    <xf numFmtId="0" fontId="1" fillId="0" borderId="16" xfId="0" applyFont="1" applyFill="1" applyBorder="1" applyAlignment="1" applyProtection="1">
      <alignment horizontal="left" vertical="top" wrapText="1"/>
    </xf>
    <xf numFmtId="167" fontId="1" fillId="0" borderId="1" xfId="0" applyNumberFormat="1" applyFont="1" applyFill="1" applyBorder="1" applyAlignment="1" applyProtection="1">
      <alignment horizontal="left" vertical="center" wrapText="1"/>
    </xf>
    <xf numFmtId="3" fontId="1" fillId="0" borderId="22" xfId="0" applyNumberFormat="1" applyFont="1" applyBorder="1" applyAlignment="1">
      <alignment horizontal="center" vertical="center" wrapText="1"/>
    </xf>
    <xf numFmtId="3" fontId="24" fillId="5" borderId="1" xfId="0" applyNumberFormat="1" applyFont="1" applyFill="1" applyBorder="1" applyAlignment="1" applyProtection="1">
      <alignment horizontal="right" vertical="top" wrapText="1"/>
    </xf>
    <xf numFmtId="167" fontId="24" fillId="5" borderId="1" xfId="0" applyNumberFormat="1" applyFont="1" applyFill="1" applyBorder="1" applyAlignment="1" applyProtection="1">
      <alignment horizontal="left" vertical="top" wrapText="1"/>
    </xf>
    <xf numFmtId="168" fontId="24" fillId="5" borderId="1" xfId="0" applyNumberFormat="1" applyFont="1" applyFill="1" applyBorder="1" applyAlignment="1" applyProtection="1">
      <alignment horizontal="left" vertical="center" wrapText="1"/>
    </xf>
    <xf numFmtId="168" fontId="24" fillId="5" borderId="1" xfId="0" applyNumberFormat="1" applyFont="1" applyFill="1" applyBorder="1" applyAlignment="1" applyProtection="1">
      <alignment horizontal="center" vertical="center" wrapText="1"/>
    </xf>
    <xf numFmtId="172" fontId="24" fillId="5" borderId="1" xfId="7" applyNumberFormat="1" applyFont="1" applyFill="1" applyBorder="1" applyAlignment="1" applyProtection="1">
      <alignment horizontal="center" vertical="center" wrapText="1"/>
    </xf>
    <xf numFmtId="3" fontId="24" fillId="5" borderId="1" xfId="0" applyNumberFormat="1" applyFont="1" applyFill="1" applyBorder="1" applyAlignment="1">
      <alignment horizontal="right" vertical="top" wrapText="1"/>
    </xf>
    <xf numFmtId="168" fontId="24" fillId="5" borderId="1" xfId="0" applyNumberFormat="1" applyFont="1" applyFill="1" applyBorder="1" applyAlignment="1" applyProtection="1">
      <alignment vertical="top" wrapText="1"/>
    </xf>
    <xf numFmtId="167" fontId="24" fillId="5" borderId="1" xfId="0" applyNumberFormat="1" applyFont="1" applyFill="1" applyBorder="1" applyAlignment="1" applyProtection="1">
      <alignment horizontal="left" vertical="center" wrapText="1"/>
    </xf>
    <xf numFmtId="167" fontId="24" fillId="5" borderId="3" xfId="0" applyNumberFormat="1" applyFont="1" applyFill="1" applyBorder="1" applyAlignment="1" applyProtection="1">
      <alignment horizontal="left" vertical="center" wrapText="1"/>
    </xf>
    <xf numFmtId="168" fontId="24" fillId="5" borderId="3" xfId="0" applyNumberFormat="1" applyFont="1" applyFill="1" applyBorder="1" applyAlignment="1" applyProtection="1">
      <alignment horizontal="left" vertical="center" wrapText="1"/>
    </xf>
    <xf numFmtId="168" fontId="13" fillId="5" borderId="1" xfId="0" applyNumberFormat="1" applyFont="1" applyFill="1" applyBorder="1" applyAlignment="1" applyProtection="1">
      <alignment vertical="top" wrapText="1"/>
    </xf>
    <xf numFmtId="3" fontId="1" fillId="0" borderId="9" xfId="0" applyNumberFormat="1" applyFont="1" applyBorder="1" applyAlignment="1">
      <alignment horizontal="center" vertical="center" wrapText="1"/>
    </xf>
    <xf numFmtId="3" fontId="0" fillId="11" borderId="0" xfId="0" applyNumberFormat="1" applyFill="1"/>
    <xf numFmtId="168" fontId="3" fillId="0" borderId="1" xfId="0" applyNumberFormat="1" applyFont="1" applyFill="1" applyBorder="1" applyAlignment="1" applyProtection="1">
      <alignment horizontal="left" vertical="center" wrapText="1"/>
    </xf>
    <xf numFmtId="168" fontId="24" fillId="5" borderId="1" xfId="0"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left" vertical="center" wrapText="1"/>
    </xf>
    <xf numFmtId="168" fontId="3" fillId="0" borderId="1" xfId="0" applyNumberFormat="1" applyFont="1" applyFill="1" applyBorder="1" applyAlignment="1" applyProtection="1">
      <alignment horizontal="right" vertical="center" wrapText="1"/>
    </xf>
    <xf numFmtId="3" fontId="2" fillId="5" borderId="2" xfId="0" applyNumberFormat="1" applyFont="1" applyFill="1" applyBorder="1"/>
    <xf numFmtId="0" fontId="31" fillId="0" borderId="16" xfId="0" applyFont="1" applyFill="1" applyBorder="1" applyAlignment="1" applyProtection="1">
      <alignment horizontal="left" vertical="top" wrapText="1"/>
    </xf>
    <xf numFmtId="0" fontId="0" fillId="11" borderId="0" xfId="0" applyFill="1"/>
    <xf numFmtId="170" fontId="1" fillId="10" borderId="11" xfId="0" applyNumberFormat="1" applyFont="1" applyFill="1" applyBorder="1" applyAlignment="1">
      <alignment horizontal="center"/>
    </xf>
    <xf numFmtId="3" fontId="1" fillId="10" borderId="0" xfId="0" applyNumberFormat="1" applyFont="1" applyFill="1" applyBorder="1" applyAlignment="1">
      <alignment horizontal="center" vertical="center"/>
    </xf>
    <xf numFmtId="170" fontId="1" fillId="10" borderId="0" xfId="0" applyNumberFormat="1" applyFont="1" applyFill="1" applyBorder="1" applyAlignment="1">
      <alignment horizontal="center"/>
    </xf>
    <xf numFmtId="0" fontId="1" fillId="11" borderId="0" xfId="0" applyFont="1" applyFill="1" applyAlignment="1">
      <alignment horizontal="left"/>
    </xf>
    <xf numFmtId="167" fontId="1" fillId="11" borderId="0" xfId="0" applyNumberFormat="1" applyFont="1" applyFill="1" applyAlignment="1">
      <alignment horizontal="left" vertical="center"/>
    </xf>
    <xf numFmtId="168" fontId="1" fillId="11" borderId="0" xfId="0" applyNumberFormat="1" applyFont="1" applyFill="1" applyAlignment="1">
      <alignment horizontal="left" vertical="center"/>
    </xf>
    <xf numFmtId="168" fontId="1" fillId="11" borderId="0" xfId="0" applyNumberFormat="1" applyFont="1" applyFill="1"/>
    <xf numFmtId="3" fontId="1" fillId="11" borderId="0" xfId="0" applyNumberFormat="1" applyFont="1" applyFill="1" applyAlignment="1">
      <alignment horizontal="right"/>
    </xf>
    <xf numFmtId="3" fontId="1" fillId="11" borderId="0" xfId="0" applyNumberFormat="1" applyFont="1" applyFill="1" applyBorder="1"/>
    <xf numFmtId="0" fontId="2" fillId="11" borderId="0" xfId="0" applyFont="1" applyFill="1"/>
    <xf numFmtId="0" fontId="18" fillId="11" borderId="0" xfId="0" applyFont="1" applyFill="1"/>
    <xf numFmtId="0" fontId="1" fillId="11" borderId="0" xfId="0" applyFont="1" applyFill="1" applyBorder="1" applyAlignment="1">
      <alignment horizontal="left"/>
    </xf>
    <xf numFmtId="167" fontId="1" fillId="11" borderId="0" xfId="0" applyNumberFormat="1" applyFont="1" applyFill="1" applyBorder="1" applyAlignment="1">
      <alignment horizontal="left" vertical="center"/>
    </xf>
    <xf numFmtId="168" fontId="1" fillId="11" borderId="0" xfId="0" applyNumberFormat="1" applyFont="1" applyFill="1" applyBorder="1" applyAlignment="1">
      <alignment horizontal="left" vertical="center"/>
    </xf>
    <xf numFmtId="168" fontId="1" fillId="11" borderId="0" xfId="0" applyNumberFormat="1" applyFont="1" applyFill="1" applyBorder="1"/>
    <xf numFmtId="0" fontId="0" fillId="11" borderId="0" xfId="0" applyFill="1" applyAlignment="1">
      <alignment horizontal="left"/>
    </xf>
    <xf numFmtId="172" fontId="3" fillId="11" borderId="23" xfId="7" applyNumberFormat="1" applyFont="1" applyFill="1" applyBorder="1" applyAlignment="1">
      <alignment horizontal="center" vertical="center" wrapText="1"/>
    </xf>
    <xf numFmtId="3" fontId="3" fillId="11" borderId="16" xfId="0" applyNumberFormat="1" applyFont="1" applyFill="1" applyBorder="1" applyAlignment="1">
      <alignment horizontal="right" vertical="top" wrapText="1"/>
    </xf>
    <xf numFmtId="3" fontId="3" fillId="11" borderId="16" xfId="0" applyNumberFormat="1" applyFont="1" applyFill="1" applyBorder="1"/>
    <xf numFmtId="0" fontId="24" fillId="11" borderId="16" xfId="0" applyFont="1" applyFill="1" applyBorder="1" applyAlignment="1">
      <alignment horizontal="left" vertical="top" wrapText="1"/>
    </xf>
    <xf numFmtId="41" fontId="0" fillId="0" borderId="0" xfId="14" applyFont="1"/>
    <xf numFmtId="3" fontId="2" fillId="5" borderId="1" xfId="0" applyNumberFormat="1" applyFont="1" applyFill="1" applyBorder="1" applyAlignment="1">
      <alignment horizontal="right" vertical="top"/>
    </xf>
    <xf numFmtId="0" fontId="1" fillId="0" borderId="0" xfId="0" applyFont="1" applyAlignment="1">
      <alignment horizontal="left" vertical="top"/>
    </xf>
    <xf numFmtId="167" fontId="1" fillId="0" borderId="0" xfId="0" applyNumberFormat="1" applyFont="1" applyAlignment="1">
      <alignment horizontal="left" vertical="top"/>
    </xf>
    <xf numFmtId="168" fontId="1" fillId="0" borderId="0" xfId="0" applyNumberFormat="1" applyFont="1" applyAlignment="1">
      <alignment vertical="top"/>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horizontal="right" vertical="top"/>
    </xf>
    <xf numFmtId="3" fontId="1" fillId="0" borderId="0" xfId="0" applyNumberFormat="1" applyFont="1" applyFill="1" applyAlignment="1">
      <alignment vertical="top"/>
    </xf>
    <xf numFmtId="0" fontId="1" fillId="0" borderId="0" xfId="0" applyFont="1" applyFill="1" applyAlignment="1">
      <alignment vertical="top"/>
    </xf>
    <xf numFmtId="41" fontId="1" fillId="0" borderId="0" xfId="14" applyFont="1" applyFill="1" applyAlignment="1">
      <alignment vertical="top"/>
    </xf>
    <xf numFmtId="0" fontId="1" fillId="0" borderId="0" xfId="0" applyFont="1" applyFill="1" applyBorder="1" applyAlignment="1">
      <alignment vertical="top"/>
    </xf>
    <xf numFmtId="0" fontId="4" fillId="8" borderId="12" xfId="0" applyNumberFormat="1" applyFont="1" applyFill="1" applyBorder="1" applyAlignment="1" applyProtection="1">
      <alignment horizontal="center" vertical="top"/>
    </xf>
    <xf numFmtId="0" fontId="4" fillId="8" borderId="9" xfId="0" applyFont="1" applyFill="1" applyBorder="1" applyAlignment="1" applyProtection="1">
      <alignment horizontal="center" vertical="top"/>
    </xf>
    <xf numFmtId="0" fontId="4" fillId="8" borderId="10" xfId="0" applyFont="1" applyFill="1" applyBorder="1" applyAlignment="1" applyProtection="1">
      <alignment horizontal="center" vertical="top"/>
    </xf>
    <xf numFmtId="0" fontId="2" fillId="0" borderId="0" xfId="0" applyFont="1" applyFill="1" applyAlignment="1">
      <alignment vertical="top"/>
    </xf>
    <xf numFmtId="167" fontId="12" fillId="0" borderId="1" xfId="0" applyNumberFormat="1" applyFont="1" applyFill="1" applyBorder="1" applyAlignment="1" applyProtection="1">
      <alignment horizontal="left" vertical="top" wrapText="1"/>
    </xf>
    <xf numFmtId="168" fontId="12" fillId="0" borderId="1" xfId="0" applyNumberFormat="1" applyFont="1" applyFill="1" applyBorder="1" applyAlignment="1" applyProtection="1">
      <alignment horizontal="left" vertical="top" wrapText="1"/>
    </xf>
    <xf numFmtId="167" fontId="13" fillId="5" borderId="1" xfId="0" applyNumberFormat="1" applyFont="1" applyFill="1" applyBorder="1" applyAlignment="1" applyProtection="1">
      <alignment horizontal="left" vertical="top" wrapText="1"/>
    </xf>
    <xf numFmtId="3" fontId="1" fillId="0" borderId="1" xfId="0" applyNumberFormat="1" applyFont="1" applyFill="1" applyBorder="1" applyAlignment="1">
      <alignment vertical="top"/>
    </xf>
    <xf numFmtId="3" fontId="24" fillId="5" borderId="1" xfId="0" applyNumberFormat="1" applyFont="1" applyFill="1" applyBorder="1" applyAlignment="1">
      <alignment vertical="top"/>
    </xf>
    <xf numFmtId="3" fontId="2" fillId="5" borderId="1" xfId="0" applyNumberFormat="1" applyFont="1" applyFill="1" applyBorder="1" applyAlignment="1">
      <alignment vertical="top"/>
    </xf>
    <xf numFmtId="168" fontId="3" fillId="0" borderId="1" xfId="0" applyNumberFormat="1" applyFont="1" applyFill="1" applyBorder="1" applyAlignment="1" applyProtection="1">
      <alignment horizontal="center" vertical="top" wrapText="1"/>
    </xf>
    <xf numFmtId="168" fontId="2" fillId="5" borderId="1" xfId="0" applyNumberFormat="1" applyFont="1" applyFill="1" applyBorder="1" applyAlignment="1" applyProtection="1">
      <alignment horizontal="center" vertical="top" wrapText="1"/>
    </xf>
    <xf numFmtId="168" fontId="1" fillId="0" borderId="1" xfId="0" applyNumberFormat="1" applyFont="1" applyFill="1" applyBorder="1" applyAlignment="1" applyProtection="1">
      <alignment horizontal="center" vertical="top" wrapText="1"/>
    </xf>
    <xf numFmtId="0" fontId="1" fillId="0" borderId="0" xfId="0" applyFont="1" applyBorder="1" applyAlignment="1">
      <alignment horizontal="left" vertical="top"/>
    </xf>
    <xf numFmtId="167" fontId="1" fillId="0" borderId="0" xfId="0" applyNumberFormat="1" applyFont="1" applyBorder="1" applyAlignment="1">
      <alignment horizontal="left" vertical="top"/>
    </xf>
    <xf numFmtId="168" fontId="1" fillId="0" borderId="0" xfId="0" applyNumberFormat="1" applyFont="1" applyBorder="1" applyAlignment="1">
      <alignment vertical="top"/>
    </xf>
    <xf numFmtId="0" fontId="1" fillId="0" borderId="0" xfId="0" applyFont="1" applyBorder="1" applyAlignment="1">
      <alignment vertical="top"/>
    </xf>
    <xf numFmtId="3" fontId="1" fillId="0" borderId="0" xfId="0" applyNumberFormat="1" applyFont="1" applyBorder="1" applyAlignment="1">
      <alignment vertical="top"/>
    </xf>
    <xf numFmtId="3" fontId="1" fillId="0" borderId="0" xfId="0" applyNumberFormat="1" applyFont="1" applyBorder="1" applyAlignment="1">
      <alignment horizontal="right" vertical="top"/>
    </xf>
    <xf numFmtId="0" fontId="23" fillId="0" borderId="0" xfId="0" applyFont="1" applyAlignment="1">
      <alignment vertical="top"/>
    </xf>
    <xf numFmtId="0" fontId="2" fillId="8" borderId="9" xfId="0" applyFont="1" applyFill="1" applyBorder="1" applyAlignment="1" applyProtection="1">
      <alignment horizontal="center"/>
    </xf>
    <xf numFmtId="0" fontId="33" fillId="11" borderId="13" xfId="2" applyFont="1" applyFill="1" applyBorder="1" applyAlignment="1"/>
    <xf numFmtId="167" fontId="33" fillId="11" borderId="25" xfId="2" applyNumberFormat="1" applyFont="1" applyFill="1" applyBorder="1" applyAlignment="1"/>
    <xf numFmtId="168" fontId="33" fillId="11" borderId="25" xfId="2" applyNumberFormat="1" applyFont="1" applyFill="1" applyBorder="1" applyAlignment="1"/>
    <xf numFmtId="0" fontId="12" fillId="10" borderId="0" xfId="0" applyFont="1" applyFill="1" applyAlignment="1">
      <alignment horizontal="right"/>
    </xf>
    <xf numFmtId="0" fontId="2" fillId="10" borderId="19" xfId="0" applyFont="1" applyFill="1" applyBorder="1" applyAlignment="1"/>
    <xf numFmtId="0" fontId="2" fillId="10" borderId="18" xfId="0" applyFont="1" applyFill="1" applyBorder="1" applyAlignment="1"/>
    <xf numFmtId="0" fontId="2" fillId="10" borderId="35" xfId="0" applyFont="1" applyFill="1" applyBorder="1" applyAlignment="1"/>
    <xf numFmtId="0" fontId="2" fillId="10" borderId="16" xfId="0" applyFont="1" applyFill="1" applyBorder="1" applyAlignment="1"/>
    <xf numFmtId="0" fontId="2" fillId="10" borderId="1" xfId="0" applyFont="1" applyFill="1" applyBorder="1" applyAlignment="1"/>
    <xf numFmtId="0" fontId="2" fillId="10" borderId="36" xfId="0" applyFont="1" applyFill="1" applyBorder="1" applyAlignment="1"/>
    <xf numFmtId="0" fontId="35" fillId="11" borderId="0" xfId="0" applyFont="1" applyFill="1"/>
    <xf numFmtId="0" fontId="0" fillId="0" borderId="0" xfId="0" applyAlignment="1">
      <alignment horizontal="center"/>
    </xf>
    <xf numFmtId="41" fontId="1" fillId="11" borderId="0" xfId="14" applyFont="1" applyFill="1"/>
    <xf numFmtId="9" fontId="1" fillId="11" borderId="0" xfId="7" applyFont="1" applyFill="1" applyAlignment="1">
      <alignment horizontal="center"/>
    </xf>
    <xf numFmtId="9" fontId="1" fillId="10" borderId="0" xfId="7" applyFont="1" applyFill="1" applyBorder="1" applyAlignment="1">
      <alignment horizontal="center"/>
    </xf>
    <xf numFmtId="41" fontId="1" fillId="11" borderId="0" xfId="14" applyFont="1" applyFill="1" applyAlignment="1">
      <alignment horizontal="right"/>
    </xf>
    <xf numFmtId="41" fontId="1" fillId="10" borderId="0" xfId="14" applyFont="1" applyFill="1" applyBorder="1" applyAlignment="1">
      <alignment horizontal="right"/>
    </xf>
    <xf numFmtId="3" fontId="1" fillId="0" borderId="2" xfId="0" applyNumberFormat="1" applyFont="1" applyFill="1" applyBorder="1" applyAlignment="1" applyProtection="1">
      <alignment horizontal="right" vertical="top" wrapText="1"/>
    </xf>
    <xf numFmtId="3" fontId="2" fillId="5" borderId="2" xfId="0" applyNumberFormat="1" applyFont="1" applyFill="1" applyBorder="1" applyAlignment="1">
      <alignment horizontal="right" vertical="top" wrapText="1"/>
    </xf>
    <xf numFmtId="3" fontId="3" fillId="0" borderId="2" xfId="0" applyNumberFormat="1" applyFont="1" applyFill="1" applyBorder="1" applyAlignment="1" applyProtection="1">
      <alignment horizontal="right" vertical="top" wrapText="1"/>
    </xf>
    <xf numFmtId="3" fontId="2" fillId="5" borderId="2" xfId="0" applyNumberFormat="1" applyFont="1" applyFill="1" applyBorder="1" applyAlignment="1" applyProtection="1">
      <alignment horizontal="right" vertical="top" wrapText="1"/>
    </xf>
    <xf numFmtId="3" fontId="1" fillId="0" borderId="32" xfId="0" applyNumberFormat="1" applyFont="1" applyBorder="1" applyAlignment="1">
      <alignment horizontal="center" vertical="center" wrapText="1"/>
    </xf>
    <xf numFmtId="0" fontId="37" fillId="17" borderId="0" xfId="0" applyFont="1" applyFill="1" applyAlignment="1" applyProtection="1">
      <alignment horizontal="center" vertical="center" wrapText="1"/>
    </xf>
    <xf numFmtId="167" fontId="24" fillId="5" borderId="1" xfId="0" applyNumberFormat="1" applyFont="1" applyFill="1" applyBorder="1" applyAlignment="1" applyProtection="1">
      <alignment horizontal="left" vertical="center"/>
    </xf>
    <xf numFmtId="168" fontId="24" fillId="5" borderId="1" xfId="0" applyNumberFormat="1" applyFont="1" applyFill="1" applyBorder="1" applyAlignment="1" applyProtection="1">
      <alignment horizontal="left" vertical="center"/>
    </xf>
    <xf numFmtId="171" fontId="1" fillId="0" borderId="0" xfId="8" applyNumberFormat="1" applyFont="1" applyFill="1" applyBorder="1" applyAlignment="1" applyProtection="1">
      <protection locked="0"/>
    </xf>
    <xf numFmtId="3" fontId="1" fillId="0" borderId="0" xfId="7" applyNumberFormat="1" applyFont="1" applyProtection="1">
      <protection locked="0"/>
    </xf>
    <xf numFmtId="3" fontId="2" fillId="8" borderId="9" xfId="7" applyNumberFormat="1" applyFont="1" applyFill="1" applyBorder="1" applyAlignment="1" applyProtection="1">
      <alignment horizontal="center"/>
    </xf>
    <xf numFmtId="3" fontId="3" fillId="0" borderId="1" xfId="7" applyNumberFormat="1" applyFont="1" applyFill="1" applyBorder="1" applyAlignment="1" applyProtection="1">
      <alignment horizontal="right" vertical="center" wrapText="1"/>
    </xf>
    <xf numFmtId="3" fontId="24" fillId="5" borderId="1" xfId="7" applyNumberFormat="1" applyFont="1" applyFill="1" applyBorder="1" applyAlignment="1" applyProtection="1">
      <alignment horizontal="right" vertical="center" wrapText="1"/>
    </xf>
    <xf numFmtId="3" fontId="24" fillId="5" borderId="1" xfId="7" applyNumberFormat="1" applyFont="1" applyFill="1" applyBorder="1" applyAlignment="1" applyProtection="1">
      <alignment horizontal="right" vertical="center"/>
    </xf>
    <xf numFmtId="3" fontId="24" fillId="5" borderId="18" xfId="7" applyNumberFormat="1" applyFont="1" applyFill="1" applyBorder="1" applyAlignment="1" applyProtection="1">
      <alignment horizontal="right" vertical="center" wrapText="1"/>
    </xf>
    <xf numFmtId="3" fontId="24" fillId="5" borderId="3" xfId="7" applyNumberFormat="1" applyFont="1" applyFill="1" applyBorder="1" applyAlignment="1" applyProtection="1">
      <alignment horizontal="right" vertical="center" wrapText="1"/>
    </xf>
    <xf numFmtId="172" fontId="24" fillId="5" borderId="1" xfId="2" applyNumberFormat="1" applyFont="1" applyFill="1" applyBorder="1" applyAlignment="1" applyProtection="1">
      <alignment horizontal="center" vertical="center" wrapText="1"/>
    </xf>
    <xf numFmtId="3" fontId="1" fillId="0" borderId="0" xfId="0" applyNumberFormat="1" applyFont="1" applyAlignment="1" applyProtection="1">
      <alignment horizontal="center"/>
      <protection locked="0"/>
    </xf>
    <xf numFmtId="41" fontId="1" fillId="0" borderId="0" xfId="14" applyFont="1" applyFill="1" applyProtection="1">
      <protection locked="0"/>
    </xf>
    <xf numFmtId="3" fontId="1" fillId="0" borderId="0" xfId="0" applyNumberFormat="1" applyFont="1" applyAlignment="1" applyProtection="1">
      <alignment horizontal="center" wrapText="1"/>
      <protection locked="0"/>
    </xf>
    <xf numFmtId="3" fontId="1" fillId="0" borderId="0" xfId="0" applyNumberFormat="1" applyFont="1" applyAlignment="1" applyProtection="1">
      <alignment horizontal="right" wrapText="1"/>
      <protection locked="0"/>
    </xf>
    <xf numFmtId="3" fontId="1" fillId="0" borderId="0" xfId="0" applyNumberFormat="1" applyFont="1" applyAlignment="1" applyProtection="1">
      <alignment wrapText="1"/>
      <protection locked="0"/>
    </xf>
    <xf numFmtId="172" fontId="24" fillId="5" borderId="3" xfId="2" applyNumberFormat="1" applyFont="1" applyFill="1" applyBorder="1" applyAlignment="1" applyProtection="1">
      <alignment horizontal="center" vertical="center" wrapText="1"/>
    </xf>
    <xf numFmtId="3" fontId="2" fillId="5" borderId="36" xfId="0" applyNumberFormat="1" applyFont="1" applyFill="1" applyBorder="1"/>
    <xf numFmtId="41" fontId="1" fillId="0" borderId="0" xfId="14" applyFont="1" applyFill="1"/>
    <xf numFmtId="41" fontId="22" fillId="0" borderId="0" xfId="14" applyFont="1"/>
    <xf numFmtId="3" fontId="1" fillId="0" borderId="2" xfId="0" applyNumberFormat="1" applyFont="1" applyFill="1" applyBorder="1" applyAlignment="1">
      <alignment horizontal="right" vertical="top" wrapText="1"/>
    </xf>
    <xf numFmtId="3" fontId="2" fillId="5" borderId="16" xfId="0" applyNumberFormat="1" applyFont="1" applyFill="1" applyBorder="1"/>
    <xf numFmtId="3" fontId="2" fillId="5" borderId="36" xfId="0" applyNumberFormat="1" applyFont="1" applyFill="1" applyBorder="1" applyAlignment="1" applyProtection="1">
      <alignment horizontal="right" vertical="top" wrapText="1"/>
    </xf>
    <xf numFmtId="173" fontId="19" fillId="17" borderId="0" xfId="0" applyNumberFormat="1" applyFont="1" applyFill="1" applyAlignment="1" applyProtection="1">
      <alignment horizontal="right" vertical="center"/>
    </xf>
    <xf numFmtId="0" fontId="26" fillId="19" borderId="0" xfId="0" applyFont="1" applyFill="1" applyAlignment="1">
      <alignment horizontal="center" vertical="center"/>
    </xf>
    <xf numFmtId="0" fontId="15" fillId="0" borderId="0" xfId="0" applyFont="1" applyBorder="1" applyAlignment="1" applyProtection="1">
      <alignment horizontal="left"/>
      <protection locked="0"/>
    </xf>
    <xf numFmtId="167" fontId="15" fillId="0" borderId="0" xfId="0" applyNumberFormat="1" applyFont="1" applyBorder="1" applyAlignment="1" applyProtection="1">
      <alignment horizontal="left" vertical="center"/>
      <protection locked="0"/>
    </xf>
    <xf numFmtId="168" fontId="15" fillId="0" borderId="0" xfId="0" applyNumberFormat="1" applyFont="1" applyBorder="1" applyAlignment="1" applyProtection="1">
      <alignment horizontal="left" vertical="center"/>
      <protection locked="0"/>
    </xf>
    <xf numFmtId="168" fontId="15" fillId="0" borderId="0" xfId="0" applyNumberFormat="1" applyFont="1" applyBorder="1" applyProtection="1">
      <protection locked="0"/>
    </xf>
    <xf numFmtId="3" fontId="15" fillId="0" borderId="0" xfId="0" applyNumberFormat="1" applyFont="1" applyBorder="1" applyProtection="1">
      <protection locked="0"/>
    </xf>
    <xf numFmtId="3" fontId="15" fillId="0" borderId="0" xfId="0" applyNumberFormat="1" applyFont="1" applyBorder="1" applyAlignment="1" applyProtection="1">
      <alignment horizontal="right"/>
      <protection locked="0"/>
    </xf>
    <xf numFmtId="41" fontId="2" fillId="5" borderId="1" xfId="14" applyFont="1" applyFill="1" applyBorder="1" applyAlignment="1" applyProtection="1">
      <alignment horizontal="center" vertical="top" wrapText="1"/>
    </xf>
    <xf numFmtId="41" fontId="1" fillId="11" borderId="1" xfId="14" applyFont="1" applyFill="1" applyBorder="1" applyAlignment="1">
      <alignment horizontal="right" vertical="center"/>
    </xf>
    <xf numFmtId="3" fontId="3" fillId="11" borderId="3" xfId="0" applyNumberFormat="1" applyFont="1" applyFill="1" applyBorder="1" applyAlignment="1">
      <alignment horizontal="right" vertical="top" wrapText="1"/>
    </xf>
    <xf numFmtId="3" fontId="1" fillId="11" borderId="0" xfId="0" applyNumberFormat="1" applyFont="1" applyFill="1" applyBorder="1" applyAlignment="1">
      <alignment horizontal="left"/>
    </xf>
    <xf numFmtId="172" fontId="3" fillId="11" borderId="1" xfId="7" applyNumberFormat="1" applyFont="1" applyFill="1" applyBorder="1" applyAlignment="1">
      <alignment horizontal="center" vertical="center" wrapText="1"/>
    </xf>
    <xf numFmtId="41" fontId="3" fillId="11" borderId="1" xfId="14" applyFont="1" applyFill="1" applyBorder="1" applyAlignment="1">
      <alignment vertical="center" wrapText="1"/>
    </xf>
    <xf numFmtId="0" fontId="1" fillId="0" borderId="0" xfId="0" applyFont="1" applyFill="1" applyAlignment="1">
      <alignment horizontal="left"/>
    </xf>
    <xf numFmtId="3" fontId="35" fillId="11" borderId="0" xfId="0" applyNumberFormat="1" applyFont="1" applyFill="1" applyBorder="1"/>
    <xf numFmtId="3" fontId="1" fillId="11" borderId="16" xfId="0" applyNumberFormat="1" applyFont="1" applyFill="1" applyBorder="1"/>
    <xf numFmtId="3" fontId="3" fillId="11" borderId="16" xfId="0" applyNumberFormat="1" applyFont="1" applyFill="1" applyBorder="1" applyAlignment="1">
      <alignment horizontal="right"/>
    </xf>
    <xf numFmtId="3" fontId="1" fillId="11" borderId="19" xfId="0" applyNumberFormat="1" applyFont="1" applyFill="1" applyBorder="1"/>
    <xf numFmtId="3" fontId="1" fillId="11" borderId="18" xfId="0" applyNumberFormat="1" applyFont="1" applyFill="1" applyBorder="1"/>
    <xf numFmtId="41" fontId="1" fillId="11" borderId="18" xfId="14" applyFont="1" applyFill="1" applyBorder="1" applyAlignment="1">
      <alignment horizontal="right" vertical="center"/>
    </xf>
    <xf numFmtId="172" fontId="1" fillId="11" borderId="18" xfId="7" applyNumberFormat="1" applyFont="1" applyFill="1" applyBorder="1" applyAlignment="1">
      <alignment horizontal="center" vertical="center"/>
    </xf>
    <xf numFmtId="3" fontId="2" fillId="8" borderId="41" xfId="0" applyNumberFormat="1" applyFont="1" applyFill="1" applyBorder="1" applyAlignment="1">
      <alignment horizontal="center" vertical="center" wrapText="1"/>
    </xf>
    <xf numFmtId="0" fontId="17" fillId="13" borderId="19" xfId="2" applyFont="1" applyFill="1" applyBorder="1" applyAlignment="1">
      <alignment vertical="center"/>
    </xf>
    <xf numFmtId="167" fontId="17" fillId="13" borderId="18" xfId="2" applyNumberFormat="1" applyFont="1" applyFill="1" applyBorder="1" applyAlignment="1">
      <alignment vertical="center"/>
    </xf>
    <xf numFmtId="168" fontId="17" fillId="13" borderId="18" xfId="2" applyNumberFormat="1" applyFont="1" applyFill="1" applyBorder="1" applyAlignment="1">
      <alignment vertical="center"/>
    </xf>
    <xf numFmtId="3" fontId="17" fillId="13" borderId="18" xfId="2" applyNumberFormat="1" applyFont="1" applyFill="1" applyBorder="1" applyAlignment="1">
      <alignment vertical="center"/>
    </xf>
    <xf numFmtId="172" fontId="17" fillId="13" borderId="26" xfId="2" applyNumberFormat="1" applyFont="1" applyFill="1" applyBorder="1" applyAlignment="1">
      <alignment horizontal="center" vertical="center"/>
    </xf>
    <xf numFmtId="3" fontId="3" fillId="11" borderId="0" xfId="8" applyNumberFormat="1" applyFont="1" applyFill="1" applyBorder="1"/>
    <xf numFmtId="168" fontId="3" fillId="11" borderId="1" xfId="0" applyNumberFormat="1" applyFont="1" applyFill="1" applyBorder="1" applyAlignment="1" applyProtection="1">
      <alignment vertical="top" wrapText="1"/>
    </xf>
    <xf numFmtId="3" fontId="3" fillId="11" borderId="1" xfId="0" applyNumberFormat="1" applyFont="1" applyFill="1" applyBorder="1" applyAlignment="1">
      <alignment horizontal="right" vertical="top"/>
    </xf>
    <xf numFmtId="168" fontId="24" fillId="11" borderId="1" xfId="0" applyNumberFormat="1" applyFont="1" applyFill="1" applyBorder="1" applyAlignment="1" applyProtection="1">
      <alignment horizontal="right" vertical="top" wrapText="1"/>
    </xf>
    <xf numFmtId="49" fontId="24" fillId="11" borderId="1" xfId="0" applyNumberFormat="1" applyFont="1" applyFill="1" applyBorder="1" applyAlignment="1" applyProtection="1">
      <alignment vertical="top" wrapText="1"/>
    </xf>
    <xf numFmtId="167" fontId="1" fillId="0" borderId="0" xfId="0" applyNumberFormat="1" applyFont="1" applyFill="1" applyAlignment="1">
      <alignment horizontal="left" vertical="center"/>
    </xf>
    <xf numFmtId="168" fontId="1" fillId="0" borderId="0" xfId="0" applyNumberFormat="1" applyFont="1" applyFill="1" applyAlignment="1">
      <alignment horizontal="left" vertical="center"/>
    </xf>
    <xf numFmtId="168" fontId="1" fillId="0" borderId="0" xfId="0" applyNumberFormat="1" applyFont="1" applyFill="1"/>
    <xf numFmtId="0" fontId="0" fillId="0" borderId="0" xfId="0" pivotButton="1"/>
    <xf numFmtId="3" fontId="1" fillId="21" borderId="30" xfId="0" applyNumberFormat="1" applyFont="1" applyFill="1" applyBorder="1"/>
    <xf numFmtId="0" fontId="2" fillId="21" borderId="52" xfId="0" applyFont="1" applyFill="1" applyBorder="1" applyAlignment="1">
      <alignment horizontal="center" vertical="center"/>
    </xf>
    <xf numFmtId="41" fontId="1" fillId="11" borderId="52" xfId="14" applyFont="1" applyFill="1" applyBorder="1"/>
    <xf numFmtId="3" fontId="12" fillId="21" borderId="27" xfId="0" applyNumberFormat="1" applyFont="1" applyFill="1" applyBorder="1"/>
    <xf numFmtId="3" fontId="1" fillId="11" borderId="9" xfId="0" applyNumberFormat="1" applyFont="1" applyFill="1" applyBorder="1"/>
    <xf numFmtId="0" fontId="0" fillId="0" borderId="0" xfId="0" applyNumberFormat="1"/>
    <xf numFmtId="41" fontId="0" fillId="0" borderId="0" xfId="0" applyNumberFormat="1"/>
    <xf numFmtId="172" fontId="1" fillId="11" borderId="26" xfId="7" applyNumberFormat="1" applyFont="1" applyFill="1" applyBorder="1" applyAlignment="1">
      <alignment horizontal="center" vertical="center"/>
    </xf>
    <xf numFmtId="0" fontId="26" fillId="5" borderId="0" xfId="0" applyFont="1" applyFill="1" applyAlignment="1">
      <alignment horizontal="center" vertical="center"/>
    </xf>
    <xf numFmtId="0" fontId="21" fillId="19" borderId="0" xfId="0" applyFont="1" applyFill="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173" fontId="26" fillId="0" borderId="0" xfId="0" applyNumberFormat="1" applyFont="1" applyAlignment="1">
      <alignment horizontal="right" vertical="center"/>
    </xf>
    <xf numFmtId="173" fontId="26" fillId="5" borderId="0" xfId="0" applyNumberFormat="1" applyFont="1" applyFill="1" applyAlignment="1">
      <alignment horizontal="right" vertical="center"/>
    </xf>
    <xf numFmtId="0" fontId="21" fillId="0" borderId="0" xfId="0" applyFont="1" applyAlignment="1">
      <alignment horizontal="center" vertical="center"/>
    </xf>
    <xf numFmtId="0" fontId="21" fillId="0" borderId="0" xfId="0" applyFont="1" applyAlignment="1">
      <alignment horizontal="left" vertical="center"/>
    </xf>
    <xf numFmtId="173" fontId="21" fillId="0" borderId="0" xfId="0" applyNumberFormat="1" applyFont="1" applyAlignment="1">
      <alignment horizontal="right" vertical="center"/>
    </xf>
    <xf numFmtId="0" fontId="32" fillId="0" borderId="0" xfId="0" applyFont="1" applyFill="1" applyAlignment="1">
      <alignment vertical="top"/>
    </xf>
    <xf numFmtId="0" fontId="21" fillId="19" borderId="0" xfId="0" applyFont="1" applyFill="1" applyAlignment="1" applyProtection="1">
      <alignment horizontal="center" vertical="center" wrapText="1"/>
    </xf>
    <xf numFmtId="0" fontId="21" fillId="17" borderId="0" xfId="0" applyFont="1" applyFill="1" applyAlignment="1" applyProtection="1">
      <alignment horizontal="left" vertical="center" wrapText="1"/>
    </xf>
    <xf numFmtId="3" fontId="17" fillId="13" borderId="6" xfId="2" applyNumberFormat="1" applyFont="1" applyFill="1" applyBorder="1" applyAlignment="1" applyProtection="1">
      <alignment horizontal="right" vertical="center" wrapText="1"/>
    </xf>
    <xf numFmtId="0" fontId="4" fillId="0" borderId="0" xfId="0" applyFont="1" applyFill="1" applyAlignment="1" applyProtection="1">
      <alignment vertical="center" wrapText="1"/>
      <protection locked="0"/>
    </xf>
    <xf numFmtId="0" fontId="5" fillId="14" borderId="10" xfId="0" applyFont="1" applyFill="1" applyBorder="1" applyAlignment="1" applyProtection="1"/>
    <xf numFmtId="3" fontId="1" fillId="0" borderId="13" xfId="0" applyNumberFormat="1" applyFont="1" applyBorder="1" applyAlignment="1">
      <alignment horizontal="center" vertical="center" wrapText="1"/>
    </xf>
    <xf numFmtId="41" fontId="14" fillId="0" borderId="0" xfId="14" applyFont="1"/>
    <xf numFmtId="3" fontId="15" fillId="0" borderId="0" xfId="0" applyNumberFormat="1" applyFont="1" applyBorder="1" applyAlignment="1" applyProtection="1">
      <alignment horizontal="center"/>
      <protection locked="0"/>
    </xf>
    <xf numFmtId="3" fontId="1" fillId="0" borderId="0" xfId="0" applyNumberFormat="1" applyFont="1" applyBorder="1" applyAlignment="1" applyProtection="1">
      <alignment horizontal="center"/>
      <protection locked="0"/>
    </xf>
    <xf numFmtId="0" fontId="3" fillId="0" borderId="0" xfId="0" applyFont="1" applyFill="1" applyProtection="1">
      <protection locked="0"/>
    </xf>
    <xf numFmtId="0" fontId="3" fillId="0" borderId="0" xfId="0" applyFont="1" applyFill="1" applyAlignment="1" applyProtection="1">
      <alignment horizontal="center" vertical="center"/>
      <protection locked="0"/>
    </xf>
    <xf numFmtId="170" fontId="3" fillId="11" borderId="0" xfId="0" applyNumberFormat="1" applyFont="1" applyFill="1" applyBorder="1" applyAlignment="1" applyProtection="1">
      <alignment horizontal="center" vertical="center"/>
    </xf>
    <xf numFmtId="3" fontId="3" fillId="11" borderId="0" xfId="0" applyNumberFormat="1" applyFont="1" applyFill="1" applyBorder="1" applyAlignment="1" applyProtection="1">
      <alignment horizontal="center" vertical="center"/>
      <protection locked="0"/>
    </xf>
    <xf numFmtId="0" fontId="25" fillId="17" borderId="0" xfId="0" applyFont="1" applyFill="1" applyAlignment="1" applyProtection="1">
      <alignment horizontal="center" vertical="center" wrapText="1"/>
    </xf>
    <xf numFmtId="0" fontId="25" fillId="17" borderId="0" xfId="0" applyFont="1" applyFill="1" applyAlignment="1" applyProtection="1">
      <alignment horizontal="left" vertical="center" wrapText="1"/>
    </xf>
    <xf numFmtId="173" fontId="25" fillId="17" borderId="0" xfId="0" applyNumberFormat="1" applyFont="1" applyFill="1" applyAlignment="1" applyProtection="1">
      <alignment horizontal="right" vertical="center" wrapText="1"/>
    </xf>
    <xf numFmtId="3" fontId="17" fillId="13" borderId="6" xfId="2" applyNumberFormat="1" applyFont="1" applyFill="1" applyBorder="1" applyAlignment="1" applyProtection="1">
      <alignment vertical="center"/>
    </xf>
    <xf numFmtId="0" fontId="3" fillId="0" borderId="0" xfId="0" applyFont="1" applyFill="1"/>
    <xf numFmtId="0" fontId="3" fillId="10" borderId="0" xfId="0" applyFont="1" applyFill="1"/>
    <xf numFmtId="168" fontId="1" fillId="0" borderId="1" xfId="0" applyNumberFormat="1" applyFont="1" applyFill="1" applyBorder="1" applyAlignment="1" applyProtection="1">
      <alignment horizontal="right" vertical="center" wrapText="1"/>
    </xf>
    <xf numFmtId="172" fontId="2" fillId="5" borderId="36" xfId="7" applyNumberFormat="1" applyFont="1" applyFill="1" applyBorder="1" applyAlignment="1" applyProtection="1">
      <alignment horizontal="center" vertical="top" wrapText="1"/>
    </xf>
    <xf numFmtId="9" fontId="2" fillId="5" borderId="48" xfId="7" applyNumberFormat="1" applyFont="1" applyFill="1" applyBorder="1" applyAlignment="1" applyProtection="1">
      <alignment horizontal="center" vertical="top" wrapText="1"/>
    </xf>
    <xf numFmtId="0" fontId="25" fillId="19" borderId="0" xfId="0" applyFont="1" applyFill="1" applyAlignment="1" applyProtection="1">
      <alignment horizontal="center" vertical="center" wrapText="1"/>
    </xf>
    <xf numFmtId="0" fontId="18" fillId="0" borderId="0" xfId="0" applyFont="1" applyFill="1" applyAlignment="1">
      <alignment vertical="top"/>
    </xf>
    <xf numFmtId="0" fontId="1" fillId="0" borderId="0" xfId="0" applyFont="1" applyFill="1" applyAlignment="1" applyProtection="1">
      <alignment horizontal="left"/>
      <protection locked="0"/>
    </xf>
    <xf numFmtId="167" fontId="1" fillId="0" borderId="0" xfId="0" applyNumberFormat="1" applyFont="1" applyFill="1" applyAlignment="1" applyProtection="1">
      <alignment horizontal="left" vertical="center"/>
      <protection locked="0"/>
    </xf>
    <xf numFmtId="168" fontId="1" fillId="0" borderId="0" xfId="0" applyNumberFormat="1" applyFont="1" applyFill="1" applyAlignment="1" applyProtection="1">
      <alignment horizontal="left" vertical="center"/>
      <protection locked="0"/>
    </xf>
    <xf numFmtId="168" fontId="1" fillId="0" borderId="0" xfId="0" applyNumberFormat="1" applyFont="1" applyFill="1" applyProtection="1">
      <protection locked="0"/>
    </xf>
    <xf numFmtId="3" fontId="1" fillId="0" borderId="0" xfId="0" applyNumberFormat="1" applyFont="1" applyFill="1" applyAlignment="1" applyProtection="1">
      <alignment horizontal="center"/>
      <protection locked="0"/>
    </xf>
    <xf numFmtId="3" fontId="39" fillId="0" borderId="0" xfId="15" applyNumberFormat="1" applyFill="1"/>
    <xf numFmtId="3" fontId="3" fillId="0" borderId="1" xfId="0" applyNumberFormat="1" applyFont="1" applyFill="1" applyBorder="1" applyAlignment="1">
      <alignment horizontal="right" vertical="top" wrapText="1"/>
    </xf>
    <xf numFmtId="0" fontId="24" fillId="0" borderId="16" xfId="0" applyFont="1" applyFill="1" applyBorder="1" applyAlignment="1">
      <alignment horizontal="left" vertical="top" wrapText="1"/>
    </xf>
    <xf numFmtId="167" fontId="24" fillId="0" borderId="1" xfId="0" applyNumberFormat="1" applyFont="1" applyFill="1" applyBorder="1" applyAlignment="1">
      <alignment horizontal="left" vertical="center" wrapText="1"/>
    </xf>
    <xf numFmtId="168" fontId="24" fillId="0" borderId="1" xfId="0" applyNumberFormat="1" applyFont="1" applyFill="1" applyBorder="1" applyAlignment="1">
      <alignment horizontal="left" vertical="center" wrapText="1"/>
    </xf>
    <xf numFmtId="168" fontId="24" fillId="0" borderId="1" xfId="0" applyNumberFormat="1" applyFont="1" applyFill="1" applyBorder="1" applyAlignment="1">
      <alignment vertical="top" wrapText="1"/>
    </xf>
    <xf numFmtId="3" fontId="3" fillId="0" borderId="1" xfId="0" applyNumberFormat="1" applyFont="1" applyFill="1" applyBorder="1"/>
    <xf numFmtId="41" fontId="3" fillId="0" borderId="1" xfId="14" applyFont="1" applyFill="1" applyBorder="1" applyAlignment="1">
      <alignment vertical="center" wrapText="1"/>
    </xf>
    <xf numFmtId="3" fontId="3" fillId="0" borderId="16" xfId="0" applyNumberFormat="1" applyFont="1" applyFill="1" applyBorder="1" applyAlignment="1">
      <alignment horizontal="right"/>
    </xf>
    <xf numFmtId="3" fontId="3" fillId="0" borderId="16" xfId="0" applyNumberFormat="1" applyFont="1" applyFill="1" applyBorder="1" applyAlignment="1">
      <alignment horizontal="right" vertical="top" wrapText="1"/>
    </xf>
    <xf numFmtId="9" fontId="0" fillId="0" borderId="0" xfId="0" applyNumberFormat="1"/>
    <xf numFmtId="1" fontId="0" fillId="11" borderId="0" xfId="0" applyNumberFormat="1" applyFill="1"/>
    <xf numFmtId="0" fontId="1" fillId="0" borderId="0" xfId="0" applyFont="1" applyFill="1" applyBorder="1" applyAlignment="1" applyProtection="1">
      <alignment horizontal="left"/>
      <protection locked="0"/>
    </xf>
    <xf numFmtId="167" fontId="1" fillId="0" borderId="0" xfId="0" applyNumberFormat="1" applyFont="1" applyFill="1" applyBorder="1" applyAlignment="1" applyProtection="1">
      <alignment horizontal="left" vertical="center"/>
      <protection locked="0"/>
    </xf>
    <xf numFmtId="168" fontId="1" fillId="0" borderId="0" xfId="0" applyNumberFormat="1" applyFont="1" applyFill="1" applyBorder="1" applyAlignment="1" applyProtection="1">
      <alignment horizontal="left" vertical="center"/>
      <protection locked="0"/>
    </xf>
    <xf numFmtId="3" fontId="1" fillId="0" borderId="0" xfId="0" applyNumberFormat="1" applyFont="1" applyFill="1" applyAlignment="1" applyProtection="1">
      <alignment horizontal="right"/>
      <protection locked="0"/>
    </xf>
    <xf numFmtId="3" fontId="1" fillId="0" borderId="0" xfId="7" applyNumberFormat="1" applyFont="1" applyFill="1" applyProtection="1">
      <protection locked="0"/>
    </xf>
    <xf numFmtId="3" fontId="1" fillId="0" borderId="0" xfId="0" applyNumberFormat="1" applyFont="1" applyFill="1" applyBorder="1" applyAlignment="1" applyProtection="1">
      <alignment horizontal="center"/>
      <protection locked="0"/>
    </xf>
    <xf numFmtId="3" fontId="1" fillId="0" borderId="0" xfId="0" applyNumberFormat="1" applyFont="1" applyFill="1" applyBorder="1" applyAlignment="1" applyProtection="1">
      <alignment horizontal="right"/>
      <protection locked="0"/>
    </xf>
    <xf numFmtId="3" fontId="1" fillId="0" borderId="0" xfId="7" applyNumberFormat="1" applyFont="1" applyFill="1" applyBorder="1" applyProtection="1">
      <protection locked="0"/>
    </xf>
    <xf numFmtId="169" fontId="10" fillId="0" borderId="0" xfId="1" applyNumberFormat="1" applyFont="1" applyFill="1" applyBorder="1" applyAlignment="1">
      <alignment horizontal="center" vertical="center" wrapText="1"/>
    </xf>
    <xf numFmtId="169" fontId="1" fillId="0" borderId="0" xfId="11" applyNumberFormat="1" applyFont="1" applyFill="1" applyBorder="1" applyAlignment="1">
      <alignment horizontal="right" vertical="center"/>
    </xf>
    <xf numFmtId="3" fontId="3" fillId="0" borderId="2" xfId="0" applyNumberFormat="1" applyFont="1" applyFill="1" applyBorder="1" applyAlignment="1">
      <alignment horizontal="right" vertical="top" wrapText="1"/>
    </xf>
    <xf numFmtId="172" fontId="17" fillId="13" borderId="18" xfId="2" applyNumberFormat="1" applyFont="1" applyFill="1" applyBorder="1" applyAlignment="1">
      <alignment horizontal="center" vertical="center"/>
    </xf>
    <xf numFmtId="41" fontId="17" fillId="13" borderId="18" xfId="14" applyFont="1" applyFill="1" applyBorder="1" applyAlignment="1">
      <alignment horizontal="center" vertical="center"/>
    </xf>
    <xf numFmtId="3" fontId="2" fillId="8" borderId="20" xfId="0" applyNumberFormat="1" applyFont="1" applyFill="1" applyBorder="1" applyAlignment="1">
      <alignment horizontal="center" vertical="center" wrapText="1"/>
    </xf>
    <xf numFmtId="3" fontId="2" fillId="8" borderId="21" xfId="0" applyNumberFormat="1" applyFont="1" applyFill="1" applyBorder="1" applyAlignment="1">
      <alignment horizontal="center" vertical="center" wrapText="1"/>
    </xf>
    <xf numFmtId="3" fontId="17" fillId="13" borderId="19" xfId="2" applyNumberFormat="1" applyFont="1" applyFill="1" applyBorder="1" applyAlignment="1">
      <alignment horizontal="right" vertical="center"/>
    </xf>
    <xf numFmtId="0" fontId="2" fillId="10" borderId="54" xfId="0" applyFont="1" applyFill="1" applyBorder="1" applyAlignment="1"/>
    <xf numFmtId="0" fontId="2" fillId="10" borderId="55" xfId="0" applyFont="1" applyFill="1" applyBorder="1" applyAlignment="1"/>
    <xf numFmtId="0" fontId="19" fillId="17" borderId="0" xfId="0" applyFont="1" applyFill="1" applyAlignment="1" applyProtection="1">
      <alignment horizontal="center" vertical="center"/>
    </xf>
    <xf numFmtId="0" fontId="16" fillId="12" borderId="0" xfId="1" applyFont="1" applyFill="1" applyBorder="1" applyAlignment="1">
      <alignment horizontal="center"/>
    </xf>
    <xf numFmtId="0" fontId="16" fillId="12" borderId="28" xfId="1" applyFont="1" applyFill="1" applyBorder="1" applyAlignment="1">
      <alignment horizontal="center"/>
    </xf>
    <xf numFmtId="168" fontId="1" fillId="0" borderId="1" xfId="0" applyNumberFormat="1" applyFont="1" applyFill="1" applyBorder="1" applyAlignment="1" applyProtection="1">
      <alignment horizontal="left" vertical="center" wrapText="1"/>
    </xf>
    <xf numFmtId="0" fontId="19" fillId="17" borderId="0" xfId="0" applyFont="1" applyFill="1" applyAlignment="1" applyProtection="1">
      <alignment horizontal="left" vertical="center" wrapText="1"/>
    </xf>
    <xf numFmtId="173" fontId="25" fillId="17" borderId="0" xfId="0" applyNumberFormat="1" applyFont="1" applyFill="1" applyAlignment="1" applyProtection="1">
      <alignment horizontal="right" vertical="center"/>
    </xf>
    <xf numFmtId="0" fontId="24" fillId="0" borderId="16" xfId="0" applyFont="1" applyFill="1" applyBorder="1" applyAlignment="1" applyProtection="1">
      <alignment horizontal="left" vertical="top" wrapText="1"/>
    </xf>
    <xf numFmtId="167" fontId="24" fillId="0" borderId="1" xfId="0" applyNumberFormat="1" applyFont="1" applyFill="1" applyBorder="1" applyAlignment="1" applyProtection="1">
      <alignment horizontal="left" vertical="center" wrapText="1"/>
    </xf>
    <xf numFmtId="168" fontId="3" fillId="0" borderId="1" xfId="0" applyNumberFormat="1" applyFont="1" applyFill="1" applyBorder="1" applyProtection="1"/>
    <xf numFmtId="3" fontId="1" fillId="0" borderId="16" xfId="0" applyNumberFormat="1" applyFont="1" applyFill="1" applyBorder="1" applyAlignment="1">
      <alignment horizontal="right" vertical="top" wrapText="1"/>
    </xf>
    <xf numFmtId="1" fontId="2" fillId="5" borderId="1" xfId="7" applyNumberFormat="1" applyFont="1" applyFill="1" applyBorder="1" applyAlignment="1" applyProtection="1">
      <alignment horizontal="right" vertical="top" wrapText="1"/>
    </xf>
    <xf numFmtId="167" fontId="18" fillId="0" borderId="1" xfId="0" applyNumberFormat="1" applyFont="1" applyFill="1" applyBorder="1" applyAlignment="1" applyProtection="1">
      <alignment horizontal="left" vertical="center" wrapText="1"/>
    </xf>
    <xf numFmtId="168" fontId="3" fillId="0" borderId="1" xfId="0" applyNumberFormat="1" applyFont="1" applyFill="1" applyBorder="1" applyAlignment="1" applyProtection="1">
      <alignment horizontal="right" vertical="top" wrapText="1"/>
    </xf>
    <xf numFmtId="172" fontId="1" fillId="0" borderId="36" xfId="7" applyNumberFormat="1" applyFont="1" applyFill="1" applyBorder="1" applyAlignment="1" applyProtection="1">
      <alignment horizontal="center" vertical="center" wrapText="1"/>
    </xf>
    <xf numFmtId="3" fontId="1" fillId="0" borderId="16" xfId="0" applyNumberFormat="1" applyFont="1" applyFill="1" applyBorder="1"/>
    <xf numFmtId="172" fontId="2" fillId="5" borderId="36" xfId="7" applyNumberFormat="1" applyFont="1" applyFill="1" applyBorder="1" applyAlignment="1" applyProtection="1">
      <alignment horizontal="center" vertical="center" wrapText="1"/>
    </xf>
    <xf numFmtId="3" fontId="1" fillId="0" borderId="19" xfId="0" applyNumberFormat="1" applyFont="1" applyFill="1" applyBorder="1" applyAlignment="1">
      <alignment horizontal="right" vertical="top" wrapText="1"/>
    </xf>
    <xf numFmtId="3" fontId="2" fillId="5" borderId="23" xfId="0" applyNumberFormat="1" applyFont="1" applyFill="1" applyBorder="1" applyAlignment="1">
      <alignment horizontal="right" vertical="top" wrapText="1"/>
    </xf>
    <xf numFmtId="3" fontId="1" fillId="0" borderId="45" xfId="0" applyNumberFormat="1" applyFont="1" applyFill="1" applyBorder="1" applyAlignment="1">
      <alignment horizontal="right" vertical="top" wrapText="1"/>
    </xf>
    <xf numFmtId="3" fontId="2" fillId="8" borderId="3" xfId="0" applyNumberFormat="1" applyFont="1" applyFill="1" applyBorder="1" applyAlignment="1">
      <alignment horizontal="center" vertical="center" wrapText="1"/>
    </xf>
    <xf numFmtId="3" fontId="1" fillId="0" borderId="10" xfId="0" applyNumberFormat="1" applyFont="1" applyBorder="1" applyAlignment="1">
      <alignment horizontal="center" vertical="center" wrapText="1"/>
    </xf>
    <xf numFmtId="3" fontId="3" fillId="0" borderId="16" xfId="0" applyNumberFormat="1" applyFont="1" applyFill="1" applyBorder="1"/>
    <xf numFmtId="3" fontId="2" fillId="5" borderId="58" xfId="0" applyNumberFormat="1" applyFont="1" applyFill="1" applyBorder="1"/>
    <xf numFmtId="3" fontId="2" fillId="5" borderId="58" xfId="0" applyNumberFormat="1" applyFont="1" applyFill="1" applyBorder="1" applyAlignment="1" applyProtection="1">
      <alignment horizontal="right" vertical="top" wrapText="1"/>
    </xf>
    <xf numFmtId="0" fontId="17" fillId="13" borderId="34" xfId="2" applyFont="1" applyFill="1" applyBorder="1" applyAlignment="1" applyProtection="1">
      <alignment horizontal="center" vertical="center"/>
    </xf>
    <xf numFmtId="3" fontId="2" fillId="5" borderId="2" xfId="0" applyNumberFormat="1" applyFont="1" applyFill="1" applyBorder="1" applyAlignment="1" applyProtection="1">
      <alignment horizontal="right" vertical="center" wrapText="1"/>
    </xf>
    <xf numFmtId="3" fontId="2" fillId="5" borderId="16" xfId="0" applyNumberFormat="1" applyFont="1" applyFill="1" applyBorder="1" applyAlignment="1" applyProtection="1">
      <alignment horizontal="right" vertical="center" wrapText="1"/>
    </xf>
    <xf numFmtId="3" fontId="1" fillId="0" borderId="12" xfId="0" applyNumberFormat="1" applyFont="1" applyBorder="1" applyAlignment="1">
      <alignment horizontal="center" vertical="center" wrapText="1"/>
    </xf>
    <xf numFmtId="0" fontId="1" fillId="0" borderId="0" xfId="0" applyFont="1" applyFill="1" applyAlignment="1" applyProtection="1">
      <alignment vertical="center"/>
      <protection locked="0"/>
    </xf>
    <xf numFmtId="3" fontId="1" fillId="0" borderId="25" xfId="0" applyNumberFormat="1" applyFont="1" applyBorder="1" applyAlignment="1">
      <alignment horizontal="center" vertical="center" wrapText="1"/>
    </xf>
    <xf numFmtId="3" fontId="2" fillId="0" borderId="5" xfId="0" applyNumberFormat="1" applyFont="1" applyBorder="1" applyProtection="1">
      <protection locked="0"/>
    </xf>
    <xf numFmtId="3" fontId="2" fillId="0" borderId="38" xfId="0" applyNumberFormat="1" applyFont="1" applyBorder="1" applyProtection="1">
      <protection locked="0"/>
    </xf>
    <xf numFmtId="0" fontId="33" fillId="16" borderId="9" xfId="0" applyFont="1" applyFill="1" applyBorder="1" applyAlignment="1" applyProtection="1">
      <alignment horizontal="center" vertical="center"/>
      <protection locked="0"/>
    </xf>
    <xf numFmtId="0" fontId="1" fillId="0" borderId="60" xfId="0" applyFont="1" applyBorder="1" applyProtection="1">
      <protection locked="0"/>
    </xf>
    <xf numFmtId="0" fontId="1" fillId="0" borderId="52" xfId="0" applyFont="1" applyBorder="1" applyProtection="1">
      <protection locked="0"/>
    </xf>
    <xf numFmtId="0" fontId="1" fillId="0" borderId="53" xfId="0" applyFont="1" applyBorder="1" applyProtection="1">
      <protection locked="0"/>
    </xf>
    <xf numFmtId="0" fontId="33" fillId="16" borderId="22" xfId="0" applyFont="1" applyFill="1" applyBorder="1" applyAlignment="1" applyProtection="1">
      <alignment horizontal="center" vertical="center"/>
      <protection locked="0"/>
    </xf>
    <xf numFmtId="0" fontId="1" fillId="0" borderId="26" xfId="0" applyFont="1" applyBorder="1" applyProtection="1">
      <protection locked="0"/>
    </xf>
    <xf numFmtId="3" fontId="33" fillId="16" borderId="10" xfId="0" applyNumberFormat="1" applyFont="1" applyFill="1" applyBorder="1" applyAlignment="1" applyProtection="1">
      <alignment horizontal="center" vertical="center" wrapText="1"/>
      <protection locked="0"/>
    </xf>
    <xf numFmtId="3" fontId="1" fillId="0" borderId="50" xfId="0" applyNumberFormat="1" applyFont="1" applyBorder="1" applyProtection="1">
      <protection locked="0"/>
    </xf>
    <xf numFmtId="3" fontId="33" fillId="16" borderId="9" xfId="0" applyNumberFormat="1" applyFont="1" applyFill="1" applyBorder="1" applyAlignment="1" applyProtection="1">
      <alignment horizontal="center" vertical="center" wrapText="1"/>
      <protection locked="0"/>
    </xf>
    <xf numFmtId="3" fontId="1" fillId="0" borderId="60" xfId="0" applyNumberFormat="1" applyFont="1" applyBorder="1" applyProtection="1">
      <protection locked="0"/>
    </xf>
    <xf numFmtId="3" fontId="1" fillId="0" borderId="32" xfId="0" applyNumberFormat="1" applyFont="1" applyBorder="1" applyProtection="1">
      <protection locked="0"/>
    </xf>
    <xf numFmtId="3" fontId="2" fillId="0" borderId="47" xfId="0" applyNumberFormat="1" applyFont="1" applyBorder="1" applyProtection="1">
      <protection locked="0"/>
    </xf>
    <xf numFmtId="3" fontId="2" fillId="0" borderId="53" xfId="0" applyNumberFormat="1" applyFont="1" applyBorder="1" applyProtection="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3" fontId="17" fillId="13" borderId="15" xfId="2" applyNumberFormat="1" applyFont="1" applyFill="1" applyBorder="1" applyAlignment="1" applyProtection="1">
      <alignment horizontal="right" vertical="center" wrapText="1"/>
    </xf>
    <xf numFmtId="0" fontId="17" fillId="13" borderId="15" xfId="2" applyFont="1" applyFill="1" applyBorder="1" applyAlignment="1" applyProtection="1">
      <alignment vertical="center"/>
    </xf>
    <xf numFmtId="167" fontId="17" fillId="13" borderId="6" xfId="2" applyNumberFormat="1" applyFont="1" applyFill="1" applyBorder="1" applyAlignment="1" applyProtection="1">
      <alignment vertical="center"/>
    </xf>
    <xf numFmtId="168" fontId="17" fillId="13" borderId="6" xfId="2" applyNumberFormat="1" applyFont="1" applyFill="1" applyBorder="1" applyAlignment="1" applyProtection="1">
      <alignment vertical="center"/>
    </xf>
    <xf numFmtId="3" fontId="4" fillId="2" borderId="15" xfId="0" applyNumberFormat="1" applyFont="1" applyFill="1" applyBorder="1" applyAlignment="1">
      <alignment vertical="center"/>
    </xf>
    <xf numFmtId="3" fontId="4" fillId="2" borderId="34" xfId="0" applyNumberFormat="1" applyFont="1" applyFill="1" applyBorder="1" applyAlignment="1">
      <alignment vertical="center"/>
    </xf>
    <xf numFmtId="3" fontId="4" fillId="2" borderId="7" xfId="0" applyNumberFormat="1"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24" fillId="5" borderId="16" xfId="0" applyFont="1" applyFill="1" applyBorder="1" applyAlignment="1" applyProtection="1">
      <alignment horizontal="center" vertical="center" wrapText="1"/>
    </xf>
    <xf numFmtId="167" fontId="24" fillId="5" borderId="1" xfId="0" applyNumberFormat="1" applyFont="1" applyFill="1" applyBorder="1" applyAlignment="1" applyProtection="1">
      <alignment horizontal="center" vertical="center" wrapText="1"/>
    </xf>
    <xf numFmtId="3" fontId="24" fillId="5" borderId="1" xfId="0" applyNumberFormat="1" applyFont="1" applyFill="1" applyBorder="1" applyAlignment="1" applyProtection="1">
      <alignment horizontal="right" vertical="center" wrapText="1"/>
    </xf>
    <xf numFmtId="3" fontId="24" fillId="5" borderId="16" xfId="0" applyNumberFormat="1" applyFont="1" applyFill="1" applyBorder="1" applyAlignment="1" applyProtection="1">
      <alignment horizontal="right" vertical="center"/>
    </xf>
    <xf numFmtId="3" fontId="24" fillId="5" borderId="1" xfId="0" applyNumberFormat="1" applyFont="1" applyFill="1" applyBorder="1" applyAlignment="1" applyProtection="1">
      <alignment horizontal="right" vertical="center"/>
    </xf>
    <xf numFmtId="3" fontId="24" fillId="5" borderId="36" xfId="0" applyNumberFormat="1" applyFont="1" applyFill="1" applyBorder="1" applyAlignment="1" applyProtection="1">
      <alignment horizontal="right" vertical="center" wrapText="1"/>
    </xf>
    <xf numFmtId="3" fontId="24" fillId="5" borderId="16" xfId="0" applyNumberFormat="1" applyFont="1" applyFill="1" applyBorder="1" applyAlignment="1" applyProtection="1">
      <alignment horizontal="right" vertical="center" wrapText="1"/>
    </xf>
    <xf numFmtId="3" fontId="24" fillId="5" borderId="23" xfId="0" applyNumberFormat="1" applyFont="1" applyFill="1" applyBorder="1" applyAlignment="1" applyProtection="1">
      <alignment horizontal="right" vertical="center" wrapText="1"/>
    </xf>
    <xf numFmtId="3" fontId="24" fillId="5" borderId="58" xfId="0" applyNumberFormat="1" applyFont="1" applyFill="1" applyBorder="1" applyAlignment="1" applyProtection="1">
      <alignment horizontal="right" vertical="center"/>
      <protection locked="0"/>
    </xf>
    <xf numFmtId="3" fontId="24" fillId="5" borderId="23" xfId="0" applyNumberFormat="1" applyFont="1" applyFill="1" applyBorder="1" applyAlignment="1" applyProtection="1">
      <alignment horizontal="right" vertical="center"/>
      <protection locked="0"/>
    </xf>
    <xf numFmtId="0" fontId="24" fillId="5" borderId="16" xfId="0" applyFont="1" applyFill="1" applyBorder="1" applyAlignment="1" applyProtection="1">
      <alignment horizontal="left" vertical="center" wrapText="1"/>
    </xf>
    <xf numFmtId="3" fontId="24" fillId="5" borderId="16" xfId="0" applyNumberFormat="1" applyFont="1" applyFill="1" applyBorder="1" applyAlignment="1" applyProtection="1">
      <alignment vertical="center"/>
    </xf>
    <xf numFmtId="3" fontId="24" fillId="5" borderId="1" xfId="0" applyNumberFormat="1" applyFont="1" applyFill="1" applyBorder="1" applyAlignment="1" applyProtection="1">
      <alignment vertical="center"/>
    </xf>
    <xf numFmtId="3" fontId="24" fillId="5" borderId="23" xfId="0" applyNumberFormat="1" applyFont="1" applyFill="1" applyBorder="1" applyAlignment="1" applyProtection="1">
      <alignment vertical="center"/>
    </xf>
    <xf numFmtId="3" fontId="2" fillId="5" borderId="36" xfId="0" applyNumberFormat="1" applyFont="1" applyFill="1" applyBorder="1" applyAlignment="1" applyProtection="1">
      <alignment horizontal="right" vertical="center" wrapText="1"/>
    </xf>
    <xf numFmtId="3" fontId="2" fillId="5" borderId="58" xfId="0" applyNumberFormat="1" applyFont="1" applyFill="1" applyBorder="1" applyAlignment="1" applyProtection="1">
      <alignment horizontal="right" vertical="center" wrapText="1"/>
    </xf>
    <xf numFmtId="3" fontId="1" fillId="0" borderId="16" xfId="0" applyNumberFormat="1" applyFont="1" applyFill="1" applyBorder="1" applyAlignment="1" applyProtection="1">
      <alignment horizontal="right" vertical="center" wrapText="1"/>
    </xf>
    <xf numFmtId="3" fontId="1" fillId="0" borderId="1" xfId="0" applyNumberFormat="1" applyFont="1" applyFill="1" applyBorder="1" applyAlignment="1" applyProtection="1">
      <alignment horizontal="right" vertical="center" wrapText="1"/>
    </xf>
    <xf numFmtId="3" fontId="24" fillId="5" borderId="2" xfId="0" applyNumberFormat="1" applyFont="1" applyFill="1" applyBorder="1" applyAlignment="1" applyProtection="1">
      <alignment vertical="center"/>
      <protection locked="0"/>
    </xf>
    <xf numFmtId="3" fontId="24" fillId="5" borderId="36" xfId="0" applyNumberFormat="1" applyFont="1" applyFill="1" applyBorder="1" applyAlignment="1" applyProtection="1">
      <alignment vertical="center"/>
      <protection locked="0"/>
    </xf>
    <xf numFmtId="3" fontId="24" fillId="5" borderId="16" xfId="0" applyNumberFormat="1" applyFont="1" applyFill="1" applyBorder="1" applyAlignment="1" applyProtection="1">
      <alignment vertical="center"/>
      <protection locked="0"/>
    </xf>
    <xf numFmtId="3" fontId="24" fillId="5" borderId="23" xfId="0" applyNumberFormat="1" applyFont="1" applyFill="1" applyBorder="1" applyAlignment="1" applyProtection="1">
      <alignment vertical="center"/>
      <protection locked="0"/>
    </xf>
    <xf numFmtId="168" fontId="1" fillId="0" borderId="1" xfId="0" applyNumberFormat="1" applyFont="1" applyFill="1" applyBorder="1" applyAlignment="1" applyProtection="1">
      <alignment horizontal="center" vertical="center" wrapText="1"/>
    </xf>
    <xf numFmtId="3" fontId="1" fillId="11" borderId="1" xfId="0" applyNumberFormat="1" applyFont="1" applyFill="1" applyBorder="1" applyAlignment="1" applyProtection="1">
      <alignment horizontal="right" vertical="center" wrapText="1"/>
    </xf>
    <xf numFmtId="0" fontId="4" fillId="8" borderId="27" xfId="0" applyFont="1" applyFill="1" applyBorder="1" applyAlignment="1" applyProtection="1">
      <alignment horizontal="center"/>
    </xf>
    <xf numFmtId="3" fontId="17" fillId="13" borderId="18" xfId="2" applyNumberFormat="1" applyFont="1" applyFill="1" applyBorder="1" applyAlignment="1" applyProtection="1">
      <alignment horizontal="right" vertical="center" wrapText="1"/>
    </xf>
    <xf numFmtId="0" fontId="26" fillId="0" borderId="0" xfId="0" applyFont="1" applyAlignment="1"/>
    <xf numFmtId="0" fontId="21" fillId="6" borderId="0" xfId="0" applyFont="1" applyFill="1" applyAlignment="1" applyProtection="1">
      <alignment horizontal="center" vertical="center"/>
    </xf>
    <xf numFmtId="0" fontId="21" fillId="19" borderId="0" xfId="0" applyFont="1" applyFill="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left" vertical="center"/>
    </xf>
    <xf numFmtId="173" fontId="21" fillId="0" borderId="0" xfId="0" applyNumberFormat="1" applyFont="1" applyAlignment="1" applyProtection="1">
      <alignment horizontal="right" vertical="center"/>
    </xf>
    <xf numFmtId="41" fontId="26" fillId="0" borderId="0" xfId="14" applyFont="1" applyAlignment="1"/>
    <xf numFmtId="0" fontId="21" fillId="0" borderId="0" xfId="0" applyFont="1" applyAlignment="1" applyProtection="1">
      <alignment horizontal="center" vertical="center" wrapText="1"/>
    </xf>
    <xf numFmtId="0" fontId="26" fillId="6" borderId="0" xfId="0" applyFont="1" applyFill="1" applyAlignment="1">
      <alignment horizontal="left" vertical="center"/>
    </xf>
    <xf numFmtId="173" fontId="26" fillId="6" borderId="0" xfId="0" applyNumberFormat="1" applyFont="1" applyFill="1" applyAlignment="1">
      <alignment horizontal="right" vertical="center"/>
    </xf>
    <xf numFmtId="0" fontId="21" fillId="0" borderId="0" xfId="0" applyFont="1" applyAlignment="1"/>
    <xf numFmtId="0" fontId="26" fillId="5" borderId="0" xfId="0" applyFont="1" applyFill="1" applyAlignment="1"/>
    <xf numFmtId="41" fontId="26" fillId="0" borderId="0" xfId="0" applyNumberFormat="1" applyFont="1" applyAlignment="1"/>
    <xf numFmtId="168" fontId="24" fillId="5" borderId="1" xfId="0" applyNumberFormat="1" applyFont="1" applyFill="1" applyBorder="1" applyAlignment="1" applyProtection="1">
      <alignment vertical="center" wrapText="1"/>
    </xf>
    <xf numFmtId="3" fontId="24" fillId="5" borderId="58" xfId="0" applyNumberFormat="1" applyFont="1" applyFill="1" applyBorder="1" applyAlignment="1" applyProtection="1">
      <alignment vertical="center"/>
      <protection locked="0"/>
    </xf>
    <xf numFmtId="3" fontId="24" fillId="5" borderId="1" xfId="0" applyNumberFormat="1" applyFont="1" applyFill="1" applyBorder="1" applyAlignment="1" applyProtection="1">
      <alignment vertical="center"/>
      <protection locked="0"/>
    </xf>
    <xf numFmtId="3" fontId="24" fillId="5" borderId="58" xfId="0" applyNumberFormat="1" applyFont="1" applyFill="1" applyBorder="1" applyAlignment="1" applyProtection="1">
      <alignment horizontal="right" vertical="center" wrapText="1"/>
    </xf>
    <xf numFmtId="0" fontId="1" fillId="0" borderId="16" xfId="0" applyFont="1" applyFill="1" applyBorder="1" applyAlignment="1" applyProtection="1">
      <alignment horizontal="left" vertical="center" wrapText="1"/>
    </xf>
    <xf numFmtId="3" fontId="1" fillId="0" borderId="2" xfId="0" applyNumberFormat="1" applyFont="1" applyFill="1" applyBorder="1" applyAlignment="1" applyProtection="1">
      <alignment vertical="center"/>
      <protection locked="0"/>
    </xf>
    <xf numFmtId="3" fontId="1" fillId="0" borderId="36" xfId="0" applyNumberFormat="1" applyFont="1" applyFill="1" applyBorder="1" applyAlignment="1" applyProtection="1">
      <alignment vertical="center"/>
      <protection locked="0"/>
    </xf>
    <xf numFmtId="3" fontId="1" fillId="0" borderId="16" xfId="0" applyNumberFormat="1" applyFont="1" applyFill="1" applyBorder="1" applyAlignment="1" applyProtection="1">
      <alignment vertical="center"/>
      <protection locked="0"/>
    </xf>
    <xf numFmtId="3" fontId="1" fillId="0" borderId="23" xfId="0" applyNumberFormat="1" applyFont="1" applyFill="1" applyBorder="1" applyAlignment="1" applyProtection="1">
      <alignment vertical="center"/>
      <protection locked="0"/>
    </xf>
    <xf numFmtId="3" fontId="1" fillId="0" borderId="58"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horizontal="right" vertical="center" wrapText="1"/>
    </xf>
    <xf numFmtId="3" fontId="2" fillId="5" borderId="36" xfId="0" applyNumberFormat="1" applyFont="1" applyFill="1" applyBorder="1" applyAlignment="1" applyProtection="1">
      <alignment vertical="center"/>
      <protection locked="0"/>
    </xf>
    <xf numFmtId="3" fontId="2" fillId="5" borderId="16" xfId="0" applyNumberFormat="1" applyFont="1" applyFill="1" applyBorder="1" applyAlignment="1" applyProtection="1">
      <alignment vertical="center"/>
      <protection locked="0"/>
    </xf>
    <xf numFmtId="3" fontId="2" fillId="5" borderId="2" xfId="0" applyNumberFormat="1" applyFont="1" applyFill="1" applyBorder="1" applyAlignment="1" applyProtection="1">
      <alignment vertical="center"/>
      <protection locked="0"/>
    </xf>
    <xf numFmtId="0" fontId="1" fillId="11" borderId="16" xfId="0" applyFont="1" applyFill="1" applyBorder="1" applyAlignment="1" applyProtection="1">
      <alignment horizontal="left" vertical="center" wrapText="1"/>
    </xf>
    <xf numFmtId="3" fontId="1" fillId="11" borderId="16" xfId="0" applyNumberFormat="1" applyFont="1" applyFill="1" applyBorder="1" applyAlignment="1" applyProtection="1">
      <alignment vertical="center"/>
      <protection locked="0"/>
    </xf>
    <xf numFmtId="3" fontId="1" fillId="11" borderId="2" xfId="0" applyNumberFormat="1" applyFont="1" applyFill="1" applyBorder="1" applyAlignment="1" applyProtection="1">
      <alignment vertical="center"/>
      <protection locked="0"/>
    </xf>
    <xf numFmtId="0" fontId="24" fillId="0" borderId="0" xfId="0" applyFont="1" applyFill="1" applyAlignment="1" applyProtection="1">
      <alignment vertical="center"/>
      <protection locked="0"/>
    </xf>
    <xf numFmtId="3" fontId="24" fillId="5" borderId="52" xfId="0" applyNumberFormat="1" applyFont="1" applyFill="1" applyBorder="1" applyAlignment="1" applyProtection="1">
      <alignment horizontal="right" vertical="center" wrapText="1"/>
    </xf>
    <xf numFmtId="3" fontId="24" fillId="5" borderId="52" xfId="0" applyNumberFormat="1" applyFont="1" applyFill="1" applyBorder="1" applyAlignment="1" applyProtection="1">
      <alignment vertical="center"/>
      <protection locked="0"/>
    </xf>
    <xf numFmtId="168" fontId="1" fillId="0" borderId="1" xfId="0" applyNumberFormat="1" applyFont="1" applyFill="1" applyBorder="1" applyAlignment="1" applyProtection="1">
      <alignment vertical="center" wrapText="1"/>
    </xf>
    <xf numFmtId="168" fontId="1" fillId="0" borderId="1" xfId="0" quotePrefix="1" applyNumberFormat="1" applyFont="1" applyFill="1" applyBorder="1" applyAlignment="1" applyProtection="1">
      <alignment vertical="center" wrapText="1"/>
    </xf>
    <xf numFmtId="3" fontId="3" fillId="0" borderId="16" xfId="0" applyNumberFormat="1" applyFont="1" applyFill="1" applyBorder="1" applyAlignment="1" applyProtection="1">
      <alignment vertical="center"/>
    </xf>
    <xf numFmtId="0" fontId="24" fillId="5" borderId="17" xfId="0" applyFont="1" applyFill="1" applyBorder="1" applyAlignment="1" applyProtection="1">
      <alignment horizontal="left" vertical="center" wrapText="1"/>
    </xf>
    <xf numFmtId="168" fontId="24" fillId="5" borderId="3" xfId="0" applyNumberFormat="1" applyFont="1" applyFill="1" applyBorder="1" applyAlignment="1" applyProtection="1">
      <alignment vertical="center" wrapText="1"/>
    </xf>
    <xf numFmtId="3" fontId="24" fillId="5" borderId="3" xfId="0" applyNumberFormat="1" applyFont="1" applyFill="1" applyBorder="1" applyAlignment="1" applyProtection="1">
      <alignment horizontal="right" vertical="center" wrapText="1"/>
    </xf>
    <xf numFmtId="3" fontId="24" fillId="5" borderId="17" xfId="0" applyNumberFormat="1" applyFont="1" applyFill="1" applyBorder="1" applyAlignment="1" applyProtection="1">
      <alignment vertical="center"/>
    </xf>
    <xf numFmtId="3" fontId="24" fillId="5" borderId="3" xfId="0" applyNumberFormat="1" applyFont="1" applyFill="1" applyBorder="1" applyAlignment="1" applyProtection="1">
      <alignment vertical="center"/>
    </xf>
    <xf numFmtId="3" fontId="24" fillId="5" borderId="8" xfId="0" applyNumberFormat="1" applyFont="1" applyFill="1" applyBorder="1" applyAlignment="1" applyProtection="1">
      <alignment vertical="center"/>
      <protection locked="0"/>
    </xf>
    <xf numFmtId="3" fontId="24" fillId="5" borderId="17" xfId="0" applyNumberFormat="1" applyFont="1" applyFill="1" applyBorder="1" applyAlignment="1" applyProtection="1">
      <alignment vertical="center"/>
      <protection locked="0"/>
    </xf>
    <xf numFmtId="3" fontId="24" fillId="5" borderId="39" xfId="0" applyNumberFormat="1" applyFont="1" applyFill="1" applyBorder="1" applyAlignment="1" applyProtection="1">
      <alignment vertical="center"/>
      <protection locked="0"/>
    </xf>
    <xf numFmtId="168" fontId="3" fillId="0" borderId="1" xfId="0" applyNumberFormat="1" applyFont="1" applyFill="1" applyBorder="1" applyAlignment="1" applyProtection="1">
      <alignment vertical="center" wrapText="1"/>
    </xf>
    <xf numFmtId="0" fontId="13" fillId="0" borderId="0" xfId="0" applyFont="1" applyFill="1" applyAlignment="1" applyProtection="1">
      <alignment vertical="center"/>
      <protection locked="0"/>
    </xf>
    <xf numFmtId="3" fontId="2" fillId="5" borderId="58" xfId="0" applyNumberFormat="1" applyFont="1" applyFill="1" applyBorder="1" applyAlignment="1" applyProtection="1">
      <alignment horizontal="right" vertical="center"/>
      <protection locked="0"/>
    </xf>
    <xf numFmtId="3" fontId="2" fillId="5" borderId="58" xfId="0" applyNumberFormat="1" applyFont="1" applyFill="1" applyBorder="1" applyAlignment="1" applyProtection="1">
      <alignment vertical="center"/>
      <protection locked="0"/>
    </xf>
    <xf numFmtId="0" fontId="3" fillId="0" borderId="16" xfId="0" applyFont="1" applyFill="1" applyBorder="1" applyAlignment="1" applyProtection="1">
      <alignment horizontal="left" vertical="center" wrapText="1"/>
    </xf>
    <xf numFmtId="3" fontId="3" fillId="0" borderId="16" xfId="0" applyNumberFormat="1" applyFont="1" applyFill="1" applyBorder="1" applyAlignment="1" applyProtection="1">
      <alignment horizontal="right" vertical="center" wrapText="1"/>
    </xf>
    <xf numFmtId="168" fontId="3" fillId="5" borderId="1" xfId="0" applyNumberFormat="1" applyFont="1" applyFill="1" applyBorder="1" applyAlignment="1" applyProtection="1">
      <alignment vertical="center" wrapText="1"/>
    </xf>
    <xf numFmtId="3" fontId="1" fillId="0" borderId="0" xfId="8" applyNumberFormat="1" applyFont="1" applyFill="1" applyBorder="1" applyAlignment="1" applyProtection="1">
      <alignment horizontal="right" vertical="center"/>
      <protection locked="0"/>
    </xf>
    <xf numFmtId="0" fontId="24" fillId="5" borderId="16" xfId="0" applyFont="1" applyFill="1" applyBorder="1" applyAlignment="1" applyProtection="1">
      <alignment horizontal="left" vertical="center"/>
    </xf>
    <xf numFmtId="168" fontId="3" fillId="5" borderId="1" xfId="0" applyNumberFormat="1" applyFont="1" applyFill="1" applyBorder="1" applyAlignment="1" applyProtection="1">
      <alignment vertical="center"/>
    </xf>
    <xf numFmtId="0" fontId="24" fillId="5" borderId="36" xfId="0" applyFont="1" applyFill="1" applyBorder="1" applyAlignment="1" applyProtection="1">
      <alignment vertical="center"/>
    </xf>
    <xf numFmtId="3" fontId="2" fillId="5" borderId="16" xfId="0" applyNumberFormat="1" applyFont="1" applyFill="1" applyBorder="1" applyAlignment="1" applyProtection="1">
      <alignment horizontal="right" vertical="center"/>
      <protection locked="0"/>
    </xf>
    <xf numFmtId="3" fontId="1" fillId="0" borderId="1" xfId="8" applyNumberFormat="1" applyFont="1" applyFill="1" applyBorder="1" applyAlignment="1" applyProtection="1">
      <alignment horizontal="right" vertical="center"/>
      <protection locked="0"/>
    </xf>
    <xf numFmtId="3" fontId="2" fillId="5" borderId="52" xfId="0" applyNumberFormat="1" applyFont="1" applyFill="1" applyBorder="1" applyAlignment="1" applyProtection="1">
      <alignment vertical="center"/>
      <protection locked="0"/>
    </xf>
    <xf numFmtId="3" fontId="2" fillId="5" borderId="52" xfId="0" applyNumberFormat="1" applyFont="1" applyFill="1" applyBorder="1" applyAlignment="1" applyProtection="1">
      <alignment horizontal="right" vertical="center" wrapText="1"/>
    </xf>
    <xf numFmtId="0" fontId="1" fillId="11" borderId="0" xfId="0" applyFont="1" applyFill="1" applyAlignment="1" applyProtection="1">
      <alignment vertical="center"/>
      <protection locked="0"/>
    </xf>
    <xf numFmtId="3" fontId="24" fillId="5" borderId="18" xfId="0" applyNumberFormat="1" applyFont="1" applyFill="1" applyBorder="1" applyAlignment="1" applyProtection="1">
      <alignment vertical="center"/>
    </xf>
    <xf numFmtId="168" fontId="3" fillId="5" borderId="3" xfId="0" applyNumberFormat="1" applyFont="1" applyFill="1" applyBorder="1" applyAlignment="1" applyProtection="1">
      <alignment vertical="center" wrapText="1"/>
    </xf>
    <xf numFmtId="3" fontId="24" fillId="5" borderId="17" xfId="0" applyNumberFormat="1" applyFont="1" applyFill="1" applyBorder="1" applyAlignment="1" applyProtection="1">
      <alignment horizontal="right" vertical="center" wrapText="1"/>
    </xf>
    <xf numFmtId="3" fontId="2" fillId="5" borderId="8" xfId="0" applyNumberFormat="1" applyFont="1" applyFill="1" applyBorder="1" applyAlignment="1" applyProtection="1">
      <alignment vertical="center"/>
      <protection locked="0"/>
    </xf>
    <xf numFmtId="3" fontId="2" fillId="5" borderId="17" xfId="0" applyNumberFormat="1" applyFont="1" applyFill="1" applyBorder="1" applyAlignment="1" applyProtection="1">
      <alignment vertical="center"/>
      <protection locked="0"/>
    </xf>
    <xf numFmtId="168" fontId="24" fillId="0" borderId="1" xfId="0" applyNumberFormat="1" applyFont="1" applyFill="1" applyBorder="1" applyAlignment="1" applyProtection="1">
      <alignment vertical="top" wrapText="1"/>
    </xf>
    <xf numFmtId="0" fontId="2" fillId="0" borderId="0" xfId="0" applyFont="1" applyFill="1"/>
    <xf numFmtId="49" fontId="24" fillId="0" borderId="1" xfId="0" applyNumberFormat="1" applyFont="1" applyFill="1" applyBorder="1" applyAlignment="1">
      <alignment horizontal="left" vertical="center" wrapText="1"/>
    </xf>
    <xf numFmtId="168"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right" vertical="center" wrapText="1"/>
    </xf>
    <xf numFmtId="168" fontId="24" fillId="0" borderId="1" xfId="0" applyNumberFormat="1" applyFont="1" applyFill="1" applyBorder="1" applyAlignment="1">
      <alignment horizontal="right" vertical="center" wrapText="1"/>
    </xf>
    <xf numFmtId="167" fontId="24" fillId="0" borderId="1" xfId="0" applyNumberFormat="1" applyFont="1" applyFill="1" applyBorder="1" applyAlignment="1">
      <alignment horizontal="center" vertical="top" wrapText="1"/>
    </xf>
    <xf numFmtId="49" fontId="24" fillId="0" borderId="1" xfId="0" applyNumberFormat="1" applyFont="1" applyFill="1" applyBorder="1" applyAlignment="1">
      <alignment horizontal="left" vertical="top" wrapText="1"/>
    </xf>
    <xf numFmtId="0" fontId="24" fillId="0" borderId="17" xfId="0" applyFont="1" applyFill="1" applyBorder="1" applyAlignment="1">
      <alignment horizontal="left" vertical="top" wrapText="1"/>
    </xf>
    <xf numFmtId="167" fontId="24" fillId="0" borderId="3" xfId="0" applyNumberFormat="1" applyFont="1" applyFill="1" applyBorder="1" applyAlignment="1">
      <alignment horizontal="left" vertical="center" wrapText="1"/>
    </xf>
    <xf numFmtId="168" fontId="24" fillId="0" borderId="3" xfId="0" applyNumberFormat="1" applyFont="1" applyFill="1" applyBorder="1" applyAlignment="1">
      <alignment horizontal="left" vertical="center" wrapText="1"/>
    </xf>
    <xf numFmtId="168" fontId="24" fillId="0" borderId="3" xfId="0" applyNumberFormat="1" applyFont="1" applyFill="1" applyBorder="1" applyAlignment="1">
      <alignment vertical="top" wrapText="1"/>
    </xf>
    <xf numFmtId="3" fontId="3" fillId="0" borderId="3" xfId="0" applyNumberFormat="1" applyFont="1" applyFill="1" applyBorder="1"/>
    <xf numFmtId="3" fontId="3" fillId="0" borderId="3" xfId="0" applyNumberFormat="1" applyFont="1" applyFill="1" applyBorder="1" applyAlignment="1">
      <alignment horizontal="right" vertical="top" wrapText="1"/>
    </xf>
    <xf numFmtId="3" fontId="12" fillId="21" borderId="27" xfId="0" applyNumberFormat="1" applyFont="1" applyFill="1" applyBorder="1" applyAlignment="1">
      <alignment vertical="center" wrapText="1"/>
    </xf>
    <xf numFmtId="0" fontId="3" fillId="0" borderId="23" xfId="0" applyFont="1" applyFill="1" applyBorder="1" applyAlignment="1" applyProtection="1">
      <alignment vertical="top" wrapText="1"/>
    </xf>
    <xf numFmtId="3" fontId="3" fillId="0" borderId="1" xfId="0" applyNumberFormat="1" applyFont="1" applyFill="1" applyBorder="1" applyAlignment="1">
      <alignment horizontal="right" vertical="top"/>
    </xf>
    <xf numFmtId="41" fontId="1" fillId="0" borderId="0" xfId="14" applyFont="1" applyFill="1" applyAlignment="1" applyProtection="1">
      <alignment vertical="center"/>
      <protection locked="0"/>
    </xf>
    <xf numFmtId="3" fontId="2" fillId="8" borderId="24" xfId="0" applyNumberFormat="1" applyFont="1" applyFill="1" applyBorder="1" applyAlignment="1">
      <alignment horizontal="center" vertical="center" wrapText="1"/>
    </xf>
    <xf numFmtId="0" fontId="0" fillId="11" borderId="0" xfId="0" applyFill="1" applyBorder="1"/>
    <xf numFmtId="9" fontId="0" fillId="11" borderId="0" xfId="0" applyNumberFormat="1" applyFill="1"/>
    <xf numFmtId="9" fontId="1" fillId="11" borderId="0" xfId="7" applyFont="1" applyFill="1"/>
    <xf numFmtId="0" fontId="0" fillId="11" borderId="0" xfId="0" applyFill="1" applyAlignment="1">
      <alignment horizontal="center"/>
    </xf>
    <xf numFmtId="0" fontId="0" fillId="11" borderId="0" xfId="0" applyNumberFormat="1" applyFill="1"/>
    <xf numFmtId="0" fontId="33" fillId="11" borderId="25" xfId="2" applyFont="1" applyFill="1" applyBorder="1" applyAlignment="1"/>
    <xf numFmtId="3" fontId="17" fillId="13" borderId="13" xfId="2" applyNumberFormat="1" applyFont="1" applyFill="1" applyBorder="1"/>
    <xf numFmtId="3" fontId="17" fillId="13" borderId="41" xfId="2" applyNumberFormat="1" applyFont="1" applyFill="1" applyBorder="1"/>
    <xf numFmtId="172" fontId="17" fillId="13" borderId="41" xfId="7" applyNumberFormat="1" applyFont="1" applyFill="1" applyBorder="1" applyAlignment="1">
      <alignment horizontal="center" vertical="center"/>
    </xf>
    <xf numFmtId="172" fontId="17" fillId="13" borderId="41" xfId="7" applyNumberFormat="1" applyFont="1" applyFill="1" applyBorder="1" applyAlignment="1">
      <alignment horizontal="center"/>
    </xf>
    <xf numFmtId="41" fontId="17" fillId="13" borderId="41" xfId="14" applyFont="1" applyFill="1" applyBorder="1" applyAlignment="1">
      <alignment horizontal="right"/>
    </xf>
    <xf numFmtId="172" fontId="17" fillId="13" borderId="25" xfId="2" applyNumberFormat="1" applyFont="1" applyFill="1" applyBorder="1" applyAlignment="1">
      <alignment horizontal="center" vertical="center"/>
    </xf>
    <xf numFmtId="3" fontId="17" fillId="13" borderId="44" xfId="2" applyNumberFormat="1" applyFont="1" applyFill="1" applyBorder="1"/>
    <xf numFmtId="172" fontId="17" fillId="13" borderId="42" xfId="2" applyNumberFormat="1" applyFont="1" applyFill="1" applyBorder="1" applyAlignment="1">
      <alignment horizontal="center" vertical="center"/>
    </xf>
    <xf numFmtId="0" fontId="38" fillId="8" borderId="9" xfId="0" applyFont="1" applyFill="1" applyBorder="1" applyAlignment="1">
      <alignment horizontal="center" vertical="center"/>
    </xf>
    <xf numFmtId="41" fontId="38" fillId="8" borderId="9" xfId="14" applyFont="1" applyFill="1" applyBorder="1" applyAlignment="1" applyProtection="1">
      <alignment horizontal="center" vertical="center"/>
    </xf>
    <xf numFmtId="9" fontId="38" fillId="8" borderId="9" xfId="7" applyFont="1" applyFill="1" applyBorder="1" applyAlignment="1" applyProtection="1">
      <alignment horizontal="center" vertical="center"/>
    </xf>
    <xf numFmtId="0" fontId="38" fillId="7" borderId="9" xfId="0" applyFont="1" applyFill="1" applyBorder="1" applyAlignment="1">
      <alignment horizontal="center" vertical="center"/>
    </xf>
    <xf numFmtId="3" fontId="38" fillId="8" borderId="41" xfId="0" applyNumberFormat="1" applyFont="1" applyFill="1" applyBorder="1" applyAlignment="1">
      <alignment horizontal="center" vertical="center" wrapText="1"/>
    </xf>
    <xf numFmtId="3" fontId="38" fillId="8" borderId="42" xfId="0" applyNumberFormat="1" applyFont="1" applyFill="1" applyBorder="1" applyAlignment="1">
      <alignment horizontal="center" vertical="center" wrapText="1"/>
    </xf>
    <xf numFmtId="3" fontId="38" fillId="7" borderId="44" xfId="0" applyNumberFormat="1" applyFont="1" applyFill="1" applyBorder="1" applyAlignment="1">
      <alignment horizontal="center" vertical="center" wrapText="1"/>
    </xf>
    <xf numFmtId="3" fontId="38" fillId="7" borderId="41" xfId="0" applyNumberFormat="1" applyFont="1" applyFill="1" applyBorder="1" applyAlignment="1">
      <alignment horizontal="center" vertical="center" wrapText="1"/>
    </xf>
    <xf numFmtId="3" fontId="38" fillId="7" borderId="42" xfId="0" applyNumberFormat="1" applyFont="1" applyFill="1" applyBorder="1" applyAlignment="1">
      <alignment horizontal="center" vertical="center" wrapText="1"/>
    </xf>
    <xf numFmtId="0" fontId="38" fillId="8" borderId="9" xfId="0" applyNumberFormat="1" applyFont="1" applyFill="1" applyBorder="1" applyAlignment="1">
      <alignment horizontal="center"/>
    </xf>
    <xf numFmtId="41" fontId="38" fillId="8" borderId="9" xfId="14" applyFont="1" applyFill="1" applyBorder="1" applyAlignment="1" applyProtection="1">
      <alignment horizontal="center"/>
    </xf>
    <xf numFmtId="9" fontId="38" fillId="8" borderId="9" xfId="7" applyFont="1" applyFill="1" applyBorder="1" applyAlignment="1" applyProtection="1">
      <alignment horizontal="center"/>
    </xf>
    <xf numFmtId="0" fontId="38" fillId="8" borderId="9" xfId="0" applyFont="1" applyFill="1" applyBorder="1" applyAlignment="1" applyProtection="1">
      <alignment horizontal="center"/>
    </xf>
    <xf numFmtId="3" fontId="38" fillId="8" borderId="44" xfId="0" applyNumberFormat="1" applyFont="1" applyFill="1" applyBorder="1" applyAlignment="1">
      <alignment horizontal="center" vertical="center" wrapText="1"/>
    </xf>
    <xf numFmtId="3" fontId="17" fillId="13" borderId="7" xfId="2" applyNumberFormat="1" applyFont="1" applyFill="1" applyBorder="1" applyAlignment="1" applyProtection="1">
      <alignment vertical="center"/>
    </xf>
    <xf numFmtId="0" fontId="17" fillId="13" borderId="37" xfId="2" applyFont="1" applyFill="1" applyBorder="1" applyAlignment="1" applyProtection="1">
      <alignment vertical="center"/>
    </xf>
    <xf numFmtId="0" fontId="2" fillId="5" borderId="23" xfId="0" applyFont="1" applyFill="1" applyBorder="1" applyAlignment="1" applyProtection="1">
      <alignment vertical="top" wrapText="1"/>
    </xf>
    <xf numFmtId="0" fontId="1" fillId="0" borderId="23" xfId="0" applyFont="1" applyFill="1" applyBorder="1" applyAlignment="1" applyProtection="1">
      <alignment vertical="top" wrapText="1"/>
    </xf>
    <xf numFmtId="3" fontId="2" fillId="5" borderId="8" xfId="0" applyNumberFormat="1" applyFont="1" applyFill="1" applyBorder="1" applyAlignment="1" applyProtection="1">
      <alignment horizontal="right" vertical="top" wrapText="1"/>
    </xf>
    <xf numFmtId="0" fontId="2" fillId="5" borderId="39" xfId="0" applyFont="1" applyFill="1" applyBorder="1" applyAlignment="1" applyProtection="1">
      <alignment vertical="top" wrapText="1"/>
    </xf>
    <xf numFmtId="0" fontId="2" fillId="10" borderId="16" xfId="0" applyFont="1" applyFill="1" applyBorder="1" applyAlignment="1">
      <alignment horizontal="left"/>
    </xf>
    <xf numFmtId="169" fontId="1" fillId="10" borderId="23" xfId="11" applyNumberFormat="1" applyFont="1" applyFill="1" applyBorder="1" applyAlignment="1">
      <alignment horizontal="right"/>
    </xf>
    <xf numFmtId="0" fontId="16" fillId="12" borderId="28" xfId="1" applyFont="1" applyFill="1" applyBorder="1" applyAlignment="1">
      <alignment horizontal="center"/>
    </xf>
    <xf numFmtId="0" fontId="20" fillId="17" borderId="0" xfId="0" applyFont="1" applyFill="1" applyAlignment="1" applyProtection="1">
      <alignment horizontal="center" vertical="center" wrapText="1"/>
    </xf>
    <xf numFmtId="173" fontId="20" fillId="17" borderId="0" xfId="0" applyNumberFormat="1" applyFont="1" applyFill="1" applyAlignment="1" applyProtection="1">
      <alignment horizontal="right" vertical="center" wrapText="1"/>
    </xf>
    <xf numFmtId="0" fontId="20" fillId="17" borderId="0" xfId="0" applyFont="1" applyFill="1" applyAlignment="1" applyProtection="1">
      <alignment horizontal="left" vertical="center"/>
    </xf>
    <xf numFmtId="41" fontId="0" fillId="11" borderId="0" xfId="14" applyFont="1" applyFill="1"/>
    <xf numFmtId="3" fontId="39" fillId="0" borderId="0" xfId="15" applyNumberFormat="1" applyFill="1" applyProtection="1">
      <protection locked="0"/>
    </xf>
    <xf numFmtId="0" fontId="0" fillId="0" borderId="0" xfId="0" applyAlignment="1">
      <alignment horizontal="center"/>
    </xf>
    <xf numFmtId="3" fontId="4" fillId="2" borderId="59" xfId="0" applyNumberFormat="1" applyFont="1" applyFill="1" applyBorder="1" applyAlignment="1">
      <alignment vertical="center"/>
    </xf>
    <xf numFmtId="3" fontId="1" fillId="0" borderId="59" xfId="0" applyNumberFormat="1" applyFont="1" applyFill="1" applyBorder="1" applyAlignment="1">
      <alignment horizontal="right" vertical="top" wrapText="1"/>
    </xf>
    <xf numFmtId="3" fontId="1" fillId="0" borderId="58" xfId="0" applyNumberFormat="1" applyFont="1" applyFill="1" applyBorder="1" applyAlignment="1">
      <alignment horizontal="right" vertical="top" wrapText="1"/>
    </xf>
    <xf numFmtId="3" fontId="2" fillId="0" borderId="2" xfId="0" applyNumberFormat="1" applyFont="1" applyFill="1" applyBorder="1" applyAlignment="1" applyProtection="1">
      <alignment horizontal="right" vertical="top" wrapText="1"/>
    </xf>
    <xf numFmtId="3" fontId="1" fillId="0" borderId="58" xfId="0" applyNumberFormat="1" applyFont="1" applyFill="1" applyBorder="1"/>
    <xf numFmtId="168" fontId="1" fillId="0" borderId="1" xfId="0" quotePrefix="1" applyNumberFormat="1" applyFont="1" applyFill="1" applyBorder="1" applyAlignment="1" applyProtection="1">
      <alignment horizontal="right" vertical="center" wrapText="1"/>
    </xf>
    <xf numFmtId="168" fontId="1" fillId="0" borderId="1" xfId="0" quotePrefix="1" applyNumberFormat="1" applyFont="1" applyFill="1" applyBorder="1" applyAlignment="1" applyProtection="1">
      <alignment horizontal="right" vertical="top" wrapText="1"/>
    </xf>
    <xf numFmtId="3" fontId="1" fillId="0" borderId="58" xfId="0" applyNumberFormat="1" applyFont="1" applyFill="1" applyBorder="1" applyAlignment="1" applyProtection="1">
      <alignment horizontal="right" vertical="top" wrapText="1"/>
    </xf>
    <xf numFmtId="172" fontId="1" fillId="0" borderId="36" xfId="7" applyNumberFormat="1" applyFont="1" applyFill="1" applyBorder="1" applyAlignment="1" applyProtection="1">
      <alignment horizontal="center" vertical="top" wrapText="1"/>
    </xf>
    <xf numFmtId="0" fontId="26" fillId="0" borderId="23" xfId="0" applyFont="1" applyFill="1" applyBorder="1" applyAlignment="1">
      <alignment horizontal="left" vertical="center" wrapText="1"/>
    </xf>
    <xf numFmtId="41" fontId="25" fillId="17" borderId="0" xfId="14" applyFont="1" applyFill="1" applyAlignment="1" applyProtection="1">
      <alignment horizontal="left" vertical="center" wrapText="1"/>
    </xf>
    <xf numFmtId="3" fontId="22" fillId="0" borderId="0" xfId="15" applyNumberFormat="1" applyFont="1" applyFill="1"/>
    <xf numFmtId="0" fontId="3" fillId="0" borderId="36" xfId="0" applyFont="1" applyFill="1" applyBorder="1" applyAlignment="1" applyProtection="1">
      <alignment horizontal="left" vertical="center"/>
    </xf>
    <xf numFmtId="0" fontId="3" fillId="0" borderId="36" xfId="0" applyFont="1" applyFill="1" applyBorder="1" applyAlignment="1" applyProtection="1">
      <alignment vertical="center"/>
    </xf>
    <xf numFmtId="0" fontId="24" fillId="5" borderId="46" xfId="0" applyFont="1" applyFill="1" applyBorder="1" applyAlignment="1" applyProtection="1">
      <alignment vertical="center"/>
    </xf>
    <xf numFmtId="3" fontId="1" fillId="0" borderId="58" xfId="0" applyNumberFormat="1" applyFont="1" applyFill="1" applyBorder="1" applyAlignment="1" applyProtection="1">
      <alignment horizontal="right" vertical="center"/>
      <protection locked="0"/>
    </xf>
    <xf numFmtId="3" fontId="2" fillId="5" borderId="51" xfId="0" applyNumberFormat="1" applyFont="1" applyFill="1" applyBorder="1" applyAlignment="1" applyProtection="1">
      <alignment vertical="center"/>
      <protection locked="0"/>
    </xf>
    <xf numFmtId="41" fontId="3" fillId="0" borderId="0" xfId="14" applyFont="1" applyFill="1" applyProtection="1">
      <protection locked="0"/>
    </xf>
    <xf numFmtId="41" fontId="3" fillId="0" borderId="0" xfId="14" applyFont="1" applyFill="1" applyAlignment="1" applyProtection="1">
      <alignment horizontal="center" vertical="center"/>
      <protection locked="0"/>
    </xf>
    <xf numFmtId="41" fontId="19" fillId="17" borderId="0" xfId="14" applyFont="1" applyFill="1" applyAlignment="1" applyProtection="1">
      <alignment horizontal="center" vertical="center" wrapText="1"/>
    </xf>
    <xf numFmtId="41" fontId="42" fillId="0" borderId="0" xfId="14" applyFont="1" applyFill="1" applyAlignment="1" applyProtection="1">
      <alignment vertical="center"/>
      <protection locked="0"/>
    </xf>
    <xf numFmtId="3" fontId="1" fillId="0" borderId="0" xfId="0" applyNumberFormat="1" applyFont="1" applyFill="1" applyAlignment="1" applyProtection="1">
      <alignment vertical="center"/>
      <protection locked="0"/>
    </xf>
    <xf numFmtId="41" fontId="25" fillId="17" borderId="0" xfId="14" applyFont="1" applyFill="1" applyAlignment="1" applyProtection="1">
      <alignment horizontal="center" vertical="center" wrapText="1"/>
    </xf>
    <xf numFmtId="0" fontId="20" fillId="17" borderId="0" xfId="0" applyFont="1" applyFill="1" applyAlignment="1" applyProtection="1">
      <alignment horizontal="left" vertical="center" wrapText="1"/>
    </xf>
    <xf numFmtId="0" fontId="27" fillId="0" borderId="0" xfId="0" applyFont="1" applyAlignment="1">
      <alignment horizontal="left"/>
    </xf>
    <xf numFmtId="173" fontId="27" fillId="0" borderId="0" xfId="0" applyNumberFormat="1" applyFont="1"/>
    <xf numFmtId="3" fontId="2" fillId="5" borderId="49" xfId="0" applyNumberFormat="1" applyFont="1" applyFill="1" applyBorder="1" applyAlignment="1" applyProtection="1">
      <alignment vertical="center"/>
      <protection locked="0"/>
    </xf>
    <xf numFmtId="0" fontId="15" fillId="0" borderId="0" xfId="0" applyFont="1" applyBorder="1" applyAlignment="1" applyProtection="1">
      <protection locked="0"/>
    </xf>
    <xf numFmtId="0" fontId="1" fillId="0" borderId="0" xfId="0" applyFont="1" applyBorder="1" applyAlignment="1" applyProtection="1">
      <protection locked="0"/>
    </xf>
    <xf numFmtId="171" fontId="1" fillId="0" borderId="0" xfId="8" applyNumberFormat="1" applyFont="1" applyBorder="1" applyAlignment="1" applyProtection="1">
      <protection locked="0"/>
    </xf>
    <xf numFmtId="0" fontId="21" fillId="0" borderId="0" xfId="0" applyFont="1" applyAlignment="1">
      <alignment horizontal="left"/>
    </xf>
    <xf numFmtId="0" fontId="21" fillId="11" borderId="0" xfId="0" applyFont="1" applyFill="1" applyAlignment="1" applyProtection="1">
      <alignment horizontal="left" vertical="center"/>
    </xf>
    <xf numFmtId="173" fontId="21" fillId="11" borderId="0" xfId="0" applyNumberFormat="1" applyFont="1" applyFill="1" applyAlignment="1" applyProtection="1">
      <alignment horizontal="right" vertical="center"/>
    </xf>
    <xf numFmtId="41" fontId="26" fillId="11" borderId="0" xfId="14" applyFont="1" applyFill="1" applyAlignment="1"/>
    <xf numFmtId="0" fontId="21" fillId="0" borderId="0" xfId="0" applyFont="1" applyAlignment="1">
      <alignment horizontal="right"/>
    </xf>
    <xf numFmtId="0" fontId="26" fillId="0" borderId="0" xfId="0" applyFont="1" applyAlignment="1">
      <alignment horizontal="right"/>
    </xf>
    <xf numFmtId="0" fontId="38" fillId="8" borderId="9" xfId="0" applyNumberFormat="1" applyFont="1" applyFill="1" applyBorder="1" applyAlignment="1">
      <alignment horizontal="center" vertical="center"/>
    </xf>
    <xf numFmtId="3" fontId="3" fillId="11" borderId="17" xfId="0" applyNumberFormat="1" applyFont="1" applyFill="1" applyBorder="1" applyAlignment="1">
      <alignment horizontal="right" vertical="top" wrapText="1"/>
    </xf>
    <xf numFmtId="3" fontId="3" fillId="11" borderId="0" xfId="0" applyNumberFormat="1" applyFont="1" applyFill="1" applyBorder="1"/>
    <xf numFmtId="3" fontId="2" fillId="7" borderId="44" xfId="0" applyNumberFormat="1" applyFont="1" applyFill="1" applyBorder="1" applyAlignment="1">
      <alignment horizontal="center" vertical="center" wrapText="1"/>
    </xf>
    <xf numFmtId="3" fontId="2" fillId="7" borderId="41" xfId="0" applyNumberFormat="1" applyFont="1" applyFill="1" applyBorder="1" applyAlignment="1">
      <alignment horizontal="center" vertical="center" wrapText="1"/>
    </xf>
    <xf numFmtId="3" fontId="3" fillId="11" borderId="1" xfId="0" applyNumberFormat="1" applyFont="1" applyFill="1" applyBorder="1" applyAlignment="1">
      <alignment horizontal="right" vertical="center" wrapText="1"/>
    </xf>
    <xf numFmtId="3" fontId="3" fillId="11" borderId="16" xfId="0" applyNumberFormat="1" applyFont="1" applyFill="1" applyBorder="1" applyAlignment="1">
      <alignment horizontal="right" vertical="center" wrapText="1"/>
    </xf>
    <xf numFmtId="3" fontId="18" fillId="11" borderId="0" xfId="0" applyNumberFormat="1" applyFont="1" applyFill="1"/>
    <xf numFmtId="170" fontId="1" fillId="10" borderId="11" xfId="0" applyNumberFormat="1" applyFont="1" applyFill="1" applyBorder="1" applyAlignment="1" applyProtection="1">
      <alignment horizontal="left"/>
    </xf>
    <xf numFmtId="167" fontId="1" fillId="10" borderId="0" xfId="0" applyNumberFormat="1" applyFont="1" applyFill="1" applyBorder="1" applyAlignment="1" applyProtection="1">
      <alignment horizontal="left" vertical="center"/>
    </xf>
    <xf numFmtId="168" fontId="1" fillId="10" borderId="0" xfId="0" applyNumberFormat="1" applyFont="1" applyFill="1" applyBorder="1" applyAlignment="1" applyProtection="1">
      <alignment horizontal="left" vertical="center"/>
    </xf>
    <xf numFmtId="168" fontId="1" fillId="10" borderId="0" xfId="0" applyNumberFormat="1" applyFont="1" applyFill="1" applyBorder="1" applyProtection="1"/>
    <xf numFmtId="0" fontId="1" fillId="10" borderId="0" xfId="0" applyFont="1" applyFill="1" applyBorder="1" applyAlignment="1" applyProtection="1"/>
    <xf numFmtId="3" fontId="1" fillId="10" borderId="0" xfId="0" applyNumberFormat="1" applyFont="1" applyFill="1" applyBorder="1" applyProtection="1"/>
    <xf numFmtId="3" fontId="1" fillId="10" borderId="0" xfId="0" applyNumberFormat="1" applyFont="1" applyFill="1" applyBorder="1" applyAlignment="1" applyProtection="1">
      <alignment horizontal="center"/>
    </xf>
    <xf numFmtId="3" fontId="1" fillId="11" borderId="0" xfId="0" applyNumberFormat="1" applyFont="1" applyFill="1" applyBorder="1" applyProtection="1">
      <protection locked="0"/>
    </xf>
    <xf numFmtId="3" fontId="1" fillId="11" borderId="0" xfId="0" applyNumberFormat="1" applyFont="1" applyFill="1" applyBorder="1" applyProtection="1"/>
    <xf numFmtId="3" fontId="1" fillId="11" borderId="0" xfId="0" applyNumberFormat="1" applyFont="1" applyFill="1" applyBorder="1" applyAlignment="1" applyProtection="1">
      <alignment horizontal="right"/>
      <protection locked="0"/>
    </xf>
    <xf numFmtId="10" fontId="1" fillId="10" borderId="0" xfId="7" applyNumberFormat="1" applyFont="1" applyFill="1" applyBorder="1" applyAlignment="1">
      <alignment horizontal="center"/>
    </xf>
    <xf numFmtId="10" fontId="4" fillId="8" borderId="12" xfId="7" applyNumberFormat="1" applyFont="1" applyFill="1" applyBorder="1" applyAlignment="1" applyProtection="1">
      <alignment horizontal="center"/>
    </xf>
    <xf numFmtId="10" fontId="2" fillId="8" borderId="22" xfId="7" applyNumberFormat="1" applyFont="1" applyFill="1" applyBorder="1" applyAlignment="1">
      <alignment horizontal="center" vertical="center" wrapText="1"/>
    </xf>
    <xf numFmtId="10" fontId="17" fillId="13" borderId="34" xfId="7" applyNumberFormat="1" applyFont="1" applyFill="1" applyBorder="1" applyAlignment="1" applyProtection="1">
      <alignment horizontal="center" vertical="center"/>
    </xf>
    <xf numFmtId="10" fontId="1" fillId="0" borderId="23" xfId="7" applyNumberFormat="1" applyFont="1" applyFill="1" applyBorder="1" applyAlignment="1" applyProtection="1">
      <alignment horizontal="center" vertical="top" wrapText="1"/>
    </xf>
    <xf numFmtId="10" fontId="1" fillId="0" borderId="23" xfId="7" applyNumberFormat="1" applyFont="1" applyFill="1" applyBorder="1" applyAlignment="1" applyProtection="1">
      <alignment horizontal="center" vertical="center" wrapText="1"/>
    </xf>
    <xf numFmtId="10" fontId="3" fillId="0" borderId="23" xfId="7" applyNumberFormat="1" applyFont="1" applyFill="1" applyBorder="1" applyAlignment="1" applyProtection="1">
      <alignment horizontal="center" vertical="top" wrapText="1"/>
    </xf>
    <xf numFmtId="10" fontId="1" fillId="0" borderId="0" xfId="7" applyNumberFormat="1" applyFont="1" applyBorder="1"/>
    <xf numFmtId="10" fontId="1" fillId="0" borderId="0" xfId="7" applyNumberFormat="1" applyFont="1"/>
    <xf numFmtId="0" fontId="16" fillId="12" borderId="28" xfId="1" applyFont="1" applyFill="1" applyBorder="1" applyAlignment="1">
      <alignment horizontal="center"/>
    </xf>
    <xf numFmtId="0" fontId="25" fillId="19" borderId="0" xfId="0" applyFont="1" applyFill="1" applyAlignment="1" applyProtection="1">
      <alignment horizontal="left" vertical="center" wrapText="1"/>
    </xf>
    <xf numFmtId="41" fontId="21" fillId="17" borderId="0" xfId="14" applyFont="1" applyFill="1" applyAlignment="1" applyProtection="1">
      <alignment horizontal="left" vertical="center" wrapText="1"/>
    </xf>
    <xf numFmtId="0" fontId="44" fillId="17" borderId="0" xfId="0" applyFont="1" applyFill="1" applyAlignment="1" applyProtection="1">
      <alignment horizontal="center" vertical="center" wrapText="1"/>
    </xf>
    <xf numFmtId="0" fontId="44" fillId="17" borderId="0" xfId="0" applyFont="1" applyFill="1" applyAlignment="1" applyProtection="1">
      <alignment horizontal="left" vertical="center" wrapText="1"/>
    </xf>
    <xf numFmtId="173" fontId="44" fillId="17" borderId="0" xfId="0" applyNumberFormat="1" applyFont="1" applyFill="1" applyAlignment="1" applyProtection="1">
      <alignment horizontal="right" vertical="center" wrapText="1"/>
    </xf>
    <xf numFmtId="41" fontId="44" fillId="17" borderId="0" xfId="14" applyFont="1" applyFill="1" applyAlignment="1" applyProtection="1">
      <alignment horizontal="left" vertical="center" wrapText="1"/>
    </xf>
    <xf numFmtId="3" fontId="2" fillId="5" borderId="61" xfId="0" applyNumberFormat="1" applyFont="1" applyFill="1" applyBorder="1" applyAlignment="1">
      <alignment horizontal="right" vertical="top" wrapText="1"/>
    </xf>
    <xf numFmtId="3" fontId="2" fillId="5" borderId="13" xfId="0" applyNumberFormat="1" applyFont="1" applyFill="1" applyBorder="1"/>
    <xf numFmtId="10" fontId="39" fillId="0" borderId="0" xfId="15" applyNumberFormat="1" applyFill="1"/>
    <xf numFmtId="3" fontId="2" fillId="5" borderId="49" xfId="0" applyNumberFormat="1" applyFont="1" applyFill="1" applyBorder="1" applyAlignment="1" applyProtection="1">
      <alignment horizontal="right" vertical="center" wrapText="1"/>
    </xf>
    <xf numFmtId="3" fontId="39" fillId="22" borderId="0" xfId="15" applyNumberFormat="1" applyProtection="1">
      <protection locked="0"/>
    </xf>
    <xf numFmtId="168" fontId="1" fillId="0" borderId="0" xfId="0" applyNumberFormat="1" applyFont="1" applyFill="1" applyAlignment="1" applyProtection="1">
      <protection locked="0"/>
    </xf>
    <xf numFmtId="168" fontId="3" fillId="0" borderId="1" xfId="0" applyNumberFormat="1" applyFont="1" applyFill="1" applyBorder="1" applyAlignment="1" applyProtection="1">
      <alignment vertical="center"/>
    </xf>
    <xf numFmtId="0" fontId="10" fillId="16" borderId="9" xfId="1" applyFont="1" applyFill="1" applyBorder="1" applyAlignment="1">
      <alignment vertical="center"/>
    </xf>
    <xf numFmtId="168" fontId="1" fillId="10" borderId="14" xfId="0" applyNumberFormat="1" applyFont="1" applyFill="1" applyBorder="1" applyAlignment="1" applyProtection="1">
      <alignment vertical="center"/>
      <protection locked="0"/>
    </xf>
    <xf numFmtId="168" fontId="1" fillId="10" borderId="11" xfId="0" applyNumberFormat="1" applyFont="1" applyFill="1" applyBorder="1" applyAlignment="1" applyProtection="1">
      <alignment vertical="center"/>
      <protection locked="0"/>
    </xf>
    <xf numFmtId="168" fontId="1" fillId="10" borderId="13" xfId="0" applyNumberFormat="1" applyFont="1" applyFill="1" applyBorder="1" applyAlignment="1" applyProtection="1">
      <protection locked="0"/>
    </xf>
    <xf numFmtId="168" fontId="1" fillId="0" borderId="0" xfId="0" applyNumberFormat="1" applyFont="1" applyAlignment="1" applyProtection="1">
      <protection locked="0"/>
    </xf>
    <xf numFmtId="168" fontId="33" fillId="16" borderId="12" xfId="0" applyNumberFormat="1" applyFont="1" applyFill="1" applyBorder="1" applyAlignment="1" applyProtection="1">
      <alignment vertical="center"/>
      <protection locked="0"/>
    </xf>
    <xf numFmtId="168" fontId="1" fillId="0" borderId="59" xfId="0" applyNumberFormat="1" applyFont="1" applyBorder="1" applyAlignment="1" applyProtection="1">
      <protection locked="0"/>
    </xf>
    <xf numFmtId="168" fontId="33" fillId="16" borderId="20" xfId="0" applyNumberFormat="1" applyFont="1" applyFill="1" applyBorder="1" applyAlignment="1" applyProtection="1">
      <alignment vertical="center"/>
      <protection locked="0"/>
    </xf>
    <xf numFmtId="168" fontId="1" fillId="0" borderId="19" xfId="0" applyNumberFormat="1" applyFont="1" applyBorder="1" applyAlignment="1" applyProtection="1">
      <protection locked="0"/>
    </xf>
    <xf numFmtId="41" fontId="1" fillId="0" borderId="0" xfId="14" applyFont="1" applyFill="1" applyAlignment="1" applyProtection="1">
      <alignment vertical="center" wrapText="1"/>
      <protection locked="0"/>
    </xf>
    <xf numFmtId="41" fontId="2" fillId="0" borderId="0" xfId="14" applyFont="1" applyFill="1" applyAlignment="1" applyProtection="1">
      <alignment vertical="center"/>
      <protection locked="0"/>
    </xf>
    <xf numFmtId="170" fontId="3" fillId="10" borderId="11" xfId="0" applyNumberFormat="1" applyFont="1" applyFill="1" applyBorder="1" applyAlignment="1" applyProtection="1">
      <alignment vertical="center"/>
    </xf>
    <xf numFmtId="170" fontId="3" fillId="10" borderId="0" xfId="0" applyNumberFormat="1" applyFont="1" applyFill="1" applyBorder="1" applyAlignment="1" applyProtection="1">
      <alignment vertical="center"/>
    </xf>
    <xf numFmtId="170" fontId="3" fillId="10" borderId="31" xfId="0" applyNumberFormat="1" applyFont="1" applyFill="1" applyBorder="1" applyAlignment="1" applyProtection="1">
      <alignment vertical="center"/>
    </xf>
    <xf numFmtId="3" fontId="1" fillId="0" borderId="55" xfId="0" applyNumberFormat="1" applyFont="1" applyFill="1" applyBorder="1" applyAlignment="1" applyProtection="1">
      <alignment vertical="center"/>
      <protection locked="0"/>
    </xf>
    <xf numFmtId="3" fontId="2" fillId="5" borderId="55" xfId="0" applyNumberFormat="1" applyFont="1" applyFill="1" applyBorder="1" applyAlignment="1">
      <alignment horizontal="right" vertical="center" wrapText="1"/>
    </xf>
    <xf numFmtId="0" fontId="20" fillId="17" borderId="0" xfId="0" applyFont="1" applyFill="1" applyAlignment="1" applyProtection="1">
      <alignment horizontal="center" vertical="center"/>
    </xf>
    <xf numFmtId="0" fontId="26" fillId="0" borderId="0" xfId="0" applyFont="1" applyAlignment="1">
      <alignment wrapText="1"/>
    </xf>
    <xf numFmtId="41" fontId="21" fillId="0" borderId="0" xfId="14" applyFont="1" applyAlignment="1" applyProtection="1">
      <alignment horizontal="left" vertical="center" wrapText="1"/>
    </xf>
    <xf numFmtId="41" fontId="1" fillId="0" borderId="1" xfId="0" applyNumberFormat="1" applyFont="1" applyFill="1" applyBorder="1" applyAlignment="1">
      <alignment vertical="top"/>
    </xf>
    <xf numFmtId="41" fontId="1" fillId="11" borderId="0" xfId="0" applyNumberFormat="1" applyFont="1" applyFill="1"/>
    <xf numFmtId="41" fontId="2" fillId="11" borderId="0" xfId="14" applyFont="1" applyFill="1"/>
    <xf numFmtId="41" fontId="18" fillId="11" borderId="0" xfId="14" applyFont="1" applyFill="1"/>
    <xf numFmtId="3" fontId="3" fillId="0" borderId="1" xfId="0" applyNumberFormat="1" applyFont="1" applyFill="1" applyBorder="1" applyAlignment="1">
      <alignment horizontal="right"/>
    </xf>
    <xf numFmtId="41" fontId="35" fillId="11" borderId="0" xfId="14" applyFont="1" applyFill="1"/>
    <xf numFmtId="174" fontId="1" fillId="11" borderId="0" xfId="0" applyNumberFormat="1" applyFont="1" applyFill="1"/>
    <xf numFmtId="0" fontId="43" fillId="11" borderId="0" xfId="0" applyFont="1" applyFill="1" applyAlignment="1" applyProtection="1">
      <alignment horizontal="center" vertical="center" wrapText="1"/>
    </xf>
    <xf numFmtId="174" fontId="0" fillId="11" borderId="0" xfId="0" applyNumberFormat="1" applyFill="1"/>
    <xf numFmtId="0" fontId="16" fillId="12" borderId="28" xfId="1" applyFont="1" applyFill="1" applyBorder="1" applyAlignment="1">
      <alignment horizontal="center"/>
    </xf>
    <xf numFmtId="0" fontId="0" fillId="0" borderId="0" xfId="0" applyAlignment="1">
      <alignment horizontal="center"/>
    </xf>
    <xf numFmtId="41" fontId="45" fillId="11" borderId="0" xfId="14" applyFont="1" applyFill="1"/>
    <xf numFmtId="0" fontId="19" fillId="17" borderId="0" xfId="0" applyFont="1" applyFill="1" applyAlignment="1" applyProtection="1">
      <alignment horizontal="left" vertical="center"/>
    </xf>
    <xf numFmtId="3" fontId="4" fillId="2" borderId="62" xfId="0" applyNumberFormat="1" applyFont="1" applyFill="1" applyBorder="1" applyAlignment="1">
      <alignment vertical="center"/>
    </xf>
    <xf numFmtId="168" fontId="1" fillId="0" borderId="0" xfId="0" applyNumberFormat="1" applyFont="1" applyFill="1" applyAlignment="1">
      <alignment horizontal="center"/>
    </xf>
    <xf numFmtId="168" fontId="17" fillId="13" borderId="6" xfId="2" applyNumberFormat="1" applyFont="1" applyFill="1" applyBorder="1" applyAlignment="1" applyProtection="1">
      <alignment horizontal="center" vertical="center"/>
    </xf>
    <xf numFmtId="168" fontId="12" fillId="5" borderId="1" xfId="0" applyNumberFormat="1" applyFont="1" applyFill="1" applyBorder="1" applyAlignment="1" applyProtection="1">
      <alignment horizontal="center" vertical="top" wrapText="1"/>
    </xf>
    <xf numFmtId="168" fontId="12" fillId="0" borderId="1" xfId="0" applyNumberFormat="1" applyFont="1" applyFill="1" applyBorder="1" applyAlignment="1" applyProtection="1">
      <alignment horizontal="center" vertical="top" wrapText="1"/>
    </xf>
    <xf numFmtId="168" fontId="2" fillId="5" borderId="3" xfId="0" applyNumberFormat="1" applyFont="1" applyFill="1" applyBorder="1" applyAlignment="1" applyProtection="1">
      <alignment horizontal="center" vertical="top" wrapText="1"/>
    </xf>
    <xf numFmtId="168" fontId="1" fillId="0" borderId="0" xfId="0" applyNumberFormat="1" applyFont="1" applyBorder="1" applyAlignment="1">
      <alignment horizontal="center"/>
    </xf>
    <xf numFmtId="168" fontId="1" fillId="0" borderId="0" xfId="0" applyNumberFormat="1" applyFont="1" applyAlignment="1">
      <alignment horizontal="center"/>
    </xf>
    <xf numFmtId="0" fontId="19" fillId="11" borderId="0" xfId="0" applyFont="1" applyFill="1" applyAlignment="1" applyProtection="1">
      <alignment horizontal="center" vertical="center" wrapText="1"/>
    </xf>
    <xf numFmtId="0" fontId="19" fillId="11" borderId="0" xfId="0" applyFont="1" applyFill="1" applyAlignment="1" applyProtection="1">
      <alignment horizontal="left" vertical="center" wrapText="1"/>
    </xf>
    <xf numFmtId="173" fontId="19" fillId="11" borderId="0" xfId="0" applyNumberFormat="1" applyFont="1" applyFill="1" applyAlignment="1" applyProtection="1">
      <alignment horizontal="right" vertical="center" wrapText="1"/>
    </xf>
    <xf numFmtId="3" fontId="1" fillId="0" borderId="49" xfId="0" applyNumberFormat="1" applyFont="1" applyFill="1" applyBorder="1" applyAlignment="1" applyProtection="1">
      <alignment vertical="center"/>
      <protection locked="0"/>
    </xf>
    <xf numFmtId="3" fontId="2" fillId="5" borderId="47" xfId="0" applyNumberFormat="1" applyFont="1" applyFill="1" applyBorder="1" applyAlignment="1" applyProtection="1">
      <alignment vertical="center"/>
      <protection locked="0"/>
    </xf>
    <xf numFmtId="10" fontId="1" fillId="0" borderId="0" xfId="7" applyNumberFormat="1" applyFont="1" applyProtection="1">
      <protection locked="0"/>
    </xf>
    <xf numFmtId="10" fontId="1" fillId="0" borderId="0" xfId="7" applyNumberFormat="1" applyFont="1" applyFill="1" applyProtection="1">
      <protection locked="0"/>
    </xf>
    <xf numFmtId="10" fontId="3" fillId="10" borderId="0" xfId="7" applyNumberFormat="1" applyFont="1" applyFill="1" applyBorder="1" applyAlignment="1" applyProtection="1">
      <alignment vertical="center"/>
    </xf>
    <xf numFmtId="10" fontId="2" fillId="8" borderId="9" xfId="7" applyNumberFormat="1" applyFont="1" applyFill="1" applyBorder="1" applyAlignment="1" applyProtection="1">
      <alignment horizontal="center"/>
    </xf>
    <xf numFmtId="10" fontId="2" fillId="8" borderId="42" xfId="7" applyNumberFormat="1" applyFont="1" applyFill="1" applyBorder="1" applyAlignment="1">
      <alignment horizontal="center" vertical="center" wrapText="1"/>
    </xf>
    <xf numFmtId="10" fontId="24" fillId="5" borderId="23" xfId="7" applyNumberFormat="1" applyFont="1" applyFill="1" applyBorder="1" applyAlignment="1" applyProtection="1">
      <alignment horizontal="center" vertical="center" wrapText="1"/>
    </xf>
    <xf numFmtId="10" fontId="24" fillId="0" borderId="23" xfId="7" applyNumberFormat="1" applyFont="1" applyFill="1" applyBorder="1" applyAlignment="1" applyProtection="1">
      <alignment horizontal="center" vertical="center" wrapText="1"/>
    </xf>
    <xf numFmtId="10" fontId="24" fillId="5" borderId="39" xfId="7" applyNumberFormat="1" applyFont="1" applyFill="1" applyBorder="1" applyAlignment="1" applyProtection="1">
      <alignment horizontal="center" vertical="center" wrapText="1"/>
    </xf>
    <xf numFmtId="10" fontId="1" fillId="0" borderId="0" xfId="7" applyNumberFormat="1" applyFont="1" applyFill="1" applyBorder="1" applyProtection="1">
      <protection locked="0"/>
    </xf>
    <xf numFmtId="10" fontId="1" fillId="0" borderId="0" xfId="7" applyNumberFormat="1" applyFont="1" applyFill="1" applyAlignment="1" applyProtection="1">
      <alignment vertical="center"/>
      <protection locked="0"/>
    </xf>
    <xf numFmtId="3" fontId="24" fillId="5" borderId="49" xfId="0" applyNumberFormat="1" applyFont="1" applyFill="1" applyBorder="1" applyAlignment="1" applyProtection="1">
      <alignment vertical="center"/>
      <protection locked="0"/>
    </xf>
    <xf numFmtId="3" fontId="24" fillId="5" borderId="49" xfId="0" applyNumberFormat="1" applyFont="1" applyFill="1" applyBorder="1" applyAlignment="1" applyProtection="1">
      <alignment horizontal="right" vertical="center" wrapText="1"/>
    </xf>
    <xf numFmtId="3" fontId="24" fillId="5" borderId="47" xfId="0" applyNumberFormat="1" applyFont="1" applyFill="1" applyBorder="1" applyAlignment="1" applyProtection="1">
      <alignment vertical="center"/>
      <protection locked="0"/>
    </xf>
    <xf numFmtId="41" fontId="20" fillId="17" borderId="0" xfId="14" applyFont="1" applyFill="1" applyAlignment="1" applyProtection="1">
      <alignment horizontal="center" vertical="center" wrapText="1"/>
    </xf>
    <xf numFmtId="3" fontId="24" fillId="5" borderId="59" xfId="0" applyNumberFormat="1" applyFont="1" applyFill="1" applyBorder="1" applyAlignment="1" applyProtection="1">
      <alignment vertical="center"/>
      <protection locked="0"/>
    </xf>
    <xf numFmtId="3" fontId="4" fillId="2" borderId="22" xfId="0" applyNumberFormat="1" applyFont="1" applyFill="1" applyBorder="1" applyAlignment="1" applyProtection="1">
      <alignment vertical="center" wrapText="1"/>
      <protection locked="0"/>
    </xf>
    <xf numFmtId="3" fontId="1" fillId="0" borderId="52" xfId="0" applyNumberFormat="1" applyFont="1" applyFill="1" applyBorder="1" applyAlignment="1">
      <alignment horizontal="right" vertical="center" wrapText="1"/>
    </xf>
    <xf numFmtId="0" fontId="20" fillId="11" borderId="0" xfId="0" applyFont="1" applyFill="1" applyAlignment="1" applyProtection="1">
      <alignment horizontal="center" vertical="center" wrapText="1"/>
    </xf>
    <xf numFmtId="0" fontId="20" fillId="11" borderId="0" xfId="0" applyFont="1" applyFill="1" applyAlignment="1" applyProtection="1">
      <alignment horizontal="left" vertical="center"/>
    </xf>
    <xf numFmtId="0" fontId="20" fillId="11" borderId="0" xfId="0" applyFont="1" applyFill="1" applyAlignment="1" applyProtection="1">
      <alignment horizontal="left" vertical="center" wrapText="1"/>
    </xf>
    <xf numFmtId="173" fontId="20" fillId="11" borderId="0" xfId="0" applyNumberFormat="1" applyFont="1" applyFill="1" applyAlignment="1" applyProtection="1">
      <alignment horizontal="right" vertical="center" wrapText="1"/>
    </xf>
    <xf numFmtId="41" fontId="20" fillId="11" borderId="0" xfId="14" applyFont="1" applyFill="1" applyAlignment="1" applyProtection="1">
      <alignment horizontal="center" vertical="center" wrapText="1"/>
    </xf>
    <xf numFmtId="173" fontId="19" fillId="17" borderId="0" xfId="0" applyNumberFormat="1" applyFont="1" applyFill="1" applyAlignment="1" applyProtection="1">
      <alignment horizontal="left" vertical="center"/>
    </xf>
    <xf numFmtId="173" fontId="19" fillId="17" borderId="0" xfId="0" applyNumberFormat="1" applyFont="1" applyFill="1" applyAlignment="1" applyProtection="1">
      <alignment horizontal="center" vertical="center"/>
    </xf>
    <xf numFmtId="173" fontId="0" fillId="0" borderId="0" xfId="0" applyNumberFormat="1" applyAlignment="1">
      <alignment horizontal="center"/>
    </xf>
    <xf numFmtId="172" fontId="1" fillId="10" borderId="0" xfId="7" applyNumberFormat="1" applyFont="1" applyFill="1" applyBorder="1" applyAlignment="1">
      <alignment horizontal="center"/>
    </xf>
    <xf numFmtId="10" fontId="4" fillId="7" borderId="9" xfId="7" applyNumberFormat="1" applyFont="1" applyFill="1" applyBorder="1" applyAlignment="1">
      <alignment horizontal="center" vertical="center"/>
    </xf>
    <xf numFmtId="10" fontId="2" fillId="7" borderId="42" xfId="7" applyNumberFormat="1" applyFont="1" applyFill="1" applyBorder="1" applyAlignment="1">
      <alignment horizontal="center" vertical="center" wrapText="1"/>
    </xf>
    <xf numFmtId="10" fontId="17" fillId="13" borderId="37" xfId="7" applyNumberFormat="1" applyFont="1" applyFill="1" applyBorder="1" applyAlignment="1">
      <alignment horizontal="center" vertical="center"/>
    </xf>
    <xf numFmtId="10" fontId="2" fillId="5" borderId="23" xfId="7" applyNumberFormat="1" applyFont="1" applyFill="1" applyBorder="1" applyAlignment="1">
      <alignment horizontal="center"/>
    </xf>
    <xf numFmtId="10" fontId="1" fillId="0" borderId="23" xfId="7" applyNumberFormat="1" applyFont="1" applyFill="1" applyBorder="1" applyAlignment="1">
      <alignment horizontal="center" vertical="top" wrapText="1"/>
    </xf>
    <xf numFmtId="10" fontId="1" fillId="0" borderId="23" xfId="7" applyNumberFormat="1" applyFont="1" applyFill="1" applyBorder="1" applyAlignment="1">
      <alignment horizontal="center"/>
    </xf>
    <xf numFmtId="10" fontId="2" fillId="5" borderId="23" xfId="7" applyNumberFormat="1" applyFont="1" applyFill="1" applyBorder="1" applyAlignment="1">
      <alignment horizontal="center" vertical="top" wrapText="1"/>
    </xf>
    <xf numFmtId="10" fontId="3" fillId="0" borderId="23" xfId="7" applyNumberFormat="1" applyFont="1" applyFill="1" applyBorder="1" applyAlignment="1">
      <alignment horizontal="center"/>
    </xf>
    <xf numFmtId="10" fontId="1" fillId="0" borderId="26" xfId="7" applyNumberFormat="1" applyFont="1" applyFill="1" applyBorder="1" applyAlignment="1">
      <alignment horizontal="center"/>
    </xf>
    <xf numFmtId="10" fontId="2" fillId="5" borderId="39" xfId="7" applyNumberFormat="1" applyFont="1" applyFill="1" applyBorder="1" applyAlignment="1" applyProtection="1">
      <alignment horizontal="center" vertical="top" wrapText="1"/>
    </xf>
    <xf numFmtId="10" fontId="1" fillId="0" borderId="0" xfId="7" applyNumberFormat="1" applyFont="1" applyBorder="1" applyAlignment="1">
      <alignment horizontal="right"/>
    </xf>
    <xf numFmtId="10" fontId="1" fillId="0" borderId="0" xfId="7" applyNumberFormat="1" applyFont="1" applyAlignment="1">
      <alignment horizontal="right"/>
    </xf>
    <xf numFmtId="172" fontId="2" fillId="5" borderId="48" xfId="7" applyNumberFormat="1" applyFont="1" applyFill="1" applyBorder="1" applyAlignment="1" applyProtection="1">
      <alignment horizontal="center" vertical="top" wrapText="1"/>
    </xf>
    <xf numFmtId="172" fontId="1" fillId="0" borderId="0" xfId="7" applyNumberFormat="1" applyFont="1" applyBorder="1"/>
    <xf numFmtId="172" fontId="1" fillId="0" borderId="0" xfId="7" applyNumberFormat="1" applyFont="1"/>
    <xf numFmtId="10" fontId="4" fillId="8" borderId="9" xfId="7" applyNumberFormat="1" applyFont="1" applyFill="1" applyBorder="1" applyAlignment="1" applyProtection="1">
      <alignment horizontal="center"/>
    </xf>
    <xf numFmtId="10" fontId="2" fillId="8" borderId="21" xfId="7" applyNumberFormat="1" applyFont="1" applyFill="1" applyBorder="1" applyAlignment="1">
      <alignment horizontal="center" vertical="center" wrapText="1"/>
    </xf>
    <xf numFmtId="10" fontId="17" fillId="13" borderId="6" xfId="7" applyNumberFormat="1" applyFont="1" applyFill="1" applyBorder="1" applyAlignment="1">
      <alignment horizontal="center" vertical="center"/>
    </xf>
    <xf numFmtId="10" fontId="2" fillId="5" borderId="36" xfId="7" applyNumberFormat="1" applyFont="1" applyFill="1" applyBorder="1" applyAlignment="1" applyProtection="1">
      <alignment horizontal="center" vertical="top" wrapText="1"/>
    </xf>
    <xf numFmtId="10" fontId="1" fillId="0" borderId="1" xfId="7" applyNumberFormat="1" applyFont="1" applyFill="1" applyBorder="1" applyAlignment="1" applyProtection="1">
      <alignment horizontal="center" vertical="top" wrapText="1"/>
    </xf>
    <xf numFmtId="10" fontId="2" fillId="5" borderId="1" xfId="7" applyNumberFormat="1" applyFont="1" applyFill="1" applyBorder="1" applyAlignment="1" applyProtection="1">
      <alignment horizontal="center" vertical="top" wrapText="1"/>
    </xf>
    <xf numFmtId="10" fontId="3" fillId="0" borderId="1" xfId="7" applyNumberFormat="1" applyFont="1" applyFill="1" applyBorder="1" applyAlignment="1" applyProtection="1">
      <alignment horizontal="center" vertical="top" wrapText="1"/>
    </xf>
    <xf numFmtId="10" fontId="1" fillId="0" borderId="18" xfId="7" applyNumberFormat="1" applyFont="1" applyFill="1" applyBorder="1" applyAlignment="1" applyProtection="1">
      <alignment horizontal="center" vertical="center" wrapText="1"/>
    </xf>
    <xf numFmtId="10" fontId="2" fillId="5" borderId="48" xfId="7" applyNumberFormat="1" applyFont="1" applyFill="1" applyBorder="1" applyAlignment="1" applyProtection="1">
      <alignment horizontal="center" vertical="top" wrapText="1"/>
    </xf>
    <xf numFmtId="172" fontId="4" fillId="8" borderId="12" xfId="7" applyNumberFormat="1" applyFont="1" applyFill="1" applyBorder="1" applyAlignment="1" applyProtection="1">
      <alignment horizontal="center"/>
    </xf>
    <xf numFmtId="172" fontId="2" fillId="8" borderId="24" xfId="7" applyNumberFormat="1" applyFont="1" applyFill="1" applyBorder="1" applyAlignment="1">
      <alignment horizontal="center" vertical="center" wrapText="1"/>
    </xf>
    <xf numFmtId="172" fontId="17" fillId="13" borderId="34" xfId="7" applyNumberFormat="1" applyFont="1" applyFill="1" applyBorder="1" applyAlignment="1" applyProtection="1">
      <alignment horizontal="center" vertical="center"/>
    </xf>
    <xf numFmtId="41" fontId="26" fillId="0" borderId="0" xfId="14" applyFont="1" applyAlignment="1">
      <alignment vertical="top"/>
    </xf>
    <xf numFmtId="0" fontId="26" fillId="0" borderId="0" xfId="0" applyFont="1" applyAlignment="1">
      <alignment vertical="top"/>
    </xf>
    <xf numFmtId="168" fontId="24" fillId="0" borderId="1" xfId="0" quotePrefix="1" applyNumberFormat="1" applyFont="1" applyFill="1" applyBorder="1" applyAlignment="1">
      <alignment horizontal="left" vertical="center" wrapText="1"/>
    </xf>
    <xf numFmtId="0" fontId="31" fillId="11" borderId="13" xfId="2" applyFont="1" applyFill="1" applyBorder="1" applyAlignment="1"/>
    <xf numFmtId="167" fontId="31" fillId="11" borderId="25" xfId="2" applyNumberFormat="1" applyFont="1" applyFill="1" applyBorder="1" applyAlignment="1"/>
    <xf numFmtId="167" fontId="31" fillId="11" borderId="33" xfId="2" applyNumberFormat="1" applyFont="1" applyFill="1" applyBorder="1" applyAlignment="1"/>
    <xf numFmtId="175" fontId="0" fillId="0" borderId="0" xfId="0" applyNumberFormat="1"/>
    <xf numFmtId="0" fontId="16" fillId="12" borderId="28" xfId="1" applyFont="1" applyFill="1" applyBorder="1" applyAlignment="1">
      <alignment horizontal="center"/>
    </xf>
    <xf numFmtId="0" fontId="26" fillId="0" borderId="0" xfId="0" applyFont="1" applyAlignment="1">
      <alignment horizontal="center"/>
    </xf>
    <xf numFmtId="0" fontId="1" fillId="0" borderId="0" xfId="0" applyFont="1" applyFill="1" applyAlignment="1">
      <alignment horizontal="center" wrapText="1"/>
    </xf>
    <xf numFmtId="10" fontId="39" fillId="0" borderId="0" xfId="15" applyNumberFormat="1" applyFill="1" applyAlignment="1">
      <alignment horizontal="right"/>
    </xf>
    <xf numFmtId="168" fontId="3" fillId="0" borderId="1" xfId="0" quotePrefix="1" applyNumberFormat="1" applyFont="1" applyFill="1" applyBorder="1" applyAlignment="1" applyProtection="1">
      <alignment horizontal="right" vertical="center" wrapText="1"/>
    </xf>
    <xf numFmtId="49" fontId="24" fillId="0" borderId="1" xfId="0" applyNumberFormat="1" applyFont="1" applyFill="1" applyBorder="1" applyAlignment="1">
      <alignment horizontal="right" vertical="top" wrapText="1"/>
    </xf>
    <xf numFmtId="49" fontId="24" fillId="0" borderId="1" xfId="0" applyNumberFormat="1" applyFont="1" applyFill="1" applyBorder="1" applyAlignment="1" applyProtection="1">
      <alignment vertical="top" wrapText="1"/>
    </xf>
    <xf numFmtId="0" fontId="3" fillId="0" borderId="16" xfId="16" applyFont="1" applyFill="1" applyBorder="1" applyAlignment="1" applyProtection="1">
      <alignment horizontal="left" vertical="center" wrapText="1"/>
    </xf>
    <xf numFmtId="167" fontId="3" fillId="0" borderId="1" xfId="16" applyNumberFormat="1" applyFont="1" applyFill="1" applyBorder="1" applyAlignment="1" applyProtection="1">
      <alignment horizontal="left" vertical="center" wrapText="1"/>
    </xf>
    <xf numFmtId="168" fontId="3" fillId="0" borderId="1" xfId="16" applyNumberFormat="1" applyFont="1" applyFill="1" applyBorder="1" applyAlignment="1" applyProtection="1">
      <alignment horizontal="left" vertical="center" wrapText="1"/>
    </xf>
    <xf numFmtId="168" fontId="3" fillId="0" borderId="1" xfId="16" applyNumberFormat="1" applyFont="1" applyFill="1" applyBorder="1" applyAlignment="1" applyProtection="1">
      <alignment vertical="center" wrapText="1"/>
    </xf>
    <xf numFmtId="3" fontId="3" fillId="0" borderId="16" xfId="16" applyNumberFormat="1" applyFont="1" applyFill="1" applyBorder="1" applyAlignment="1" applyProtection="1">
      <alignment horizontal="right" vertical="center" wrapText="1"/>
    </xf>
    <xf numFmtId="3" fontId="3" fillId="0" borderId="1" xfId="16" applyNumberFormat="1" applyFont="1" applyFill="1" applyBorder="1" applyAlignment="1" applyProtection="1">
      <alignment horizontal="right" vertical="center" wrapText="1"/>
    </xf>
    <xf numFmtId="3" fontId="3" fillId="0" borderId="1" xfId="16" applyNumberFormat="1" applyFont="1" applyFill="1" applyBorder="1" applyAlignment="1" applyProtection="1">
      <alignment vertical="center"/>
    </xf>
    <xf numFmtId="3" fontId="3" fillId="0" borderId="16" xfId="16" applyNumberFormat="1" applyFont="1" applyFill="1" applyBorder="1" applyAlignment="1" applyProtection="1">
      <alignment vertical="center"/>
      <protection locked="0"/>
    </xf>
    <xf numFmtId="3" fontId="3" fillId="0" borderId="58" xfId="16" applyNumberFormat="1" applyFont="1" applyFill="1" applyBorder="1" applyAlignment="1" applyProtection="1">
      <alignment vertical="center"/>
      <protection locked="0"/>
    </xf>
    <xf numFmtId="3" fontId="3" fillId="0" borderId="49" xfId="16" applyNumberFormat="1" applyFont="1" applyFill="1" applyBorder="1" applyAlignment="1" applyProtection="1">
      <alignment vertical="center"/>
      <protection locked="0"/>
    </xf>
    <xf numFmtId="0" fontId="3" fillId="0" borderId="0" xfId="16" applyFont="1" applyFill="1" applyAlignment="1" applyProtection="1">
      <alignment vertical="center"/>
      <protection locked="0"/>
    </xf>
    <xf numFmtId="173" fontId="20" fillId="17" borderId="0" xfId="0" applyNumberFormat="1" applyFont="1" applyFill="1" applyAlignment="1" applyProtection="1">
      <alignment horizontal="right" vertical="center"/>
    </xf>
    <xf numFmtId="41" fontId="30" fillId="0" borderId="0" xfId="14" applyFont="1" applyAlignment="1"/>
    <xf numFmtId="41" fontId="0" fillId="0" borderId="0" xfId="14" applyFont="1" applyAlignment="1"/>
    <xf numFmtId="41" fontId="41" fillId="0" borderId="0" xfId="14" applyFont="1" applyAlignment="1"/>
    <xf numFmtId="0" fontId="25" fillId="17" borderId="0" xfId="0" applyFont="1" applyFill="1" applyAlignment="1" applyProtection="1">
      <alignment horizontal="center" vertical="top"/>
    </xf>
    <xf numFmtId="0" fontId="25" fillId="17" borderId="0" xfId="0" applyFont="1" applyFill="1" applyAlignment="1" applyProtection="1">
      <alignment horizontal="left" vertical="top"/>
    </xf>
    <xf numFmtId="0" fontId="0" fillId="0" borderId="0" xfId="0" applyAlignment="1">
      <alignment vertical="top"/>
    </xf>
    <xf numFmtId="0" fontId="0" fillId="0" borderId="0" xfId="0" applyAlignment="1">
      <alignment horizontal="left" vertical="top"/>
    </xf>
    <xf numFmtId="3" fontId="24" fillId="5" borderId="35" xfId="0" applyNumberFormat="1" applyFont="1" applyFill="1" applyBorder="1" applyAlignment="1" applyProtection="1">
      <alignment vertical="center"/>
      <protection locked="0"/>
    </xf>
    <xf numFmtId="0" fontId="47" fillId="0" borderId="64" xfId="0" applyNumberFormat="1" applyFont="1" applyFill="1" applyBorder="1" applyAlignment="1" applyProtection="1">
      <alignment horizontal="center" vertical="center" wrapText="1"/>
    </xf>
    <xf numFmtId="0" fontId="47" fillId="0" borderId="64" xfId="0" applyNumberFormat="1" applyFont="1" applyFill="1" applyBorder="1" applyAlignment="1" applyProtection="1">
      <alignment horizontal="left" vertical="center" wrapText="1"/>
    </xf>
    <xf numFmtId="173" fontId="46" fillId="0" borderId="64" xfId="0" applyNumberFormat="1" applyFont="1" applyFill="1" applyBorder="1" applyAlignment="1" applyProtection="1">
      <alignment vertical="center"/>
    </xf>
    <xf numFmtId="173" fontId="46" fillId="0" borderId="64" xfId="0" applyNumberFormat="1" applyFont="1" applyFill="1" applyBorder="1" applyAlignment="1" applyProtection="1">
      <alignment horizontal="right" vertical="center"/>
    </xf>
    <xf numFmtId="0" fontId="21" fillId="0" borderId="64" xfId="0" applyNumberFormat="1" applyFont="1" applyFill="1" applyBorder="1" applyAlignment="1" applyProtection="1">
      <alignment horizontal="left" vertical="center"/>
    </xf>
    <xf numFmtId="0" fontId="25" fillId="0" borderId="64" xfId="0" applyNumberFormat="1" applyFont="1" applyFill="1" applyBorder="1" applyAlignment="1" applyProtection="1">
      <alignment horizontal="center" vertical="center"/>
    </xf>
    <xf numFmtId="0" fontId="25" fillId="0" borderId="0" xfId="0" applyFont="1" applyAlignment="1"/>
    <xf numFmtId="0" fontId="1" fillId="11" borderId="0" xfId="0" applyFont="1" applyFill="1" applyAlignment="1"/>
    <xf numFmtId="0" fontId="1" fillId="10" borderId="0" xfId="0" applyFont="1" applyFill="1" applyBorder="1" applyAlignment="1"/>
    <xf numFmtId="0" fontId="1" fillId="11" borderId="0" xfId="0" applyFont="1" applyFill="1" applyBorder="1" applyAlignment="1"/>
    <xf numFmtId="3" fontId="1" fillId="11" borderId="0" xfId="0" applyNumberFormat="1" applyFont="1" applyFill="1" applyAlignment="1"/>
    <xf numFmtId="0" fontId="24" fillId="10" borderId="1" xfId="0" applyFont="1" applyFill="1" applyBorder="1" applyAlignment="1"/>
    <xf numFmtId="0" fontId="24" fillId="10" borderId="36" xfId="0" applyFont="1" applyFill="1" applyBorder="1" applyAlignment="1"/>
    <xf numFmtId="0" fontId="24" fillId="10" borderId="55" xfId="0" applyFont="1" applyFill="1" applyBorder="1" applyAlignment="1"/>
    <xf numFmtId="172" fontId="3" fillId="11" borderId="1" xfId="7" applyNumberFormat="1" applyFont="1" applyFill="1" applyBorder="1" applyAlignment="1">
      <alignment horizontal="center" vertical="center"/>
    </xf>
    <xf numFmtId="172" fontId="3" fillId="11" borderId="18" xfId="7" applyNumberFormat="1" applyFont="1" applyFill="1" applyBorder="1" applyAlignment="1">
      <alignment horizontal="center" vertical="center"/>
    </xf>
    <xf numFmtId="41" fontId="3" fillId="11" borderId="1" xfId="14" applyFont="1" applyFill="1" applyBorder="1" applyAlignment="1">
      <alignment horizontal="right" vertical="center"/>
    </xf>
    <xf numFmtId="172" fontId="3" fillId="11" borderId="26" xfId="7" applyNumberFormat="1" applyFont="1" applyFill="1" applyBorder="1" applyAlignment="1">
      <alignment horizontal="center" vertical="center"/>
    </xf>
    <xf numFmtId="0" fontId="24" fillId="10" borderId="16" xfId="0" applyFont="1" applyFill="1" applyBorder="1" applyAlignment="1"/>
    <xf numFmtId="0" fontId="16" fillId="12" borderId="10" xfId="1" applyFont="1" applyFill="1" applyBorder="1" applyAlignment="1">
      <alignment horizontal="center"/>
    </xf>
    <xf numFmtId="0" fontId="16" fillId="12" borderId="28" xfId="1" applyFont="1" applyFill="1" applyBorder="1" applyAlignment="1">
      <alignment horizontal="center"/>
    </xf>
    <xf numFmtId="0" fontId="0" fillId="0" borderId="0" xfId="0" applyAlignment="1">
      <alignment horizontal="center"/>
    </xf>
    <xf numFmtId="173" fontId="37" fillId="17" borderId="0" xfId="0" applyNumberFormat="1" applyFont="1" applyFill="1" applyAlignment="1" applyProtection="1">
      <alignment horizontal="right" vertical="center" wrapText="1"/>
    </xf>
    <xf numFmtId="41" fontId="1" fillId="0" borderId="0" xfId="14" applyFont="1" applyFill="1" applyAlignment="1">
      <alignment vertical="center"/>
    </xf>
    <xf numFmtId="3" fontId="3" fillId="12" borderId="10" xfId="0" applyNumberFormat="1" applyFont="1" applyFill="1" applyBorder="1" applyProtection="1">
      <protection locked="0"/>
    </xf>
    <xf numFmtId="0" fontId="3" fillId="12" borderId="0" xfId="0" applyFont="1" applyFill="1" applyBorder="1" applyAlignment="1" applyProtection="1">
      <protection locked="0"/>
    </xf>
    <xf numFmtId="41" fontId="41" fillId="11" borderId="0" xfId="14" applyFont="1" applyFill="1" applyAlignment="1"/>
    <xf numFmtId="0" fontId="24" fillId="0" borderId="16" xfId="0" applyFont="1" applyFill="1" applyBorder="1" applyAlignment="1" applyProtection="1">
      <alignment horizontal="left" vertical="center" wrapText="1"/>
    </xf>
    <xf numFmtId="168" fontId="24" fillId="0" borderId="1" xfId="0" applyNumberFormat="1" applyFont="1" applyFill="1" applyBorder="1" applyAlignment="1" applyProtection="1">
      <alignment horizontal="left" vertical="center" wrapText="1"/>
    </xf>
    <xf numFmtId="3" fontId="2" fillId="0" borderId="16" xfId="0" applyNumberFormat="1" applyFont="1" applyFill="1" applyBorder="1" applyAlignment="1" applyProtection="1">
      <alignment vertical="center"/>
      <protection locked="0"/>
    </xf>
    <xf numFmtId="3" fontId="2" fillId="0" borderId="58" xfId="0" applyNumberFormat="1" applyFont="1" applyFill="1" applyBorder="1" applyAlignment="1" applyProtection="1">
      <alignment vertical="center"/>
      <protection locked="0"/>
    </xf>
    <xf numFmtId="3" fontId="2" fillId="0" borderId="49" xfId="0" applyNumberFormat="1" applyFont="1" applyFill="1" applyBorder="1" applyAlignment="1" applyProtection="1">
      <alignment vertical="center"/>
      <protection locked="0"/>
    </xf>
    <xf numFmtId="3" fontId="4" fillId="2" borderId="24" xfId="0" applyNumberFormat="1" applyFont="1" applyFill="1" applyBorder="1" applyAlignment="1" applyProtection="1">
      <alignment vertical="center" wrapText="1"/>
      <protection locked="0"/>
    </xf>
    <xf numFmtId="173" fontId="48" fillId="17" borderId="0" xfId="0" applyNumberFormat="1" applyFont="1" applyFill="1" applyAlignment="1" applyProtection="1">
      <alignment horizontal="right" vertical="center" wrapText="1"/>
    </xf>
    <xf numFmtId="0" fontId="18" fillId="0" borderId="16" xfId="0" applyFont="1" applyFill="1" applyBorder="1" applyAlignment="1" applyProtection="1">
      <alignment horizontal="left" vertical="center" wrapText="1"/>
    </xf>
    <xf numFmtId="168" fontId="18" fillId="0" borderId="1" xfId="0" applyNumberFormat="1" applyFont="1" applyFill="1" applyBorder="1" applyAlignment="1" applyProtection="1">
      <alignment horizontal="right" vertical="center" wrapText="1"/>
    </xf>
    <xf numFmtId="3" fontId="24" fillId="0" borderId="1" xfId="0" applyNumberFormat="1" applyFont="1" applyFill="1" applyBorder="1" applyAlignment="1" applyProtection="1">
      <alignment horizontal="right" vertical="center" wrapText="1"/>
    </xf>
    <xf numFmtId="0" fontId="19" fillId="0" borderId="0" xfId="0" applyFont="1" applyAlignment="1" applyProtection="1">
      <alignment horizontal="center" vertical="center"/>
    </xf>
    <xf numFmtId="0" fontId="19" fillId="0" borderId="0" xfId="0" applyFont="1" applyAlignment="1" applyProtection="1">
      <alignment horizontal="left" vertical="center"/>
    </xf>
    <xf numFmtId="173" fontId="19" fillId="0" borderId="0" xfId="0" applyNumberFormat="1" applyFont="1" applyAlignment="1" applyProtection="1">
      <alignment horizontal="right" vertical="center"/>
    </xf>
    <xf numFmtId="3" fontId="26" fillId="0" borderId="0" xfId="0" applyNumberFormat="1" applyFont="1" applyAlignment="1"/>
    <xf numFmtId="167" fontId="33" fillId="11" borderId="33" xfId="2" applyNumberFormat="1" applyFont="1" applyFill="1" applyBorder="1" applyAlignment="1"/>
    <xf numFmtId="0" fontId="24" fillId="5" borderId="36" xfId="0" applyFont="1" applyFill="1" applyBorder="1" applyAlignment="1" applyProtection="1">
      <alignment horizontal="left" vertical="center"/>
    </xf>
    <xf numFmtId="0" fontId="3" fillId="0" borderId="36" xfId="0" applyFont="1" applyFill="1" applyBorder="1" applyAlignment="1">
      <alignment horizontal="left" vertical="center"/>
    </xf>
    <xf numFmtId="0" fontId="12" fillId="0" borderId="36" xfId="0" applyFont="1" applyFill="1" applyBorder="1" applyAlignment="1">
      <alignment horizontal="left" vertical="center"/>
    </xf>
    <xf numFmtId="0" fontId="1" fillId="0" borderId="36" xfId="0" applyFont="1" applyFill="1" applyBorder="1" applyAlignment="1" applyProtection="1">
      <alignment vertical="center"/>
    </xf>
    <xf numFmtId="3" fontId="17" fillId="13" borderId="19" xfId="2" applyNumberFormat="1" applyFont="1" applyFill="1" applyBorder="1" applyAlignment="1" applyProtection="1">
      <alignment horizontal="right" vertical="center" wrapText="1"/>
    </xf>
    <xf numFmtId="0" fontId="16" fillId="12" borderId="28" xfId="1" applyFont="1" applyFill="1" applyBorder="1" applyAlignment="1">
      <alignment horizontal="center"/>
    </xf>
    <xf numFmtId="0" fontId="25" fillId="19" borderId="0" xfId="0" applyFont="1" applyFill="1" applyAlignment="1" applyProtection="1">
      <alignment horizontal="center" vertical="center" wrapText="1"/>
    </xf>
    <xf numFmtId="0" fontId="1" fillId="0" borderId="0" xfId="0" applyFont="1" applyFill="1" applyAlignment="1">
      <alignment vertical="center" wrapText="1"/>
    </xf>
    <xf numFmtId="41" fontId="1" fillId="0" borderId="0" xfId="14" applyFont="1" applyFill="1" applyAlignment="1">
      <alignment vertical="center" wrapText="1"/>
    </xf>
    <xf numFmtId="41" fontId="18" fillId="0" borderId="0" xfId="14" applyFont="1" applyFill="1"/>
    <xf numFmtId="41" fontId="1" fillId="0" borderId="0" xfId="14" applyFont="1" applyFill="1" applyAlignment="1"/>
    <xf numFmtId="0" fontId="48" fillId="17" borderId="0" xfId="0" applyFont="1" applyFill="1" applyAlignment="1" applyProtection="1">
      <alignment horizontal="center" vertical="center" wrapText="1"/>
    </xf>
    <xf numFmtId="172" fontId="39" fillId="0" borderId="0" xfId="15" applyNumberFormat="1" applyFill="1"/>
    <xf numFmtId="3" fontId="3" fillId="0" borderId="1" xfId="0" applyNumberFormat="1" applyFont="1" applyFill="1" applyBorder="1" applyAlignment="1" applyProtection="1">
      <alignment vertical="center"/>
    </xf>
    <xf numFmtId="3" fontId="4" fillId="2" borderId="9" xfId="0" applyNumberFormat="1" applyFont="1" applyFill="1" applyBorder="1" applyAlignment="1" applyProtection="1">
      <alignment vertical="center" wrapText="1"/>
      <protection locked="0"/>
    </xf>
    <xf numFmtId="0" fontId="44" fillId="19" borderId="0" xfId="0" applyFont="1" applyFill="1" applyAlignment="1" applyProtection="1">
      <alignment horizontal="center" vertical="center" wrapText="1"/>
    </xf>
    <xf numFmtId="0" fontId="0" fillId="0" borderId="0" xfId="0" applyFont="1"/>
    <xf numFmtId="41" fontId="0" fillId="0" borderId="0" xfId="0" applyNumberFormat="1" applyFont="1"/>
    <xf numFmtId="173" fontId="19" fillId="0" borderId="0" xfId="0" applyNumberFormat="1" applyFont="1" applyAlignment="1" applyProtection="1">
      <alignment horizontal="right" vertical="center" wrapText="1"/>
    </xf>
    <xf numFmtId="0" fontId="44" fillId="0" borderId="0" xfId="0" applyFont="1" applyAlignment="1" applyProtection="1">
      <alignment horizontal="left" vertical="center" wrapText="1"/>
    </xf>
    <xf numFmtId="0" fontId="44" fillId="0" borderId="0" xfId="0" applyFont="1" applyAlignment="1"/>
    <xf numFmtId="0" fontId="25" fillId="0" borderId="0" xfId="0" applyFont="1" applyAlignment="1" applyProtection="1">
      <alignment horizontal="left" vertical="center"/>
    </xf>
    <xf numFmtId="10" fontId="24" fillId="5" borderId="1" xfId="7" applyNumberFormat="1" applyFont="1" applyFill="1" applyBorder="1" applyAlignment="1" applyProtection="1">
      <alignment horizontal="center" vertical="top" wrapText="1"/>
    </xf>
    <xf numFmtId="10" fontId="4" fillId="8" borderId="9" xfId="7" applyNumberFormat="1" applyFont="1" applyFill="1" applyBorder="1" applyAlignment="1" applyProtection="1">
      <alignment horizontal="center" vertical="top"/>
    </xf>
    <xf numFmtId="10" fontId="1" fillId="0" borderId="1" xfId="7" applyNumberFormat="1" applyFont="1" applyFill="1" applyBorder="1" applyAlignment="1">
      <alignment horizontal="center" vertical="top"/>
    </xf>
    <xf numFmtId="10" fontId="1" fillId="0" borderId="0" xfId="7" applyNumberFormat="1" applyFont="1" applyAlignment="1">
      <alignment horizontal="center" vertical="top"/>
    </xf>
    <xf numFmtId="10" fontId="1" fillId="0" borderId="0" xfId="7" applyNumberFormat="1" applyFont="1" applyBorder="1" applyAlignment="1">
      <alignment horizontal="center" vertical="top"/>
    </xf>
    <xf numFmtId="167" fontId="31" fillId="11" borderId="1" xfId="0" applyNumberFormat="1" applyFont="1" applyFill="1" applyBorder="1" applyAlignment="1">
      <alignment horizontal="left" vertical="center" wrapText="1"/>
    </xf>
    <xf numFmtId="170" fontId="18" fillId="10" borderId="11" xfId="0" applyNumberFormat="1" applyFont="1" applyFill="1" applyBorder="1" applyAlignment="1">
      <alignment horizontal="left" vertical="top"/>
    </xf>
    <xf numFmtId="167" fontId="18" fillId="10" borderId="0" xfId="0" applyNumberFormat="1" applyFont="1" applyFill="1" applyBorder="1" applyAlignment="1">
      <alignment horizontal="left" vertical="top"/>
    </xf>
    <xf numFmtId="168" fontId="18" fillId="10" borderId="0" xfId="0" applyNumberFormat="1" applyFont="1" applyFill="1" applyBorder="1" applyAlignment="1">
      <alignment vertical="top"/>
    </xf>
    <xf numFmtId="0" fontId="18" fillId="10" borderId="0" xfId="0" applyFont="1" applyFill="1" applyBorder="1" applyAlignment="1">
      <alignment vertical="top"/>
    </xf>
    <xf numFmtId="10" fontId="18" fillId="10" borderId="0" xfId="7" applyNumberFormat="1" applyFont="1" applyFill="1" applyBorder="1" applyAlignment="1">
      <alignment horizontal="center" vertical="top"/>
    </xf>
    <xf numFmtId="3" fontId="18" fillId="10" borderId="0" xfId="0" applyNumberFormat="1" applyFont="1" applyFill="1" applyBorder="1" applyAlignment="1">
      <alignment horizontal="right" vertical="top"/>
    </xf>
    <xf numFmtId="3" fontId="18" fillId="11" borderId="0" xfId="0" applyNumberFormat="1" applyFont="1" applyFill="1" applyBorder="1" applyAlignment="1">
      <alignment vertical="top"/>
    </xf>
    <xf numFmtId="3" fontId="18" fillId="11" borderId="0" xfId="0" applyNumberFormat="1" applyFont="1" applyFill="1" applyBorder="1" applyAlignment="1">
      <alignment horizontal="right" vertical="top"/>
    </xf>
    <xf numFmtId="3" fontId="18" fillId="0" borderId="0" xfId="0" applyNumberFormat="1" applyFont="1" applyBorder="1" applyAlignment="1">
      <alignment vertical="top"/>
    </xf>
    <xf numFmtId="0" fontId="24" fillId="5" borderId="16" xfId="0" applyFont="1" applyFill="1" applyBorder="1" applyAlignment="1" applyProtection="1">
      <alignment horizontal="left" vertical="top" wrapText="1"/>
    </xf>
    <xf numFmtId="168" fontId="12" fillId="0" borderId="16" xfId="0" applyNumberFormat="1" applyFont="1" applyFill="1" applyBorder="1" applyAlignment="1" applyProtection="1">
      <alignment horizontal="left" vertical="top" wrapText="1"/>
    </xf>
    <xf numFmtId="0" fontId="12" fillId="0" borderId="16" xfId="0" applyFont="1" applyFill="1" applyBorder="1" applyAlignment="1" applyProtection="1">
      <alignment horizontal="left" vertical="top" wrapText="1"/>
    </xf>
    <xf numFmtId="0" fontId="13" fillId="5" borderId="16" xfId="0" applyFont="1" applyFill="1" applyBorder="1" applyAlignment="1" applyProtection="1">
      <alignment horizontal="left" vertical="top" wrapText="1"/>
    </xf>
    <xf numFmtId="0" fontId="0" fillId="0" borderId="0" xfId="0" applyAlignment="1">
      <alignment horizontal="center"/>
    </xf>
    <xf numFmtId="3" fontId="4" fillId="2" borderId="10" xfId="0" applyNumberFormat="1" applyFont="1" applyFill="1" applyBorder="1" applyAlignment="1" applyProtection="1">
      <alignment horizontal="center"/>
      <protection locked="0"/>
    </xf>
    <xf numFmtId="3" fontId="2" fillId="2" borderId="12" xfId="0" applyNumberFormat="1" applyFont="1" applyFill="1" applyBorder="1" applyAlignment="1">
      <alignment horizontal="center"/>
    </xf>
    <xf numFmtId="3" fontId="2" fillId="2" borderId="10" xfId="0" applyNumberFormat="1" applyFont="1" applyFill="1" applyBorder="1" applyAlignment="1">
      <alignment horizontal="center"/>
    </xf>
    <xf numFmtId="0" fontId="25" fillId="19" borderId="0" xfId="0" applyFont="1" applyFill="1" applyAlignment="1" applyProtection="1">
      <alignment horizontal="center" vertical="center" wrapText="1"/>
    </xf>
    <xf numFmtId="3" fontId="4" fillId="2" borderId="66" xfId="0" applyNumberFormat="1" applyFont="1" applyFill="1" applyBorder="1" applyAlignment="1">
      <alignment vertical="center"/>
    </xf>
    <xf numFmtId="3" fontId="2" fillId="5" borderId="52" xfId="0" applyNumberFormat="1" applyFont="1" applyFill="1" applyBorder="1"/>
    <xf numFmtId="3" fontId="1" fillId="0" borderId="52" xfId="0" applyNumberFormat="1" applyFont="1" applyFill="1" applyBorder="1" applyAlignment="1">
      <alignment horizontal="right" vertical="top" wrapText="1"/>
    </xf>
    <xf numFmtId="3" fontId="2" fillId="5" borderId="52" xfId="0" applyNumberFormat="1" applyFont="1" applyFill="1" applyBorder="1" applyAlignment="1">
      <alignment horizontal="right" vertical="top" wrapText="1"/>
    </xf>
    <xf numFmtId="3" fontId="3" fillId="0" borderId="52" xfId="0" applyNumberFormat="1" applyFont="1" applyFill="1" applyBorder="1" applyAlignment="1">
      <alignment horizontal="right" vertical="top" wrapText="1"/>
    </xf>
    <xf numFmtId="3" fontId="2" fillId="5" borderId="53" xfId="0" applyNumberFormat="1" applyFont="1" applyFill="1" applyBorder="1" applyAlignment="1" applyProtection="1">
      <alignment horizontal="right" vertical="top" wrapText="1"/>
    </xf>
    <xf numFmtId="0" fontId="1" fillId="0" borderId="0" xfId="0" applyFont="1" applyFill="1" applyBorder="1" applyAlignment="1">
      <alignment horizontal="center"/>
    </xf>
    <xf numFmtId="0" fontId="25" fillId="19" borderId="0" xfId="0" applyFont="1" applyFill="1" applyAlignment="1" applyProtection="1">
      <alignment horizontal="left" vertical="center"/>
    </xf>
    <xf numFmtId="41" fontId="17" fillId="13" borderId="15" xfId="14" applyFont="1" applyFill="1" applyBorder="1" applyAlignment="1" applyProtection="1">
      <alignment vertical="center"/>
    </xf>
    <xf numFmtId="41" fontId="2" fillId="5" borderId="16" xfId="14" applyFont="1" applyFill="1" applyBorder="1" applyAlignment="1">
      <alignment horizontal="right" vertical="top" wrapText="1"/>
    </xf>
    <xf numFmtId="41" fontId="3" fillId="0" borderId="19" xfId="14" applyFont="1" applyFill="1" applyBorder="1" applyAlignment="1" applyProtection="1">
      <alignment horizontal="right" vertical="top" wrapText="1"/>
    </xf>
    <xf numFmtId="1" fontId="39" fillId="0" borderId="0" xfId="14" applyNumberFormat="1" applyFont="1" applyFill="1"/>
    <xf numFmtId="1" fontId="1" fillId="10" borderId="0" xfId="14" applyNumberFormat="1" applyFont="1" applyFill="1" applyBorder="1" applyAlignment="1">
      <alignment horizontal="center"/>
    </xf>
    <xf numFmtId="1" fontId="4" fillId="7" borderId="9" xfId="14" applyNumberFormat="1" applyFont="1" applyFill="1" applyBorder="1" applyAlignment="1">
      <alignment horizontal="center"/>
    </xf>
    <xf numFmtId="1" fontId="2" fillId="7" borderId="44" xfId="14" applyNumberFormat="1" applyFont="1" applyFill="1" applyBorder="1" applyAlignment="1">
      <alignment horizontal="center" vertical="center" wrapText="1"/>
    </xf>
    <xf numFmtId="1" fontId="2" fillId="5" borderId="16" xfId="14" applyNumberFormat="1" applyFont="1" applyFill="1" applyBorder="1"/>
    <xf numFmtId="1" fontId="2" fillId="5" borderId="16" xfId="14" applyNumberFormat="1" applyFont="1" applyFill="1" applyBorder="1" applyAlignment="1">
      <alignment horizontal="right" vertical="top" wrapText="1"/>
    </xf>
    <xf numFmtId="1" fontId="1" fillId="0" borderId="16" xfId="14" applyNumberFormat="1" applyFont="1" applyFill="1" applyBorder="1"/>
    <xf numFmtId="1" fontId="2" fillId="5" borderId="16" xfId="14" applyNumberFormat="1" applyFont="1" applyFill="1" applyBorder="1" applyAlignment="1" applyProtection="1">
      <alignment horizontal="right" vertical="top" wrapText="1"/>
    </xf>
    <xf numFmtId="1" fontId="1" fillId="0" borderId="16" xfId="14" applyNumberFormat="1" applyFont="1" applyFill="1" applyBorder="1" applyAlignment="1" applyProtection="1">
      <alignment horizontal="right" vertical="top" wrapText="1"/>
    </xf>
    <xf numFmtId="1" fontId="3" fillId="0" borderId="16" xfId="14" applyNumberFormat="1" applyFont="1" applyFill="1" applyBorder="1" applyAlignment="1" applyProtection="1">
      <alignment horizontal="right" vertical="top" wrapText="1"/>
    </xf>
    <xf numFmtId="1" fontId="2" fillId="5" borderId="17" xfId="14" applyNumberFormat="1" applyFont="1" applyFill="1" applyBorder="1" applyAlignment="1" applyProtection="1">
      <alignment horizontal="right" vertical="top" wrapText="1"/>
    </xf>
    <xf numFmtId="1" fontId="1" fillId="0" borderId="0" xfId="14" applyNumberFormat="1" applyFont="1" applyBorder="1"/>
    <xf numFmtId="1" fontId="1" fillId="0" borderId="0" xfId="14" applyNumberFormat="1" applyFont="1"/>
    <xf numFmtId="1" fontId="39" fillId="0" borderId="0" xfId="15" applyNumberFormat="1" applyFill="1"/>
    <xf numFmtId="1" fontId="1" fillId="10" borderId="0" xfId="0" applyNumberFormat="1" applyFont="1" applyFill="1" applyBorder="1" applyAlignment="1">
      <alignment horizontal="center"/>
    </xf>
    <xf numFmtId="1" fontId="4" fillId="7" borderId="9" xfId="0" applyNumberFormat="1" applyFont="1" applyFill="1" applyBorder="1" applyAlignment="1">
      <alignment horizontal="center"/>
    </xf>
    <xf numFmtId="1" fontId="2" fillId="7" borderId="41" xfId="0" applyNumberFormat="1" applyFont="1" applyFill="1" applyBorder="1" applyAlignment="1">
      <alignment horizontal="center" vertical="center" wrapText="1"/>
    </xf>
    <xf numFmtId="1" fontId="17" fillId="13" borderId="6" xfId="2" applyNumberFormat="1" applyFont="1" applyFill="1" applyBorder="1" applyAlignment="1" applyProtection="1">
      <alignment vertical="center"/>
    </xf>
    <xf numFmtId="1" fontId="2" fillId="5" borderId="1" xfId="0" applyNumberFormat="1" applyFont="1" applyFill="1" applyBorder="1"/>
    <xf numFmtId="1" fontId="2" fillId="5" borderId="1"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2" fillId="5" borderId="1" xfId="0" applyNumberFormat="1" applyFont="1" applyFill="1" applyBorder="1" applyAlignment="1" applyProtection="1">
      <alignment horizontal="right" vertical="top" wrapText="1"/>
    </xf>
    <xf numFmtId="1" fontId="1" fillId="0" borderId="1" xfId="0" applyNumberFormat="1" applyFont="1" applyFill="1" applyBorder="1" applyAlignment="1" applyProtection="1">
      <alignment horizontal="right" vertical="top" wrapText="1"/>
    </xf>
    <xf numFmtId="1" fontId="1" fillId="0" borderId="18" xfId="0" applyNumberFormat="1" applyFont="1" applyFill="1" applyBorder="1" applyAlignment="1">
      <alignment horizontal="right" vertical="top" wrapText="1"/>
    </xf>
    <xf numFmtId="1" fontId="2" fillId="5" borderId="3" xfId="0" applyNumberFormat="1" applyFont="1" applyFill="1" applyBorder="1" applyAlignment="1" applyProtection="1">
      <alignment horizontal="right" vertical="top" wrapText="1"/>
    </xf>
    <xf numFmtId="1" fontId="1" fillId="0" borderId="0" xfId="0" applyNumberFormat="1" applyFont="1" applyBorder="1"/>
    <xf numFmtId="1" fontId="1" fillId="0" borderId="0" xfId="0" applyNumberFormat="1" applyFont="1"/>
    <xf numFmtId="3" fontId="2" fillId="5" borderId="53" xfId="0" applyNumberFormat="1" applyFont="1" applyFill="1" applyBorder="1"/>
    <xf numFmtId="3" fontId="2" fillId="2" borderId="9" xfId="0" applyNumberFormat="1" applyFont="1" applyFill="1" applyBorder="1" applyAlignment="1">
      <alignment horizontal="center"/>
    </xf>
    <xf numFmtId="3" fontId="1" fillId="0" borderId="52" xfId="0" applyNumberFormat="1" applyFont="1" applyFill="1" applyBorder="1"/>
    <xf numFmtId="3" fontId="2" fillId="5" borderId="67" xfId="0" applyNumberFormat="1" applyFont="1" applyFill="1" applyBorder="1" applyAlignment="1">
      <alignment horizontal="right" vertical="top" wrapText="1"/>
    </xf>
    <xf numFmtId="3" fontId="2" fillId="5" borderId="32" xfId="0" applyNumberFormat="1" applyFont="1" applyFill="1" applyBorder="1"/>
    <xf numFmtId="3" fontId="1" fillId="0" borderId="2" xfId="0" applyNumberFormat="1" applyFont="1" applyFill="1" applyBorder="1"/>
    <xf numFmtId="3" fontId="1" fillId="10" borderId="32" xfId="0" applyNumberFormat="1" applyFont="1" applyFill="1" applyBorder="1" applyAlignment="1">
      <alignment horizontal="center" vertical="center" wrapText="1"/>
    </xf>
    <xf numFmtId="3" fontId="1" fillId="0" borderId="60" xfId="0" applyNumberFormat="1" applyFont="1" applyFill="1" applyBorder="1" applyAlignment="1">
      <alignment horizontal="right" vertical="top" wrapText="1"/>
    </xf>
    <xf numFmtId="3" fontId="2" fillId="5" borderId="13" xfId="0" applyNumberFormat="1" applyFont="1" applyFill="1" applyBorder="1" applyAlignment="1">
      <alignment horizontal="right" vertical="top" wrapText="1"/>
    </xf>
    <xf numFmtId="3" fontId="2" fillId="5" borderId="52" xfId="0" applyNumberFormat="1" applyFont="1" applyFill="1" applyBorder="1" applyAlignment="1" applyProtection="1">
      <alignment horizontal="right" vertical="top" wrapText="1"/>
    </xf>
    <xf numFmtId="41" fontId="1" fillId="0" borderId="30" xfId="14" applyFont="1" applyFill="1" applyBorder="1"/>
    <xf numFmtId="3" fontId="3" fillId="11" borderId="0" xfId="0" applyNumberFormat="1" applyFont="1" applyFill="1" applyBorder="1" applyProtection="1">
      <protection locked="0"/>
    </xf>
    <xf numFmtId="173" fontId="20" fillId="17" borderId="0" xfId="0" applyNumberFormat="1" applyFont="1" applyFill="1" applyAlignment="1" applyProtection="1">
      <alignment horizontal="center" vertical="center"/>
    </xf>
    <xf numFmtId="3" fontId="1" fillId="5" borderId="58" xfId="0" applyNumberFormat="1" applyFont="1" applyFill="1" applyBorder="1" applyAlignment="1" applyProtection="1">
      <alignment vertical="center"/>
      <protection locked="0"/>
    </xf>
    <xf numFmtId="3" fontId="4" fillId="2" borderId="9" xfId="0" applyNumberFormat="1" applyFont="1" applyFill="1" applyBorder="1" applyAlignment="1" applyProtection="1">
      <alignment horizontal="center"/>
      <protection locked="0"/>
    </xf>
    <xf numFmtId="3" fontId="13" fillId="5" borderId="52" xfId="0" applyNumberFormat="1" applyFont="1" applyFill="1" applyBorder="1" applyAlignment="1" applyProtection="1">
      <alignment vertical="center"/>
      <protection locked="0"/>
    </xf>
    <xf numFmtId="3" fontId="1" fillId="0" borderId="52" xfId="0" applyNumberFormat="1" applyFont="1" applyFill="1" applyBorder="1" applyAlignment="1" applyProtection="1">
      <alignment vertical="center"/>
      <protection locked="0"/>
    </xf>
    <xf numFmtId="41" fontId="1" fillId="0" borderId="30" xfId="14" applyFont="1" applyFill="1" applyBorder="1" applyAlignment="1" applyProtection="1">
      <alignment vertical="center" wrapText="1"/>
      <protection locked="0"/>
    </xf>
    <xf numFmtId="3" fontId="3" fillId="0" borderId="52" xfId="16" applyNumberFormat="1" applyFont="1" applyFill="1" applyBorder="1" applyAlignment="1" applyProtection="1">
      <alignment vertical="center"/>
      <protection locked="0"/>
    </xf>
    <xf numFmtId="41" fontId="1" fillId="0" borderId="52" xfId="14" applyFont="1" applyFill="1" applyBorder="1" applyAlignment="1" applyProtection="1">
      <alignment vertical="center" wrapText="1"/>
      <protection locked="0"/>
    </xf>
    <xf numFmtId="3" fontId="2" fillId="5" borderId="53" xfId="0" applyNumberFormat="1" applyFont="1" applyFill="1" applyBorder="1" applyAlignment="1" applyProtection="1">
      <alignment vertical="center"/>
      <protection locked="0"/>
    </xf>
    <xf numFmtId="3" fontId="2" fillId="5" borderId="2" xfId="0" applyNumberFormat="1" applyFont="1" applyFill="1" applyBorder="1" applyAlignment="1" applyProtection="1">
      <alignment horizontal="right" vertical="center"/>
      <protection locked="0"/>
    </xf>
    <xf numFmtId="3" fontId="2" fillId="0" borderId="2" xfId="0" applyNumberFormat="1" applyFont="1" applyFill="1" applyBorder="1" applyAlignment="1" applyProtection="1">
      <alignment vertical="center"/>
      <protection locked="0"/>
    </xf>
    <xf numFmtId="3" fontId="3" fillId="0" borderId="2" xfId="16" applyNumberFormat="1" applyFont="1" applyFill="1" applyBorder="1" applyAlignment="1" applyProtection="1">
      <alignment vertical="center"/>
      <protection locked="0"/>
    </xf>
    <xf numFmtId="3" fontId="2" fillId="5" borderId="52" xfId="0" applyNumberFormat="1" applyFont="1" applyFill="1" applyBorder="1" applyAlignment="1" applyProtection="1">
      <alignment horizontal="right" vertical="center"/>
      <protection locked="0"/>
    </xf>
    <xf numFmtId="3" fontId="2" fillId="0" borderId="52" xfId="0" applyNumberFormat="1" applyFont="1" applyFill="1" applyBorder="1" applyAlignment="1" applyProtection="1">
      <alignment vertical="center"/>
      <protection locked="0"/>
    </xf>
    <xf numFmtId="3" fontId="2" fillId="5" borderId="49" xfId="0" applyNumberFormat="1" applyFont="1" applyFill="1" applyBorder="1" applyAlignment="1" applyProtection="1">
      <alignment horizontal="right" vertical="center"/>
      <protection locked="0"/>
    </xf>
    <xf numFmtId="3" fontId="1" fillId="0" borderId="49" xfId="0" applyNumberFormat="1" applyFont="1" applyFill="1" applyBorder="1" applyAlignment="1" applyProtection="1">
      <alignment horizontal="right" vertical="center"/>
      <protection locked="0"/>
    </xf>
    <xf numFmtId="3" fontId="1" fillId="0" borderId="52" xfId="0" applyNumberFormat="1" applyFont="1" applyFill="1" applyBorder="1" applyAlignment="1" applyProtection="1">
      <alignment horizontal="right" vertical="center"/>
      <protection locked="0"/>
    </xf>
    <xf numFmtId="3" fontId="3" fillId="0" borderId="58" xfId="0" applyNumberFormat="1" applyFont="1" applyFill="1" applyBorder="1" applyAlignment="1" applyProtection="1">
      <alignment horizontal="right" vertical="center"/>
      <protection locked="0"/>
    </xf>
    <xf numFmtId="41" fontId="1" fillId="0" borderId="52" xfId="14" applyFont="1" applyFill="1" applyBorder="1" applyAlignment="1" applyProtection="1">
      <alignment vertical="center"/>
      <protection locked="0"/>
    </xf>
    <xf numFmtId="3" fontId="24" fillId="5" borderId="52" xfId="0" applyNumberFormat="1" applyFont="1" applyFill="1" applyBorder="1" applyAlignment="1" applyProtection="1">
      <alignment horizontal="right" vertical="center"/>
      <protection locked="0"/>
    </xf>
    <xf numFmtId="3" fontId="3" fillId="0" borderId="52" xfId="0" applyNumberFormat="1" applyFont="1" applyFill="1" applyBorder="1" applyAlignment="1" applyProtection="1">
      <alignment horizontal="right" vertical="center"/>
      <protection locked="0"/>
    </xf>
    <xf numFmtId="3" fontId="3" fillId="0" borderId="52" xfId="16" applyNumberFormat="1" applyFont="1" applyFill="1" applyBorder="1" applyAlignment="1" applyProtection="1">
      <alignment horizontal="right" vertical="center"/>
      <protection locked="0"/>
    </xf>
    <xf numFmtId="3" fontId="24" fillId="5" borderId="53" xfId="0" applyNumberFormat="1" applyFont="1" applyFill="1" applyBorder="1" applyAlignment="1" applyProtection="1">
      <alignment horizontal="right" vertical="center"/>
      <protection locked="0"/>
    </xf>
    <xf numFmtId="0" fontId="49" fillId="0" borderId="0" xfId="0" applyFont="1"/>
    <xf numFmtId="173" fontId="49" fillId="0" borderId="0" xfId="0" applyNumberFormat="1" applyFont="1"/>
    <xf numFmtId="3" fontId="49" fillId="20" borderId="0" xfId="14" applyNumberFormat="1" applyFont="1" applyFill="1"/>
    <xf numFmtId="41" fontId="49" fillId="0" borderId="0" xfId="14" applyFont="1"/>
    <xf numFmtId="41" fontId="49" fillId="0" borderId="0" xfId="14" applyFont="1" applyAlignment="1">
      <alignment wrapText="1"/>
    </xf>
    <xf numFmtId="3" fontId="49" fillId="11" borderId="0" xfId="14" applyNumberFormat="1" applyFont="1" applyFill="1"/>
    <xf numFmtId="41" fontId="49" fillId="0" borderId="0" xfId="0" applyNumberFormat="1" applyFont="1"/>
    <xf numFmtId="41" fontId="49" fillId="0" borderId="0" xfId="14" applyFont="1" applyFill="1"/>
    <xf numFmtId="3" fontId="49" fillId="0" borderId="0" xfId="0" applyNumberFormat="1" applyFont="1"/>
    <xf numFmtId="0" fontId="49" fillId="0" borderId="0" xfId="0" applyFont="1" applyAlignment="1">
      <alignment horizontal="left"/>
    </xf>
    <xf numFmtId="41" fontId="49" fillId="0" borderId="0" xfId="14" applyFont="1" applyAlignment="1"/>
    <xf numFmtId="0" fontId="49" fillId="18" borderId="0" xfId="0" applyFont="1" applyFill="1" applyAlignment="1">
      <alignment horizontal="center" vertical="center" wrapText="1"/>
    </xf>
    <xf numFmtId="0" fontId="44" fillId="19" borderId="0" xfId="0" applyFont="1" applyFill="1" applyAlignment="1">
      <alignment horizontal="center" vertical="center" wrapText="1"/>
    </xf>
    <xf numFmtId="0" fontId="49" fillId="17" borderId="0" xfId="0" applyFont="1" applyFill="1" applyAlignment="1">
      <alignment horizontal="center" vertical="center" wrapText="1"/>
    </xf>
    <xf numFmtId="173" fontId="49" fillId="17" borderId="0" xfId="0" applyNumberFormat="1" applyFont="1" applyFill="1" applyAlignment="1">
      <alignment horizontal="right" vertical="center" wrapText="1"/>
    </xf>
    <xf numFmtId="0" fontId="44" fillId="17" borderId="0" xfId="0" applyFont="1" applyFill="1" applyAlignment="1">
      <alignment horizontal="center" vertical="center" wrapText="1"/>
    </xf>
    <xf numFmtId="173" fontId="44" fillId="17" borderId="0" xfId="0" applyNumberFormat="1" applyFont="1" applyFill="1" applyAlignment="1">
      <alignment horizontal="right" vertical="center" wrapText="1"/>
    </xf>
    <xf numFmtId="0" fontId="44" fillId="17" borderId="0" xfId="0" applyFont="1" applyFill="1" applyAlignment="1">
      <alignment horizontal="left" vertical="center" wrapText="1"/>
    </xf>
    <xf numFmtId="0" fontId="44" fillId="20" borderId="0" xfId="0" applyFont="1" applyFill="1" applyAlignment="1">
      <alignment horizontal="center" vertical="center" wrapText="1"/>
    </xf>
    <xf numFmtId="173" fontId="44" fillId="20" borderId="0" xfId="0" applyNumberFormat="1" applyFont="1" applyFill="1" applyAlignment="1">
      <alignment horizontal="right" vertical="center" wrapText="1"/>
    </xf>
    <xf numFmtId="41" fontId="44" fillId="0" borderId="0" xfId="14" applyFont="1"/>
    <xf numFmtId="0" fontId="44" fillId="11" borderId="0" xfId="0" applyFont="1" applyFill="1" applyAlignment="1" applyProtection="1">
      <alignment horizontal="center" vertical="center" wrapText="1"/>
    </xf>
    <xf numFmtId="0" fontId="44" fillId="11" borderId="0" xfId="0" applyFont="1" applyFill="1" applyAlignment="1" applyProtection="1">
      <alignment horizontal="left" vertical="center" wrapText="1"/>
    </xf>
    <xf numFmtId="173" fontId="44" fillId="11" borderId="0" xfId="0" applyNumberFormat="1" applyFont="1" applyFill="1" applyAlignment="1" applyProtection="1">
      <alignment horizontal="right" vertical="center" wrapText="1"/>
    </xf>
    <xf numFmtId="41" fontId="49" fillId="11" borderId="0" xfId="14" applyFont="1" applyFill="1"/>
    <xf numFmtId="41" fontId="44" fillId="17" borderId="0" xfId="14" applyFont="1" applyFill="1" applyAlignment="1" applyProtection="1">
      <alignment horizontal="center" vertical="center" wrapText="1"/>
    </xf>
    <xf numFmtId="0" fontId="44" fillId="17" borderId="0" xfId="0" applyFont="1" applyFill="1" applyAlignment="1" applyProtection="1">
      <alignment horizontal="center" vertical="center"/>
    </xf>
    <xf numFmtId="0" fontId="44" fillId="17" borderId="0" xfId="0" applyFont="1" applyFill="1" applyAlignment="1" applyProtection="1">
      <alignment horizontal="left" vertical="center"/>
    </xf>
    <xf numFmtId="173" fontId="44" fillId="17" borderId="0" xfId="0" applyNumberFormat="1" applyFont="1" applyFill="1" applyAlignment="1" applyProtection="1">
      <alignment horizontal="right" vertical="center"/>
    </xf>
    <xf numFmtId="41" fontId="49" fillId="11" borderId="0" xfId="14" applyFont="1" applyFill="1" applyAlignment="1"/>
    <xf numFmtId="41" fontId="44" fillId="17" borderId="0" xfId="14" applyFont="1" applyFill="1" applyAlignment="1" applyProtection="1">
      <alignment horizontal="right" vertical="center" wrapText="1"/>
    </xf>
    <xf numFmtId="0" fontId="44" fillId="0" borderId="0" xfId="0" applyFont="1" applyFill="1" applyAlignment="1" applyProtection="1">
      <alignment horizontal="center" vertical="center" wrapText="1"/>
    </xf>
    <xf numFmtId="173" fontId="44" fillId="0" borderId="0" xfId="0" applyNumberFormat="1" applyFont="1" applyFill="1" applyAlignment="1" applyProtection="1">
      <alignment horizontal="right" vertical="center" wrapText="1"/>
    </xf>
    <xf numFmtId="41" fontId="44" fillId="17" borderId="0" xfId="14" applyFont="1" applyFill="1" applyAlignment="1" applyProtection="1">
      <alignment horizontal="center" vertical="center"/>
    </xf>
    <xf numFmtId="41" fontId="44" fillId="17" borderId="0" xfId="14" applyFont="1" applyFill="1" applyAlignment="1" applyProtection="1">
      <alignment horizontal="left" vertical="center"/>
    </xf>
    <xf numFmtId="41" fontId="44" fillId="17" borderId="0" xfId="14" applyFont="1" applyFill="1" applyAlignment="1" applyProtection="1">
      <alignment horizontal="right" vertical="center"/>
    </xf>
    <xf numFmtId="41" fontId="49" fillId="0" borderId="0" xfId="14" applyFont="1" applyAlignment="1">
      <alignment horizontal="left" wrapText="1"/>
    </xf>
    <xf numFmtId="3" fontId="1" fillId="0" borderId="0" xfId="14" applyNumberFormat="1" applyFont="1" applyFill="1" applyAlignment="1" applyProtection="1">
      <alignment horizontal="right"/>
      <protection locked="0"/>
    </xf>
    <xf numFmtId="3" fontId="1" fillId="0" borderId="0" xfId="14" applyNumberFormat="1" applyFont="1" applyAlignment="1" applyProtection="1">
      <alignment horizontal="right"/>
      <protection locked="0"/>
    </xf>
    <xf numFmtId="3" fontId="39" fillId="0" borderId="0" xfId="14" applyNumberFormat="1" applyFont="1" applyFill="1" applyAlignment="1" applyProtection="1">
      <alignment horizontal="right"/>
      <protection locked="0"/>
    </xf>
    <xf numFmtId="3" fontId="3" fillId="10" borderId="0" xfId="14" applyNumberFormat="1" applyFont="1" applyFill="1" applyBorder="1" applyAlignment="1" applyProtection="1">
      <alignment horizontal="right" vertical="center"/>
    </xf>
    <xf numFmtId="3" fontId="24" fillId="5" borderId="58" xfId="14" applyNumberFormat="1" applyFont="1" applyFill="1" applyBorder="1" applyAlignment="1" applyProtection="1">
      <alignment horizontal="right" vertical="center"/>
    </xf>
    <xf numFmtId="3" fontId="24" fillId="5" borderId="58" xfId="14" applyNumberFormat="1" applyFont="1" applyFill="1" applyBorder="1" applyAlignment="1" applyProtection="1">
      <alignment horizontal="right" vertical="center" wrapText="1"/>
    </xf>
    <xf numFmtId="3" fontId="3" fillId="0" borderId="58" xfId="14" applyNumberFormat="1" applyFont="1" applyFill="1" applyBorder="1" applyAlignment="1" applyProtection="1">
      <alignment horizontal="right" vertical="center"/>
    </xf>
    <xf numFmtId="3" fontId="24" fillId="5" borderId="51" xfId="14" applyNumberFormat="1" applyFont="1" applyFill="1" applyBorder="1" applyAlignment="1" applyProtection="1">
      <alignment horizontal="right" vertical="center"/>
    </xf>
    <xf numFmtId="3" fontId="1" fillId="0" borderId="0" xfId="14" applyNumberFormat="1" applyFont="1" applyFill="1" applyBorder="1" applyAlignment="1" applyProtection="1">
      <alignment horizontal="right"/>
      <protection locked="0"/>
    </xf>
    <xf numFmtId="3" fontId="1" fillId="0" borderId="0" xfId="14" applyNumberFormat="1" applyFont="1" applyFill="1" applyAlignment="1" applyProtection="1">
      <alignment horizontal="right" vertical="center"/>
      <protection locked="0"/>
    </xf>
    <xf numFmtId="3" fontId="3" fillId="11" borderId="0" xfId="14" applyNumberFormat="1" applyFont="1" applyFill="1" applyBorder="1" applyAlignment="1" applyProtection="1">
      <alignment horizontal="center" vertical="center"/>
      <protection locked="0"/>
    </xf>
    <xf numFmtId="168" fontId="24" fillId="5" borderId="1" xfId="0" quotePrefix="1" applyNumberFormat="1" applyFont="1" applyFill="1" applyBorder="1" applyAlignment="1" applyProtection="1">
      <alignment horizontal="right" vertical="center" wrapText="1"/>
    </xf>
    <xf numFmtId="168" fontId="24" fillId="5" borderId="1" xfId="0" applyNumberFormat="1" applyFont="1" applyFill="1" applyBorder="1" applyAlignment="1" applyProtection="1">
      <alignment vertical="center"/>
    </xf>
    <xf numFmtId="3" fontId="2" fillId="5" borderId="55" xfId="0" applyNumberFormat="1" applyFont="1" applyFill="1" applyBorder="1" applyAlignment="1" applyProtection="1">
      <alignment vertical="center"/>
      <protection locked="0"/>
    </xf>
    <xf numFmtId="41" fontId="2" fillId="5" borderId="52" xfId="14" applyFont="1" applyFill="1" applyBorder="1" applyAlignment="1" applyProtection="1">
      <alignment vertical="center" wrapText="1"/>
      <protection locked="0"/>
    </xf>
    <xf numFmtId="172" fontId="24" fillId="5" borderId="3" xfId="7" applyNumberFormat="1" applyFont="1" applyFill="1" applyBorder="1" applyAlignment="1" applyProtection="1">
      <alignment horizontal="center" vertical="center" wrapText="1"/>
    </xf>
    <xf numFmtId="172" fontId="24" fillId="5" borderId="36" xfId="2" applyNumberFormat="1" applyFont="1" applyFill="1" applyBorder="1" applyAlignment="1" applyProtection="1">
      <alignment horizontal="center" vertical="center" wrapText="1"/>
    </xf>
    <xf numFmtId="172" fontId="24" fillId="0" borderId="36" xfId="2" applyNumberFormat="1" applyFont="1" applyFill="1" applyBorder="1" applyAlignment="1" applyProtection="1">
      <alignment horizontal="center" vertical="center" wrapText="1"/>
    </xf>
    <xf numFmtId="172" fontId="24" fillId="5" borderId="36" xfId="7" applyNumberFormat="1" applyFont="1" applyFill="1" applyBorder="1" applyAlignment="1" applyProtection="1">
      <alignment horizontal="center" vertical="center" wrapText="1"/>
    </xf>
    <xf numFmtId="172" fontId="24" fillId="0" borderId="36" xfId="7" applyNumberFormat="1" applyFont="1" applyFill="1" applyBorder="1" applyAlignment="1" applyProtection="1">
      <alignment horizontal="center" vertical="center" wrapText="1"/>
    </xf>
    <xf numFmtId="3" fontId="3" fillId="0" borderId="23" xfId="0" applyNumberFormat="1" applyFont="1" applyFill="1" applyBorder="1" applyAlignment="1" applyProtection="1">
      <alignment horizontal="right" vertical="center"/>
    </xf>
    <xf numFmtId="3" fontId="24" fillId="5" borderId="23" xfId="0" applyNumberFormat="1" applyFont="1" applyFill="1" applyBorder="1" applyAlignment="1" applyProtection="1">
      <alignment horizontal="right" vertical="center"/>
    </xf>
    <xf numFmtId="3" fontId="3" fillId="0" borderId="23" xfId="16" applyNumberFormat="1" applyFont="1" applyFill="1" applyBorder="1" applyAlignment="1" applyProtection="1">
      <alignment horizontal="right" vertical="center"/>
    </xf>
    <xf numFmtId="3" fontId="24" fillId="5" borderId="39" xfId="0" applyNumberFormat="1" applyFont="1" applyFill="1" applyBorder="1" applyAlignment="1" applyProtection="1">
      <alignment horizontal="right" vertical="center"/>
    </xf>
    <xf numFmtId="0" fontId="15" fillId="0" borderId="0" xfId="0" applyFont="1" applyFill="1" applyBorder="1" applyAlignment="1" applyProtection="1">
      <alignment horizontal="left"/>
      <protection locked="0"/>
    </xf>
    <xf numFmtId="167" fontId="15" fillId="0" borderId="0" xfId="0" applyNumberFormat="1" applyFont="1" applyFill="1" applyBorder="1" applyAlignment="1" applyProtection="1">
      <alignment horizontal="left" vertical="center"/>
      <protection locked="0"/>
    </xf>
    <xf numFmtId="168" fontId="15" fillId="0" borderId="0" xfId="0" applyNumberFormat="1" applyFont="1" applyFill="1" applyBorder="1" applyAlignment="1" applyProtection="1">
      <alignment horizontal="left" vertical="center"/>
      <protection locked="0"/>
    </xf>
    <xf numFmtId="0" fontId="15" fillId="0" borderId="0" xfId="0" applyFont="1" applyFill="1" applyBorder="1" applyProtection="1">
      <protection locked="0"/>
    </xf>
    <xf numFmtId="3" fontId="15" fillId="0" borderId="0" xfId="0" applyNumberFormat="1" applyFont="1" applyFill="1" applyBorder="1" applyProtection="1">
      <protection locked="0"/>
    </xf>
    <xf numFmtId="3" fontId="15" fillId="0" borderId="0" xfId="0" applyNumberFormat="1" applyFont="1" applyFill="1" applyBorder="1" applyAlignment="1" applyProtection="1">
      <alignment horizontal="center"/>
      <protection locked="0"/>
    </xf>
    <xf numFmtId="3" fontId="15" fillId="0" borderId="0" xfId="0" applyNumberFormat="1" applyFont="1" applyFill="1" applyBorder="1" applyAlignment="1" applyProtection="1">
      <alignment horizontal="right"/>
      <protection locked="0"/>
    </xf>
    <xf numFmtId="3" fontId="15" fillId="0" borderId="0" xfId="7" applyNumberFormat="1" applyFont="1" applyFill="1" applyBorder="1" applyProtection="1">
      <protection locked="0"/>
    </xf>
    <xf numFmtId="10" fontId="15" fillId="0" borderId="0" xfId="7" applyNumberFormat="1" applyFont="1" applyFill="1" applyBorder="1" applyProtection="1">
      <protection locked="0"/>
    </xf>
    <xf numFmtId="3" fontId="15" fillId="0" borderId="0" xfId="7" applyNumberFormat="1" applyFont="1" applyFill="1" applyProtection="1">
      <protection locked="0"/>
    </xf>
    <xf numFmtId="3" fontId="15" fillId="0" borderId="0" xfId="14" applyNumberFormat="1" applyFont="1" applyFill="1" applyAlignment="1" applyProtection="1">
      <alignment horizontal="right"/>
      <protection locked="0"/>
    </xf>
    <xf numFmtId="0" fontId="33" fillId="13" borderId="15" xfId="2" applyFont="1" applyFill="1" applyBorder="1" applyAlignment="1" applyProtection="1">
      <alignment vertical="center"/>
    </xf>
    <xf numFmtId="167" fontId="33" fillId="13" borderId="6" xfId="2" applyNumberFormat="1" applyFont="1" applyFill="1" applyBorder="1" applyAlignment="1" applyProtection="1">
      <alignment vertical="center"/>
    </xf>
    <xf numFmtId="168" fontId="33" fillId="13" borderId="6" xfId="2" applyNumberFormat="1" applyFont="1" applyFill="1" applyBorder="1" applyAlignment="1" applyProtection="1">
      <alignment vertical="center"/>
    </xf>
    <xf numFmtId="168" fontId="32" fillId="13" borderId="6" xfId="2" applyNumberFormat="1" applyFont="1" applyFill="1" applyBorder="1" applyAlignment="1" applyProtection="1">
      <alignment vertical="center"/>
    </xf>
    <xf numFmtId="0" fontId="33" fillId="13" borderId="34" xfId="2" applyFont="1" applyFill="1" applyBorder="1" applyAlignment="1" applyProtection="1">
      <alignment horizontal="center" vertical="center"/>
    </xf>
    <xf numFmtId="3" fontId="33" fillId="13" borderId="15" xfId="2" applyNumberFormat="1" applyFont="1" applyFill="1" applyBorder="1" applyAlignment="1" applyProtection="1">
      <alignment vertical="center"/>
    </xf>
    <xf numFmtId="3" fontId="33" fillId="13" borderId="6" xfId="2" applyNumberFormat="1" applyFont="1" applyFill="1" applyBorder="1" applyAlignment="1" applyProtection="1">
      <alignment vertical="center"/>
    </xf>
    <xf numFmtId="172" fontId="33" fillId="13" borderId="6" xfId="2" applyNumberFormat="1" applyFont="1" applyFill="1" applyBorder="1" applyAlignment="1" applyProtection="1">
      <alignment horizontal="center" vertical="center"/>
    </xf>
    <xf numFmtId="3" fontId="33" fillId="13" borderId="6" xfId="14" applyNumberFormat="1" applyFont="1" applyFill="1" applyBorder="1" applyAlignment="1" applyProtection="1">
      <alignment horizontal="right" vertical="center"/>
    </xf>
    <xf numFmtId="41" fontId="33" fillId="13" borderId="6" xfId="14" applyFont="1" applyFill="1" applyBorder="1" applyAlignment="1" applyProtection="1">
      <alignment horizontal="center" vertical="center"/>
    </xf>
    <xf numFmtId="10" fontId="33" fillId="13" borderId="37" xfId="7" applyNumberFormat="1" applyFont="1" applyFill="1" applyBorder="1" applyAlignment="1" applyProtection="1">
      <alignment horizontal="center" vertical="center"/>
    </xf>
    <xf numFmtId="3" fontId="2" fillId="2" borderId="59" xfId="14" applyNumberFormat="1" applyFont="1" applyFill="1" applyBorder="1" applyAlignment="1" applyProtection="1">
      <alignment horizontal="right" vertical="center"/>
      <protection locked="0"/>
    </xf>
    <xf numFmtId="3" fontId="2" fillId="2" borderId="26" xfId="0" applyNumberFormat="1" applyFont="1" applyFill="1" applyBorder="1" applyAlignment="1" applyProtection="1">
      <alignment horizontal="right" vertical="center"/>
      <protection locked="0"/>
    </xf>
    <xf numFmtId="3" fontId="2" fillId="2" borderId="66" xfId="0" applyNumberFormat="1" applyFont="1" applyFill="1" applyBorder="1" applyAlignment="1" applyProtection="1">
      <alignment horizontal="right" vertical="center"/>
      <protection locked="0"/>
    </xf>
    <xf numFmtId="3" fontId="2" fillId="2" borderId="62" xfId="0" applyNumberFormat="1" applyFont="1" applyFill="1" applyBorder="1" applyAlignment="1" applyProtection="1">
      <alignment vertical="center"/>
      <protection locked="0"/>
    </xf>
    <xf numFmtId="3" fontId="2" fillId="2" borderId="66" xfId="0" applyNumberFormat="1" applyFont="1" applyFill="1" applyBorder="1" applyAlignment="1" applyProtection="1">
      <alignment vertical="center"/>
      <protection locked="0"/>
    </xf>
    <xf numFmtId="3" fontId="2" fillId="2" borderId="15" xfId="0" applyNumberFormat="1" applyFont="1" applyFill="1" applyBorder="1" applyAlignment="1" applyProtection="1">
      <alignment vertical="center"/>
      <protection locked="0"/>
    </xf>
    <xf numFmtId="3" fontId="2" fillId="2" borderId="60" xfId="0" applyNumberFormat="1" applyFont="1" applyFill="1" applyBorder="1" applyAlignment="1" applyProtection="1">
      <alignment vertical="center"/>
      <protection locked="0"/>
    </xf>
    <xf numFmtId="3" fontId="2" fillId="2" borderId="57" xfId="0" applyNumberFormat="1" applyFont="1" applyFill="1" applyBorder="1" applyAlignment="1" applyProtection="1">
      <alignment vertical="center"/>
      <protection locked="0"/>
    </xf>
    <xf numFmtId="3" fontId="2" fillId="2" borderId="7"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168" fontId="15" fillId="0" borderId="0" xfId="0" applyNumberFormat="1" applyFont="1" applyFill="1" applyBorder="1" applyProtection="1">
      <protection locked="0"/>
    </xf>
    <xf numFmtId="168" fontId="15" fillId="0" borderId="0" xfId="0" applyNumberFormat="1" applyFont="1" applyFill="1" applyBorder="1" applyAlignment="1" applyProtection="1">
      <protection locked="0"/>
    </xf>
    <xf numFmtId="168" fontId="1" fillId="0" borderId="0" xfId="0" applyNumberFormat="1" applyFont="1" applyFill="1" applyBorder="1" applyProtection="1">
      <protection locked="0"/>
    </xf>
    <xf numFmtId="168" fontId="1" fillId="0" borderId="0" xfId="0" applyNumberFormat="1" applyFont="1" applyFill="1" applyBorder="1" applyAlignment="1" applyProtection="1">
      <protection locked="0"/>
    </xf>
    <xf numFmtId="3" fontId="24" fillId="11" borderId="16" xfId="0" applyNumberFormat="1" applyFont="1" applyFill="1" applyBorder="1" applyAlignment="1">
      <alignment horizontal="right" vertical="top" wrapText="1"/>
    </xf>
    <xf numFmtId="41" fontId="2" fillId="11" borderId="0" xfId="0" applyNumberFormat="1" applyFont="1" applyFill="1"/>
    <xf numFmtId="174" fontId="2" fillId="11" borderId="0" xfId="0" applyNumberFormat="1" applyFont="1" applyFill="1"/>
    <xf numFmtId="3" fontId="38" fillId="8" borderId="48" xfId="0" applyNumberFormat="1" applyFont="1" applyFill="1" applyBorder="1" applyAlignment="1">
      <alignment horizontal="center" vertical="center" wrapText="1"/>
    </xf>
    <xf numFmtId="0" fontId="25" fillId="19" borderId="0" xfId="0" applyFont="1" applyFill="1" applyAlignment="1" applyProtection="1">
      <alignment horizontal="center" vertical="center" wrapText="1"/>
    </xf>
    <xf numFmtId="0" fontId="36" fillId="10" borderId="11" xfId="0" applyFont="1" applyFill="1" applyBorder="1" applyAlignment="1">
      <alignment horizontal="center" vertical="center"/>
    </xf>
    <xf numFmtId="0" fontId="36" fillId="10" borderId="0" xfId="0" applyFont="1" applyFill="1" applyBorder="1" applyAlignment="1">
      <alignment horizontal="center" vertical="center"/>
    </xf>
    <xf numFmtId="0" fontId="5" fillId="14" borderId="9" xfId="0" applyFont="1" applyFill="1" applyBorder="1" applyAlignment="1" applyProtection="1">
      <alignment horizontal="center"/>
    </xf>
    <xf numFmtId="3" fontId="2" fillId="2" borderId="9" xfId="0" applyNumberFormat="1" applyFont="1" applyFill="1" applyBorder="1" applyAlignment="1" applyProtection="1">
      <alignment horizontal="center"/>
      <protection locked="0"/>
    </xf>
    <xf numFmtId="3" fontId="24" fillId="5" borderId="52" xfId="0" applyNumberFormat="1" applyFont="1" applyFill="1" applyBorder="1" applyAlignment="1" applyProtection="1">
      <alignment vertical="center"/>
    </xf>
    <xf numFmtId="3" fontId="1" fillId="11" borderId="52" xfId="0" applyNumberFormat="1" applyFont="1" applyFill="1" applyBorder="1" applyAlignment="1" applyProtection="1">
      <alignment vertical="center"/>
      <protection locked="0"/>
    </xf>
    <xf numFmtId="3" fontId="24" fillId="5" borderId="53" xfId="0" applyNumberFormat="1" applyFont="1" applyFill="1" applyBorder="1" applyAlignment="1" applyProtection="1">
      <alignment vertical="center"/>
      <protection locked="0"/>
    </xf>
    <xf numFmtId="3" fontId="38" fillId="2" borderId="10" xfId="0" applyNumberFormat="1" applyFont="1" applyFill="1" applyBorder="1" applyAlignment="1" applyProtection="1">
      <alignment horizontal="center"/>
      <protection locked="0"/>
    </xf>
    <xf numFmtId="3" fontId="24" fillId="5" borderId="49" xfId="0" applyNumberFormat="1" applyFont="1" applyFill="1" applyBorder="1" applyAlignment="1" applyProtection="1">
      <alignment horizontal="right" vertical="center"/>
      <protection locked="0"/>
    </xf>
    <xf numFmtId="0" fontId="5" fillId="14" borderId="9" xfId="0" applyFont="1" applyFill="1" applyBorder="1" applyAlignment="1" applyProtection="1"/>
    <xf numFmtId="10" fontId="1" fillId="10" borderId="0" xfId="0" applyNumberFormat="1" applyFont="1" applyFill="1" applyBorder="1" applyProtection="1"/>
    <xf numFmtId="10" fontId="24" fillId="5" borderId="23" xfId="7" applyNumberFormat="1" applyFont="1" applyFill="1" applyBorder="1" applyAlignment="1" applyProtection="1">
      <alignment horizontal="center" vertical="center"/>
    </xf>
    <xf numFmtId="10" fontId="15" fillId="0" borderId="0" xfId="0" applyNumberFormat="1" applyFont="1" applyBorder="1" applyProtection="1">
      <protection locked="0"/>
    </xf>
    <xf numFmtId="10" fontId="1" fillId="0" borderId="0" xfId="0" applyNumberFormat="1" applyFont="1" applyBorder="1" applyProtection="1">
      <protection locked="0"/>
    </xf>
    <xf numFmtId="10" fontId="1" fillId="0" borderId="0" xfId="0" applyNumberFormat="1" applyFont="1" applyFill="1" applyBorder="1" applyProtection="1">
      <protection locked="0"/>
    </xf>
    <xf numFmtId="10" fontId="1" fillId="0" borderId="0" xfId="0" applyNumberFormat="1" applyFont="1" applyProtection="1">
      <protection locked="0"/>
    </xf>
    <xf numFmtId="10" fontId="1" fillId="0" borderId="36" xfId="7" applyNumberFormat="1" applyFont="1" applyFill="1" applyBorder="1" applyAlignment="1" applyProtection="1">
      <alignment horizontal="center" vertical="center"/>
    </xf>
    <xf numFmtId="10" fontId="24" fillId="5" borderId="36" xfId="7" applyNumberFormat="1" applyFont="1" applyFill="1" applyBorder="1" applyAlignment="1" applyProtection="1">
      <alignment horizontal="center" vertical="center"/>
    </xf>
    <xf numFmtId="3" fontId="1" fillId="10" borderId="0" xfId="14" applyNumberFormat="1" applyFont="1" applyFill="1" applyBorder="1" applyAlignment="1" applyProtection="1">
      <alignment horizontal="right"/>
    </xf>
    <xf numFmtId="3" fontId="24" fillId="5" borderId="1" xfId="14" applyNumberFormat="1" applyFont="1" applyFill="1" applyBorder="1" applyAlignment="1" applyProtection="1">
      <alignment horizontal="right" vertical="center"/>
    </xf>
    <xf numFmtId="3" fontId="15" fillId="0" borderId="0" xfId="14" applyNumberFormat="1" applyFont="1" applyBorder="1" applyAlignment="1" applyProtection="1">
      <alignment horizontal="right"/>
      <protection locked="0"/>
    </xf>
    <xf numFmtId="3" fontId="1" fillId="0" borderId="0" xfId="14" applyNumberFormat="1" applyFont="1" applyBorder="1" applyAlignment="1" applyProtection="1">
      <alignment horizontal="right"/>
      <protection locked="0"/>
    </xf>
    <xf numFmtId="3" fontId="1" fillId="11" borderId="0" xfId="14" applyNumberFormat="1" applyFont="1" applyFill="1" applyBorder="1" applyAlignment="1" applyProtection="1">
      <alignment horizontal="center"/>
      <protection locked="0"/>
    </xf>
    <xf numFmtId="10" fontId="2" fillId="7" borderId="48" xfId="0" applyNumberFormat="1" applyFont="1" applyFill="1" applyBorder="1" applyAlignment="1">
      <alignment horizontal="center" vertical="center" wrapText="1"/>
    </xf>
    <xf numFmtId="10" fontId="17" fillId="13" borderId="34" xfId="2" applyNumberFormat="1" applyFont="1" applyFill="1" applyBorder="1" applyAlignment="1" applyProtection="1">
      <alignment horizontal="center" vertical="center" wrapText="1"/>
    </xf>
    <xf numFmtId="10" fontId="1" fillId="11" borderId="36" xfId="7" applyNumberFormat="1" applyFont="1" applyFill="1" applyBorder="1" applyAlignment="1" applyProtection="1">
      <alignment horizontal="center" vertical="center"/>
    </xf>
    <xf numFmtId="10" fontId="24" fillId="5" borderId="46" xfId="7" applyNumberFormat="1" applyFont="1" applyFill="1" applyBorder="1" applyAlignment="1" applyProtection="1">
      <alignment horizontal="center" vertical="center"/>
    </xf>
    <xf numFmtId="3" fontId="24" fillId="5" borderId="16" xfId="14" applyNumberFormat="1" applyFont="1" applyFill="1" applyBorder="1" applyAlignment="1" applyProtection="1">
      <alignment horizontal="right" vertical="center" wrapText="1"/>
    </xf>
    <xf numFmtId="3" fontId="1" fillId="0" borderId="16" xfId="14" applyNumberFormat="1" applyFont="1" applyFill="1" applyBorder="1" applyAlignment="1" applyProtection="1">
      <alignment horizontal="right" vertical="center"/>
    </xf>
    <xf numFmtId="3" fontId="24" fillId="5" borderId="16" xfId="14" applyNumberFormat="1" applyFont="1" applyFill="1" applyBorder="1" applyAlignment="1" applyProtection="1">
      <alignment horizontal="right" vertical="center"/>
    </xf>
    <xf numFmtId="3" fontId="1" fillId="11" borderId="16" xfId="14" applyNumberFormat="1" applyFont="1" applyFill="1" applyBorder="1" applyAlignment="1" applyProtection="1">
      <alignment horizontal="right" vertical="center"/>
    </xf>
    <xf numFmtId="3" fontId="1" fillId="0" borderId="16" xfId="14" applyNumberFormat="1" applyFont="1" applyFill="1" applyBorder="1" applyAlignment="1" applyProtection="1">
      <alignment horizontal="right"/>
      <protection locked="0"/>
    </xf>
    <xf numFmtId="3" fontId="24" fillId="5" borderId="17" xfId="14" applyNumberFormat="1" applyFont="1" applyFill="1" applyBorder="1" applyAlignment="1" applyProtection="1">
      <alignment horizontal="right" vertical="center"/>
    </xf>
    <xf numFmtId="3" fontId="24" fillId="5" borderId="19" xfId="14" applyNumberFormat="1" applyFont="1" applyFill="1" applyBorder="1" applyAlignment="1" applyProtection="1">
      <alignment horizontal="right" vertical="center"/>
      <protection locked="0"/>
    </xf>
    <xf numFmtId="3" fontId="4" fillId="2" borderId="20" xfId="14" applyNumberFormat="1" applyFont="1" applyFill="1" applyBorder="1" applyAlignment="1" applyProtection="1">
      <alignment horizontal="right" vertical="center" wrapText="1"/>
      <protection locked="0"/>
    </xf>
    <xf numFmtId="3" fontId="1" fillId="0" borderId="20" xfId="14" applyNumberFormat="1" applyFont="1" applyBorder="1" applyAlignment="1">
      <alignment horizontal="center" vertical="center" wrapText="1"/>
    </xf>
    <xf numFmtId="3" fontId="4" fillId="8" borderId="28" xfId="0" applyNumberFormat="1" applyFont="1" applyFill="1" applyBorder="1" applyAlignment="1" applyProtection="1">
      <alignment horizontal="center"/>
    </xf>
    <xf numFmtId="3" fontId="4" fillId="8" borderId="14" xfId="0" applyNumberFormat="1" applyFont="1" applyFill="1" applyBorder="1" applyAlignment="1" applyProtection="1">
      <alignment horizontal="center"/>
    </xf>
    <xf numFmtId="3" fontId="4" fillId="8" borderId="27" xfId="0" applyNumberFormat="1" applyFont="1" applyFill="1" applyBorder="1" applyAlignment="1" applyProtection="1">
      <alignment horizontal="center"/>
    </xf>
    <xf numFmtId="3" fontId="1" fillId="10" borderId="0" xfId="0" applyNumberFormat="1" applyFont="1" applyFill="1" applyBorder="1" applyAlignment="1" applyProtection="1">
      <alignment horizontal="right"/>
    </xf>
    <xf numFmtId="3" fontId="3" fillId="0" borderId="1" xfId="14" applyNumberFormat="1" applyFont="1" applyFill="1" applyBorder="1" applyAlignment="1" applyProtection="1">
      <alignment horizontal="right" vertical="center"/>
    </xf>
    <xf numFmtId="3" fontId="3" fillId="5" borderId="1" xfId="14" applyNumberFormat="1" applyFont="1" applyFill="1" applyBorder="1" applyAlignment="1" applyProtection="1">
      <alignment horizontal="right" vertical="center"/>
    </xf>
    <xf numFmtId="3" fontId="24" fillId="5" borderId="50" xfId="0" applyNumberFormat="1" applyFont="1" applyFill="1" applyBorder="1" applyAlignment="1" applyProtection="1">
      <alignment vertical="center"/>
      <protection locked="0"/>
    </xf>
    <xf numFmtId="3" fontId="24" fillId="5" borderId="60" xfId="0" applyNumberFormat="1" applyFont="1" applyFill="1" applyBorder="1" applyAlignment="1" applyProtection="1">
      <alignment vertical="center"/>
      <protection locked="0"/>
    </xf>
    <xf numFmtId="3" fontId="24" fillId="5" borderId="19" xfId="0" applyNumberFormat="1" applyFont="1" applyFill="1" applyBorder="1" applyAlignment="1" applyProtection="1">
      <alignment vertical="center"/>
      <protection locked="0"/>
    </xf>
    <xf numFmtId="3" fontId="4" fillId="2" borderId="10" xfId="0" applyNumberFormat="1" applyFont="1" applyFill="1" applyBorder="1" applyAlignment="1" applyProtection="1">
      <alignment vertical="center" wrapText="1"/>
      <protection locked="0"/>
    </xf>
    <xf numFmtId="3" fontId="4" fillId="2" borderId="20" xfId="0" applyNumberFormat="1" applyFont="1" applyFill="1" applyBorder="1" applyAlignment="1" applyProtection="1">
      <alignment vertical="center" wrapText="1"/>
      <protection locked="0"/>
    </xf>
    <xf numFmtId="3" fontId="2" fillId="2" borderId="9" xfId="0" applyNumberFormat="1" applyFont="1" applyFill="1" applyBorder="1" applyAlignment="1" applyProtection="1">
      <alignment vertical="center" wrapText="1"/>
    </xf>
    <xf numFmtId="3" fontId="2" fillId="5" borderId="52" xfId="0" applyNumberFormat="1" applyFont="1" applyFill="1" applyBorder="1" applyAlignment="1">
      <alignment horizontal="right" vertical="center" wrapText="1"/>
    </xf>
    <xf numFmtId="3" fontId="24" fillId="5" borderId="52" xfId="0" applyNumberFormat="1" applyFont="1" applyFill="1" applyBorder="1" applyAlignment="1">
      <alignment horizontal="right" vertical="center" wrapText="1"/>
    </xf>
    <xf numFmtId="10" fontId="4" fillId="7" borderId="9" xfId="0" applyNumberFormat="1" applyFont="1" applyFill="1" applyBorder="1" applyAlignment="1" applyProtection="1">
      <alignment horizontal="center"/>
    </xf>
    <xf numFmtId="10" fontId="2" fillId="8" borderId="22" xfId="0" applyNumberFormat="1" applyFont="1" applyFill="1" applyBorder="1" applyAlignment="1">
      <alignment horizontal="center" vertical="center" wrapText="1"/>
    </xf>
    <xf numFmtId="10" fontId="17" fillId="13" borderId="26" xfId="7" applyNumberFormat="1" applyFont="1" applyFill="1" applyBorder="1" applyAlignment="1" applyProtection="1">
      <alignment horizontal="center" vertical="center" wrapText="1"/>
    </xf>
    <xf numFmtId="10" fontId="3" fillId="0" borderId="23" xfId="2" applyNumberFormat="1" applyFont="1" applyFill="1" applyBorder="1" applyAlignment="1" applyProtection="1">
      <alignment horizontal="center" vertical="center"/>
    </xf>
    <xf numFmtId="10" fontId="24" fillId="5" borderId="23" xfId="2" applyNumberFormat="1" applyFont="1" applyFill="1" applyBorder="1" applyAlignment="1" applyProtection="1">
      <alignment horizontal="center" vertical="center"/>
    </xf>
    <xf numFmtId="10" fontId="24" fillId="11" borderId="23" xfId="2" applyNumberFormat="1" applyFont="1" applyFill="1" applyBorder="1" applyAlignment="1" applyProtection="1">
      <alignment horizontal="center" vertical="center"/>
    </xf>
    <xf numFmtId="10" fontId="24" fillId="5" borderId="39" xfId="2" applyNumberFormat="1" applyFont="1" applyFill="1" applyBorder="1" applyAlignment="1" applyProtection="1">
      <alignment horizontal="center" vertical="center"/>
    </xf>
    <xf numFmtId="10" fontId="2" fillId="8" borderId="21" xfId="0" applyNumberFormat="1" applyFont="1" applyFill="1" applyBorder="1" applyAlignment="1">
      <alignment horizontal="center" vertical="center" wrapText="1"/>
    </xf>
    <xf numFmtId="10" fontId="17" fillId="13" borderId="18" xfId="7" applyNumberFormat="1" applyFont="1" applyFill="1" applyBorder="1" applyAlignment="1" applyProtection="1">
      <alignment horizontal="center" vertical="center" wrapText="1"/>
    </xf>
    <xf numFmtId="10" fontId="24" fillId="5" borderId="1" xfId="7" applyNumberFormat="1" applyFont="1" applyFill="1" applyBorder="1" applyAlignment="1" applyProtection="1">
      <alignment horizontal="center" vertical="center"/>
    </xf>
    <xf numFmtId="10" fontId="3" fillId="0" borderId="1" xfId="2" applyNumberFormat="1" applyFont="1" applyFill="1" applyBorder="1" applyAlignment="1" applyProtection="1">
      <alignment horizontal="center" vertical="center"/>
    </xf>
    <xf numFmtId="10" fontId="24" fillId="5" borderId="1" xfId="2" applyNumberFormat="1" applyFont="1" applyFill="1" applyBorder="1" applyAlignment="1" applyProtection="1">
      <alignment horizontal="center" vertical="center"/>
    </xf>
    <xf numFmtId="10" fontId="3" fillId="11" borderId="1" xfId="2" applyNumberFormat="1" applyFont="1" applyFill="1" applyBorder="1" applyAlignment="1" applyProtection="1">
      <alignment horizontal="center" vertical="center"/>
    </xf>
    <xf numFmtId="10" fontId="24" fillId="5" borderId="3" xfId="2" applyNumberFormat="1" applyFont="1" applyFill="1" applyBorder="1" applyAlignment="1" applyProtection="1">
      <alignment horizontal="center" vertical="center"/>
    </xf>
    <xf numFmtId="10" fontId="3" fillId="0" borderId="1" xfId="14" applyNumberFormat="1" applyFont="1" applyFill="1" applyBorder="1" applyAlignment="1" applyProtection="1">
      <alignment horizontal="center" vertical="center"/>
    </xf>
    <xf numFmtId="10" fontId="24" fillId="5" borderId="3" xfId="14" applyNumberFormat="1" applyFont="1" applyFill="1" applyBorder="1" applyAlignment="1" applyProtection="1">
      <alignment horizontal="center" vertical="center" wrapText="1"/>
    </xf>
    <xf numFmtId="0" fontId="5" fillId="9" borderId="1" xfId="0" applyFont="1" applyFill="1" applyBorder="1" applyAlignment="1">
      <alignment vertical="top"/>
    </xf>
    <xf numFmtId="0" fontId="5" fillId="9" borderId="1" xfId="0" applyFont="1" applyFill="1" applyBorder="1" applyAlignment="1">
      <alignment horizontal="center" vertical="top"/>
    </xf>
    <xf numFmtId="3" fontId="2" fillId="2" borderId="1" xfId="0" applyNumberFormat="1" applyFont="1" applyFill="1" applyBorder="1" applyAlignment="1">
      <alignment horizontal="center" vertical="top"/>
    </xf>
    <xf numFmtId="0" fontId="4" fillId="7" borderId="3" xfId="0" applyFont="1" applyFill="1" applyBorder="1" applyAlignment="1">
      <alignment horizontal="center" vertical="top"/>
    </xf>
    <xf numFmtId="0" fontId="5" fillId="9" borderId="2" xfId="0" applyFont="1" applyFill="1" applyBorder="1" applyAlignment="1">
      <alignment vertical="top"/>
    </xf>
    <xf numFmtId="3" fontId="2" fillId="2" borderId="2" xfId="0" applyNumberFormat="1" applyFont="1" applyFill="1" applyBorder="1" applyAlignment="1">
      <alignment horizontal="center" vertical="top"/>
    </xf>
    <xf numFmtId="173" fontId="44" fillId="0" borderId="0" xfId="0" applyNumberFormat="1" applyFont="1" applyAlignment="1" applyProtection="1">
      <alignment horizontal="right" vertical="center" wrapText="1"/>
    </xf>
    <xf numFmtId="3" fontId="18" fillId="11" borderId="31" xfId="0" applyNumberFormat="1" applyFont="1" applyFill="1" applyBorder="1" applyAlignment="1">
      <alignment vertical="top"/>
    </xf>
    <xf numFmtId="3" fontId="2" fillId="2" borderId="23" xfId="0" applyNumberFormat="1" applyFont="1" applyFill="1" applyBorder="1" applyAlignment="1">
      <alignment horizontal="center" vertical="top"/>
    </xf>
    <xf numFmtId="0" fontId="1" fillId="0" borderId="0" xfId="0" applyFont="1" applyBorder="1" applyAlignment="1">
      <alignment horizontal="right" vertical="top"/>
    </xf>
    <xf numFmtId="3" fontId="18" fillId="10" borderId="0" xfId="14" applyNumberFormat="1" applyFont="1" applyFill="1" applyBorder="1" applyAlignment="1">
      <alignment horizontal="right" vertical="top"/>
    </xf>
    <xf numFmtId="3" fontId="24" fillId="5" borderId="1" xfId="14" applyNumberFormat="1" applyFont="1" applyFill="1" applyBorder="1" applyAlignment="1">
      <alignment horizontal="right" vertical="top" wrapText="1"/>
    </xf>
    <xf numFmtId="3" fontId="1" fillId="0" borderId="1" xfId="14" applyNumberFormat="1" applyFont="1" applyFill="1" applyBorder="1" applyAlignment="1">
      <alignment horizontal="right" vertical="top" wrapText="1"/>
    </xf>
    <xf numFmtId="3" fontId="24" fillId="5" borderId="1" xfId="14" applyNumberFormat="1" applyFont="1" applyFill="1" applyBorder="1" applyAlignment="1" applyProtection="1">
      <alignment horizontal="right" vertical="top" wrapText="1"/>
    </xf>
    <xf numFmtId="3" fontId="1" fillId="0" borderId="1" xfId="14" applyNumberFormat="1" applyFont="1" applyFill="1" applyBorder="1" applyAlignment="1" applyProtection="1">
      <alignment horizontal="right" vertical="top" wrapText="1"/>
    </xf>
    <xf numFmtId="3" fontId="1" fillId="0" borderId="0" xfId="14" applyNumberFormat="1" applyFont="1" applyBorder="1" applyAlignment="1">
      <alignment horizontal="right" vertical="top"/>
    </xf>
    <xf numFmtId="3" fontId="1" fillId="0" borderId="0" xfId="14" applyNumberFormat="1" applyFont="1" applyAlignment="1">
      <alignment horizontal="right" vertical="top"/>
    </xf>
    <xf numFmtId="172" fontId="3" fillId="11" borderId="39" xfId="7" applyNumberFormat="1" applyFont="1" applyFill="1" applyBorder="1" applyAlignment="1">
      <alignment horizontal="center" vertical="center" wrapText="1"/>
    </xf>
    <xf numFmtId="3" fontId="1" fillId="11" borderId="0" xfId="0" applyNumberFormat="1" applyFont="1" applyFill="1" applyBorder="1" applyAlignment="1">
      <alignment horizontal="center"/>
    </xf>
    <xf numFmtId="3" fontId="18" fillId="11" borderId="0" xfId="0" applyNumberFormat="1" applyFont="1" applyFill="1" applyAlignment="1">
      <alignment horizontal="center"/>
    </xf>
    <xf numFmtId="3" fontId="3" fillId="11" borderId="1" xfId="14" applyNumberFormat="1" applyFont="1" applyFill="1" applyBorder="1" applyAlignment="1">
      <alignment vertical="center" wrapText="1"/>
    </xf>
    <xf numFmtId="3" fontId="3" fillId="11" borderId="1" xfId="14" applyNumberFormat="1" applyFont="1" applyFill="1" applyBorder="1" applyAlignment="1">
      <alignment horizontal="right" vertical="top" wrapText="1"/>
    </xf>
    <xf numFmtId="3" fontId="3" fillId="0" borderId="1" xfId="14" applyNumberFormat="1" applyFont="1" applyFill="1" applyBorder="1" applyAlignment="1">
      <alignment horizontal="right" vertical="top" wrapText="1"/>
    </xf>
    <xf numFmtId="172" fontId="3" fillId="11" borderId="3" xfId="7" applyNumberFormat="1" applyFont="1" applyFill="1" applyBorder="1" applyAlignment="1">
      <alignment horizontal="center" vertical="center" wrapText="1"/>
    </xf>
    <xf numFmtId="0" fontId="24" fillId="11" borderId="36" xfId="0" applyFont="1" applyFill="1" applyBorder="1" applyAlignment="1">
      <alignment horizontal="left" vertical="center"/>
    </xf>
    <xf numFmtId="0" fontId="3" fillId="11" borderId="36" xfId="0" applyFont="1" applyFill="1" applyBorder="1" applyAlignment="1">
      <alignment horizontal="left" vertical="center"/>
    </xf>
    <xf numFmtId="0" fontId="3" fillId="11" borderId="36" xfId="0" applyFont="1" applyFill="1" applyBorder="1" applyAlignment="1" applyProtection="1">
      <alignment vertical="top"/>
    </xf>
    <xf numFmtId="0" fontId="24" fillId="11" borderId="35" xfId="0" applyFont="1" applyFill="1" applyBorder="1" applyAlignment="1">
      <alignment horizontal="left" vertical="center"/>
    </xf>
    <xf numFmtId="0" fontId="24" fillId="0" borderId="36" xfId="0" applyFont="1" applyFill="1" applyBorder="1" applyAlignment="1">
      <alignment horizontal="left" vertical="center"/>
    </xf>
    <xf numFmtId="0" fontId="3" fillId="11" borderId="36" xfId="0" applyFont="1" applyFill="1" applyBorder="1" applyAlignment="1" applyProtection="1">
      <alignment horizontal="left" vertical="top"/>
    </xf>
    <xf numFmtId="0" fontId="3" fillId="0" borderId="36" xfId="0" applyFont="1" applyFill="1" applyBorder="1" applyAlignment="1" applyProtection="1">
      <alignment vertical="top"/>
    </xf>
    <xf numFmtId="0" fontId="3" fillId="0" borderId="36" xfId="0" applyFont="1" applyFill="1" applyBorder="1" applyAlignment="1" applyProtection="1">
      <alignment horizontal="left" vertical="top"/>
    </xf>
    <xf numFmtId="0" fontId="24" fillId="0" borderId="46" xfId="0" applyFont="1" applyFill="1" applyBorder="1" applyAlignment="1">
      <alignment horizontal="left" vertical="center"/>
    </xf>
    <xf numFmtId="3" fontId="24" fillId="11" borderId="1" xfId="0" applyNumberFormat="1" applyFont="1" applyFill="1" applyBorder="1" applyAlignment="1">
      <alignment horizontal="right" vertical="top" wrapText="1"/>
    </xf>
    <xf numFmtId="0" fontId="17" fillId="13" borderId="35" xfId="2" applyFont="1" applyFill="1" applyBorder="1" applyAlignment="1">
      <alignment vertical="center"/>
    </xf>
    <xf numFmtId="0" fontId="38" fillId="8" borderId="9" xfId="0" applyFont="1" applyFill="1" applyBorder="1" applyAlignment="1" applyProtection="1">
      <alignment horizontal="center" vertical="center"/>
    </xf>
    <xf numFmtId="3" fontId="17" fillId="13" borderId="19" xfId="2" applyNumberFormat="1" applyFont="1" applyFill="1" applyBorder="1" applyAlignment="1">
      <alignment vertical="center"/>
    </xf>
    <xf numFmtId="3" fontId="3" fillId="0" borderId="16" xfId="0" applyNumberFormat="1" applyFont="1" applyFill="1" applyBorder="1" applyAlignment="1">
      <alignment horizontal="right" vertical="top"/>
    </xf>
    <xf numFmtId="3" fontId="3" fillId="11" borderId="16" xfId="0" applyNumberFormat="1" applyFont="1" applyFill="1" applyBorder="1" applyAlignment="1">
      <alignment horizontal="right" vertical="top"/>
    </xf>
    <xf numFmtId="3" fontId="3" fillId="0" borderId="17" xfId="0" applyNumberFormat="1" applyFont="1" applyFill="1" applyBorder="1"/>
    <xf numFmtId="0" fontId="2" fillId="0" borderId="0" xfId="0" applyFont="1" applyFill="1" applyBorder="1" applyAlignment="1">
      <alignment vertical="top"/>
    </xf>
    <xf numFmtId="41" fontId="1" fillId="0" borderId="0" xfId="14" applyFont="1" applyFill="1" applyBorder="1" applyAlignment="1">
      <alignment vertical="top"/>
    </xf>
    <xf numFmtId="172" fontId="24" fillId="11" borderId="1" xfId="7" applyNumberFormat="1" applyFont="1" applyFill="1" applyBorder="1" applyAlignment="1">
      <alignment horizontal="center" vertical="center" wrapText="1"/>
    </xf>
    <xf numFmtId="172" fontId="24" fillId="11" borderId="23" xfId="7" applyNumberFormat="1" applyFont="1" applyFill="1" applyBorder="1" applyAlignment="1">
      <alignment horizontal="center" vertical="center" wrapText="1"/>
    </xf>
    <xf numFmtId="3" fontId="2" fillId="5" borderId="1" xfId="14" applyNumberFormat="1" applyFont="1" applyFill="1" applyBorder="1" applyAlignment="1">
      <alignment horizontal="right" vertical="top" wrapText="1"/>
    </xf>
    <xf numFmtId="3" fontId="2" fillId="5" borderId="1" xfId="14" applyNumberFormat="1" applyFont="1" applyFill="1" applyBorder="1" applyAlignment="1">
      <alignment horizontal="right" vertical="top"/>
    </xf>
    <xf numFmtId="3" fontId="1" fillId="0" borderId="1" xfId="0" applyNumberFormat="1" applyFont="1" applyFill="1" applyBorder="1" applyAlignment="1" applyProtection="1">
      <alignment horizontal="right" vertical="top"/>
    </xf>
    <xf numFmtId="3" fontId="24" fillId="0" borderId="1" xfId="0" applyNumberFormat="1" applyFont="1" applyFill="1" applyBorder="1" applyAlignment="1" applyProtection="1">
      <alignment horizontal="right" vertical="top" wrapText="1"/>
    </xf>
    <xf numFmtId="3" fontId="1" fillId="0" borderId="1" xfId="0" applyNumberFormat="1" applyFont="1" applyFill="1" applyBorder="1" applyAlignment="1">
      <alignment horizontal="right" vertical="top"/>
    </xf>
    <xf numFmtId="3" fontId="24" fillId="0" borderId="1" xfId="14" applyNumberFormat="1" applyFont="1" applyFill="1" applyBorder="1" applyAlignment="1" applyProtection="1">
      <alignment horizontal="right" vertical="top" wrapText="1"/>
    </xf>
    <xf numFmtId="167" fontId="13" fillId="5" borderId="1" xfId="0" applyNumberFormat="1" applyFont="1" applyFill="1" applyBorder="1" applyAlignment="1" applyProtection="1">
      <alignment horizontal="left" vertical="top"/>
    </xf>
    <xf numFmtId="168" fontId="13" fillId="5" borderId="1" xfId="0" applyNumberFormat="1" applyFont="1" applyFill="1" applyBorder="1" applyAlignment="1" applyProtection="1">
      <alignment horizontal="left" vertical="top"/>
    </xf>
    <xf numFmtId="167" fontId="12" fillId="0" borderId="1" xfId="0" applyNumberFormat="1" applyFont="1" applyFill="1" applyBorder="1" applyAlignment="1" applyProtection="1">
      <alignment horizontal="left" vertical="top"/>
    </xf>
    <xf numFmtId="168" fontId="12" fillId="0" borderId="1" xfId="0" applyNumberFormat="1" applyFont="1" applyFill="1" applyBorder="1" applyAlignment="1" applyProtection="1">
      <alignment horizontal="left" vertical="top"/>
    </xf>
    <xf numFmtId="49" fontId="24" fillId="5" borderId="1" xfId="0" applyNumberFormat="1" applyFont="1" applyFill="1" applyBorder="1" applyAlignment="1" applyProtection="1">
      <alignment horizontal="left" vertical="top" wrapText="1"/>
    </xf>
    <xf numFmtId="168" fontId="24" fillId="5"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left" vertical="top" wrapText="1"/>
    </xf>
    <xf numFmtId="167" fontId="1" fillId="0" borderId="1" xfId="0" applyNumberFormat="1" applyFont="1" applyFill="1" applyBorder="1" applyAlignment="1" applyProtection="1">
      <alignment horizontal="left" vertical="top" wrapText="1"/>
    </xf>
    <xf numFmtId="49" fontId="2" fillId="5" borderId="1" xfId="0" applyNumberFormat="1" applyFont="1" applyFill="1" applyBorder="1" applyAlignment="1" applyProtection="1">
      <alignment horizontal="left" vertical="top" wrapText="1"/>
    </xf>
    <xf numFmtId="49" fontId="1" fillId="0" borderId="1" xfId="0" applyNumberFormat="1" applyFont="1" applyFill="1" applyBorder="1" applyAlignment="1" applyProtection="1">
      <alignment horizontal="left" vertical="top" wrapText="1"/>
    </xf>
    <xf numFmtId="167" fontId="2" fillId="5" borderId="1" xfId="0" applyNumberFormat="1" applyFont="1" applyFill="1" applyBorder="1" applyAlignment="1" applyProtection="1">
      <alignment horizontal="left" vertical="top" wrapText="1"/>
    </xf>
    <xf numFmtId="168" fontId="2" fillId="5" borderId="1" xfId="0" applyNumberFormat="1" applyFont="1" applyFill="1" applyBorder="1" applyAlignment="1" applyProtection="1">
      <alignment horizontal="right" vertical="top" wrapText="1"/>
    </xf>
    <xf numFmtId="0" fontId="24" fillId="0" borderId="1" xfId="0" applyFont="1" applyFill="1" applyBorder="1" applyAlignment="1" applyProtection="1">
      <alignment vertical="top" wrapText="1"/>
    </xf>
    <xf numFmtId="168" fontId="1" fillId="5" borderId="1" xfId="0" applyNumberFormat="1" applyFont="1" applyFill="1" applyBorder="1" applyAlignment="1" applyProtection="1">
      <alignment horizontal="center" vertical="top" wrapText="1"/>
    </xf>
    <xf numFmtId="168" fontId="1" fillId="5" borderId="1" xfId="0" applyNumberFormat="1" applyFont="1" applyFill="1" applyBorder="1" applyAlignment="1" applyProtection="1">
      <alignment horizontal="left" vertical="top" wrapText="1"/>
    </xf>
    <xf numFmtId="168" fontId="1" fillId="0" borderId="1" xfId="0" applyNumberFormat="1" applyFont="1" applyFill="1" applyBorder="1" applyAlignment="1" applyProtection="1">
      <alignment horizontal="left" vertical="top" wrapText="1"/>
    </xf>
    <xf numFmtId="168" fontId="1" fillId="0" borderId="1" xfId="0" applyNumberFormat="1" applyFont="1" applyFill="1" applyBorder="1" applyAlignment="1" applyProtection="1">
      <alignment vertical="top" wrapText="1"/>
    </xf>
    <xf numFmtId="167" fontId="1" fillId="0" borderId="1" xfId="0" applyNumberFormat="1" applyFont="1" applyFill="1" applyBorder="1" applyAlignment="1" applyProtection="1">
      <alignment horizontal="left" vertical="top"/>
    </xf>
    <xf numFmtId="49" fontId="1" fillId="0" borderId="1" xfId="0" applyNumberFormat="1" applyFont="1" applyFill="1" applyBorder="1" applyAlignment="1" applyProtection="1">
      <alignment vertical="top" wrapText="1"/>
    </xf>
    <xf numFmtId="168" fontId="3" fillId="0" borderId="1" xfId="0" applyNumberFormat="1" applyFont="1" applyFill="1" applyBorder="1" applyAlignment="1" applyProtection="1">
      <alignment vertical="top" wrapText="1"/>
    </xf>
    <xf numFmtId="41" fontId="1" fillId="11" borderId="0" xfId="14" applyFont="1" applyFill="1" applyAlignment="1">
      <alignment wrapText="1"/>
    </xf>
    <xf numFmtId="3" fontId="3" fillId="11" borderId="58" xfId="0" applyNumberFormat="1" applyFont="1" applyFill="1" applyBorder="1" applyAlignment="1">
      <alignment horizontal="right" vertical="top" wrapText="1"/>
    </xf>
    <xf numFmtId="3" fontId="2" fillId="5" borderId="1" xfId="0" applyNumberFormat="1" applyFont="1" applyFill="1" applyBorder="1" applyAlignment="1" applyProtection="1">
      <alignment vertical="top"/>
    </xf>
    <xf numFmtId="3" fontId="2" fillId="0" borderId="1" xfId="0" applyNumberFormat="1" applyFont="1" applyFill="1" applyBorder="1" applyAlignment="1">
      <alignment horizontal="right" vertical="top" wrapText="1"/>
    </xf>
    <xf numFmtId="3" fontId="18" fillId="0" borderId="31" xfId="0" applyNumberFormat="1" applyFont="1" applyBorder="1" applyAlignment="1">
      <alignment vertical="top"/>
    </xf>
    <xf numFmtId="0" fontId="5" fillId="9" borderId="23" xfId="0" applyFont="1" applyFill="1" applyBorder="1" applyAlignment="1">
      <alignment horizontal="center" vertical="top"/>
    </xf>
    <xf numFmtId="3" fontId="24" fillId="5" borderId="23" xfId="0" applyNumberFormat="1" applyFont="1" applyFill="1" applyBorder="1" applyAlignment="1">
      <alignment horizontal="right" vertical="top" wrapText="1"/>
    </xf>
    <xf numFmtId="3" fontId="1" fillId="0" borderId="23" xfId="0" applyNumberFormat="1" applyFont="1" applyFill="1" applyBorder="1" applyAlignment="1" applyProtection="1">
      <alignment horizontal="right" vertical="top" wrapText="1"/>
    </xf>
    <xf numFmtId="3" fontId="1" fillId="0" borderId="23" xfId="0" applyNumberFormat="1" applyFont="1" applyFill="1" applyBorder="1" applyAlignment="1">
      <alignment vertical="top"/>
    </xf>
    <xf numFmtId="0" fontId="1" fillId="0" borderId="23" xfId="0" applyFont="1" applyFill="1" applyBorder="1" applyAlignment="1">
      <alignment vertical="top"/>
    </xf>
    <xf numFmtId="0" fontId="13" fillId="5"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3" fontId="1" fillId="0" borderId="23" xfId="0" applyNumberFormat="1" applyFont="1" applyBorder="1" applyAlignment="1">
      <alignment vertical="top"/>
    </xf>
    <xf numFmtId="3" fontId="24" fillId="0" borderId="23" xfId="0" applyNumberFormat="1" applyFont="1" applyFill="1" applyBorder="1" applyAlignment="1">
      <alignment horizontal="right" vertical="top" wrapText="1"/>
    </xf>
    <xf numFmtId="168" fontId="13" fillId="5" borderId="16" xfId="0" applyNumberFormat="1" applyFont="1" applyFill="1" applyBorder="1" applyAlignment="1" applyProtection="1">
      <alignment vertical="top" wrapText="1"/>
    </xf>
    <xf numFmtId="0" fontId="3" fillId="0" borderId="16" xfId="0" applyFont="1" applyFill="1" applyBorder="1" applyAlignment="1" applyProtection="1">
      <alignment horizontal="left" vertical="top" wrapText="1"/>
    </xf>
    <xf numFmtId="167" fontId="2" fillId="5" borderId="3" xfId="0" applyNumberFormat="1" applyFont="1" applyFill="1" applyBorder="1" applyAlignment="1" applyProtection="1">
      <alignment horizontal="left" vertical="top" wrapText="1"/>
    </xf>
    <xf numFmtId="3" fontId="2" fillId="5" borderId="3" xfId="0" applyNumberFormat="1" applyFont="1" applyFill="1" applyBorder="1" applyAlignment="1" applyProtection="1">
      <alignment horizontal="right" vertical="top"/>
    </xf>
    <xf numFmtId="10" fontId="24" fillId="5" borderId="3" xfId="7" applyNumberFormat="1" applyFont="1" applyFill="1" applyBorder="1" applyAlignment="1" applyProtection="1">
      <alignment horizontal="center" vertical="top" wrapText="1"/>
    </xf>
    <xf numFmtId="10" fontId="2" fillId="5" borderId="3" xfId="7" applyNumberFormat="1" applyFont="1" applyFill="1" applyBorder="1" applyAlignment="1" applyProtection="1">
      <alignment horizontal="center" vertical="top"/>
    </xf>
    <xf numFmtId="3" fontId="2" fillId="5" borderId="3" xfId="0" applyNumberFormat="1" applyFont="1" applyFill="1" applyBorder="1" applyAlignment="1" applyProtection="1">
      <alignment vertical="top"/>
    </xf>
    <xf numFmtId="3" fontId="2" fillId="5" borderId="39" xfId="0" applyNumberFormat="1" applyFont="1" applyFill="1" applyBorder="1" applyAlignment="1" applyProtection="1">
      <alignment vertical="top"/>
    </xf>
    <xf numFmtId="3" fontId="24" fillId="5" borderId="2" xfId="0" applyNumberFormat="1" applyFont="1" applyFill="1" applyBorder="1" applyAlignment="1">
      <alignment horizontal="right" vertical="top" wrapText="1"/>
    </xf>
    <xf numFmtId="3" fontId="24" fillId="5" borderId="2" xfId="0" applyNumberFormat="1" applyFont="1" applyFill="1" applyBorder="1" applyAlignment="1">
      <alignment vertical="top"/>
    </xf>
    <xf numFmtId="3" fontId="2" fillId="5" borderId="2" xfId="0" applyNumberFormat="1" applyFont="1" applyFill="1" applyBorder="1" applyAlignment="1">
      <alignment vertical="top"/>
    </xf>
    <xf numFmtId="3" fontId="2" fillId="5" borderId="2" xfId="0" applyNumberFormat="1" applyFont="1" applyFill="1" applyBorder="1" applyAlignment="1" applyProtection="1">
      <alignment vertical="top"/>
    </xf>
    <xf numFmtId="3" fontId="2" fillId="5" borderId="2" xfId="0" applyNumberFormat="1" applyFont="1" applyFill="1" applyBorder="1" applyAlignment="1">
      <alignment horizontal="right" vertical="top"/>
    </xf>
    <xf numFmtId="3" fontId="2" fillId="0" borderId="2" xfId="0" applyNumberFormat="1" applyFont="1" applyFill="1" applyBorder="1" applyAlignment="1">
      <alignment horizontal="right" vertical="top" wrapText="1"/>
    </xf>
    <xf numFmtId="3" fontId="24" fillId="5" borderId="2" xfId="0" applyNumberFormat="1" applyFont="1" applyFill="1" applyBorder="1" applyAlignment="1" applyProtection="1">
      <alignment horizontal="right" vertical="top" wrapText="1"/>
    </xf>
    <xf numFmtId="3" fontId="2" fillId="5" borderId="8" xfId="0" applyNumberFormat="1" applyFont="1" applyFill="1" applyBorder="1" applyAlignment="1" applyProtection="1">
      <alignment vertical="top"/>
    </xf>
    <xf numFmtId="3" fontId="2" fillId="5" borderId="23" xfId="0" applyNumberFormat="1" applyFont="1" applyFill="1" applyBorder="1" applyAlignment="1" applyProtection="1">
      <alignment horizontal="right" vertical="top" wrapText="1"/>
    </xf>
    <xf numFmtId="3" fontId="24" fillId="5" borderId="23" xfId="0" applyNumberFormat="1" applyFont="1" applyFill="1" applyBorder="1" applyAlignment="1">
      <alignment vertical="top"/>
    </xf>
    <xf numFmtId="3" fontId="2" fillId="5" borderId="23" xfId="0" applyNumberFormat="1" applyFont="1" applyFill="1" applyBorder="1" applyAlignment="1">
      <alignment vertical="top"/>
    </xf>
    <xf numFmtId="3" fontId="2" fillId="5" borderId="23" xfId="0" applyNumberFormat="1" applyFont="1" applyFill="1" applyBorder="1" applyAlignment="1" applyProtection="1">
      <alignment vertical="top"/>
    </xf>
    <xf numFmtId="3" fontId="2" fillId="5" borderId="23" xfId="0" applyNumberFormat="1" applyFont="1" applyFill="1" applyBorder="1" applyAlignment="1">
      <alignment horizontal="right" vertical="top"/>
    </xf>
    <xf numFmtId="3" fontId="1" fillId="0" borderId="23" xfId="0" applyNumberFormat="1" applyFont="1" applyFill="1" applyBorder="1" applyAlignment="1">
      <alignment horizontal="right" vertical="top"/>
    </xf>
    <xf numFmtId="3" fontId="2" fillId="0" borderId="23" xfId="0" applyNumberFormat="1" applyFont="1" applyFill="1" applyBorder="1" applyAlignment="1">
      <alignment horizontal="right" vertical="top" wrapText="1"/>
    </xf>
    <xf numFmtId="3" fontId="24" fillId="5" borderId="23" xfId="0" applyNumberFormat="1" applyFont="1" applyFill="1" applyBorder="1" applyAlignment="1" applyProtection="1">
      <alignment horizontal="right" vertical="top" wrapText="1"/>
    </xf>
    <xf numFmtId="3" fontId="24" fillId="0" borderId="23" xfId="0" applyNumberFormat="1" applyFont="1" applyFill="1" applyBorder="1" applyAlignment="1" applyProtection="1">
      <alignment horizontal="right" vertical="top" wrapText="1"/>
    </xf>
    <xf numFmtId="3" fontId="17" fillId="4" borderId="1" xfId="2" applyNumberFormat="1" applyFont="1" applyBorder="1" applyAlignment="1" applyProtection="1">
      <alignment vertical="center"/>
    </xf>
    <xf numFmtId="3" fontId="17" fillId="4" borderId="2" xfId="2" applyNumberFormat="1" applyFont="1" applyBorder="1" applyAlignment="1" applyProtection="1">
      <alignment vertical="center"/>
    </xf>
    <xf numFmtId="0" fontId="17" fillId="13" borderId="19" xfId="2" applyFont="1" applyFill="1" applyBorder="1" applyAlignment="1" applyProtection="1">
      <alignment vertical="center"/>
    </xf>
    <xf numFmtId="167" fontId="17" fillId="13" borderId="18" xfId="2" applyNumberFormat="1" applyFont="1" applyFill="1" applyBorder="1" applyAlignment="1" applyProtection="1">
      <alignment vertical="center"/>
    </xf>
    <xf numFmtId="168" fontId="17" fillId="13" borderId="18" xfId="2" applyNumberFormat="1" applyFont="1" applyFill="1" applyBorder="1" applyAlignment="1" applyProtection="1">
      <alignment vertical="center"/>
    </xf>
    <xf numFmtId="3" fontId="17" fillId="13" borderId="18" xfId="2" applyNumberFormat="1" applyFont="1" applyFill="1" applyBorder="1" applyAlignment="1" applyProtection="1">
      <alignment horizontal="right" vertical="center"/>
    </xf>
    <xf numFmtId="10" fontId="17" fillId="13" borderId="18" xfId="7" applyNumberFormat="1" applyFont="1" applyFill="1" applyBorder="1" applyAlignment="1" applyProtection="1">
      <alignment horizontal="center" vertical="center"/>
    </xf>
    <xf numFmtId="3" fontId="17" fillId="13" borderId="18" xfId="14" applyNumberFormat="1" applyFont="1" applyFill="1" applyBorder="1" applyAlignment="1" applyProtection="1">
      <alignment horizontal="right" vertical="center"/>
    </xf>
    <xf numFmtId="3" fontId="2" fillId="8" borderId="44" xfId="0" applyNumberFormat="1" applyFont="1" applyFill="1" applyBorder="1" applyAlignment="1">
      <alignment horizontal="center" vertical="center" wrapText="1"/>
    </xf>
    <xf numFmtId="10" fontId="2" fillId="8" borderId="41" xfId="7" applyNumberFormat="1" applyFont="1" applyFill="1" applyBorder="1" applyAlignment="1">
      <alignment horizontal="center" vertical="center" wrapText="1"/>
    </xf>
    <xf numFmtId="168" fontId="13" fillId="5" borderId="1" xfId="0" applyNumberFormat="1" applyFont="1" applyFill="1" applyBorder="1" applyAlignment="1" applyProtection="1">
      <alignment vertical="top"/>
    </xf>
    <xf numFmtId="168" fontId="12" fillId="0" borderId="1" xfId="0" applyNumberFormat="1" applyFont="1" applyFill="1" applyBorder="1" applyAlignment="1" applyProtection="1">
      <alignment vertical="top"/>
    </xf>
    <xf numFmtId="49" fontId="1" fillId="0" borderId="1" xfId="0" applyNumberFormat="1" applyFont="1" applyFill="1" applyBorder="1" applyAlignment="1" applyProtection="1">
      <alignment vertical="top"/>
    </xf>
    <xf numFmtId="168" fontId="1" fillId="0" borderId="1" xfId="0" quotePrefix="1" applyNumberFormat="1" applyFont="1" applyFill="1" applyBorder="1" applyAlignment="1" applyProtection="1">
      <alignment vertical="top" wrapText="1"/>
    </xf>
    <xf numFmtId="49" fontId="2" fillId="5" borderId="1" xfId="0" applyNumberFormat="1" applyFont="1" applyFill="1" applyBorder="1" applyAlignment="1" applyProtection="1">
      <alignment vertical="top"/>
    </xf>
    <xf numFmtId="3" fontId="24" fillId="0" borderId="1" xfId="2" applyNumberFormat="1" applyFont="1" applyFill="1" applyBorder="1" applyAlignment="1" applyProtection="1">
      <alignment horizontal="right" vertical="top"/>
    </xf>
    <xf numFmtId="3" fontId="3" fillId="0" borderId="1" xfId="2" applyNumberFormat="1" applyFont="1" applyFill="1" applyBorder="1" applyAlignment="1" applyProtection="1">
      <alignment horizontal="right" vertical="top"/>
    </xf>
    <xf numFmtId="3" fontId="1" fillId="0" borderId="58" xfId="14" applyNumberFormat="1" applyFont="1" applyFill="1" applyBorder="1" applyAlignment="1" applyProtection="1">
      <alignment horizontal="right" vertical="center"/>
    </xf>
    <xf numFmtId="0" fontId="1" fillId="0" borderId="1" xfId="0" applyFont="1" applyBorder="1" applyProtection="1">
      <protection locked="0"/>
    </xf>
    <xf numFmtId="3" fontId="1" fillId="0" borderId="1" xfId="0" applyNumberFormat="1" applyFont="1" applyBorder="1" applyProtection="1">
      <protection locked="0"/>
    </xf>
    <xf numFmtId="168" fontId="33" fillId="16" borderId="15" xfId="0" applyNumberFormat="1" applyFont="1" applyFill="1" applyBorder="1" applyAlignment="1" applyProtection="1">
      <alignment vertical="center"/>
      <protection locked="0"/>
    </xf>
    <xf numFmtId="0" fontId="33" fillId="16" borderId="6" xfId="0" applyFont="1" applyFill="1" applyBorder="1" applyAlignment="1" applyProtection="1">
      <alignment horizontal="center" vertical="center"/>
      <protection locked="0"/>
    </xf>
    <xf numFmtId="3" fontId="33" fillId="16" borderId="6" xfId="0" applyNumberFormat="1" applyFont="1" applyFill="1" applyBorder="1" applyAlignment="1" applyProtection="1">
      <alignment horizontal="center" vertical="center" wrapText="1"/>
      <protection locked="0"/>
    </xf>
    <xf numFmtId="3" fontId="33" fillId="16" borderId="37" xfId="0" applyNumberFormat="1" applyFont="1" applyFill="1" applyBorder="1" applyAlignment="1" applyProtection="1">
      <alignment horizontal="center" vertical="center" wrapText="1"/>
      <protection locked="0"/>
    </xf>
    <xf numFmtId="168" fontId="1" fillId="0" borderId="16" xfId="0" applyNumberFormat="1" applyFont="1" applyBorder="1" applyAlignment="1" applyProtection="1">
      <protection locked="0"/>
    </xf>
    <xf numFmtId="3" fontId="1" fillId="0" borderId="23" xfId="0" applyNumberFormat="1" applyFont="1" applyBorder="1" applyProtection="1">
      <protection locked="0"/>
    </xf>
    <xf numFmtId="168" fontId="1" fillId="0" borderId="17" xfId="0" applyNumberFormat="1" applyFont="1" applyBorder="1" applyAlignment="1" applyProtection="1">
      <protection locked="0"/>
    </xf>
    <xf numFmtId="0" fontId="1" fillId="0" borderId="3" xfId="0" applyFont="1" applyBorder="1" applyProtection="1">
      <protection locked="0"/>
    </xf>
    <xf numFmtId="3" fontId="1" fillId="0" borderId="3" xfId="0" applyNumberFormat="1" applyFont="1" applyBorder="1" applyProtection="1">
      <protection locked="0"/>
    </xf>
    <xf numFmtId="3" fontId="1" fillId="0" borderId="39" xfId="0" applyNumberFormat="1" applyFont="1" applyBorder="1" applyProtection="1">
      <protection locked="0"/>
    </xf>
    <xf numFmtId="172" fontId="1" fillId="11" borderId="0" xfId="14" applyNumberFormat="1" applyFont="1" applyFill="1" applyAlignment="1">
      <alignment horizontal="right"/>
    </xf>
    <xf numFmtId="3" fontId="38" fillId="8" borderId="41" xfId="0" applyNumberFormat="1" applyFont="1" applyFill="1" applyBorder="1" applyAlignment="1">
      <alignment horizontal="right" vertical="center" wrapText="1"/>
    </xf>
    <xf numFmtId="41" fontId="17" fillId="13" borderId="18" xfId="14" applyFont="1" applyFill="1" applyBorder="1" applyAlignment="1">
      <alignment horizontal="right" vertical="center"/>
    </xf>
    <xf numFmtId="3" fontId="3" fillId="11" borderId="1" xfId="14" applyNumberFormat="1" applyFont="1" applyFill="1" applyBorder="1" applyAlignment="1">
      <alignment horizontal="right" vertical="center" wrapText="1"/>
    </xf>
    <xf numFmtId="3" fontId="3" fillId="11" borderId="1" xfId="14" applyNumberFormat="1" applyFont="1" applyFill="1" applyBorder="1" applyAlignment="1">
      <alignment horizontal="right"/>
    </xf>
    <xf numFmtId="41" fontId="3" fillId="11" borderId="1" xfId="14" applyFont="1" applyFill="1" applyBorder="1" applyAlignment="1">
      <alignment horizontal="right" vertical="center" wrapText="1"/>
    </xf>
    <xf numFmtId="3" fontId="1" fillId="11" borderId="0" xfId="0" applyNumberFormat="1" applyFont="1" applyFill="1" applyBorder="1" applyAlignment="1">
      <alignment horizontal="right"/>
    </xf>
    <xf numFmtId="3" fontId="4" fillId="2" borderId="57" xfId="0" applyNumberFormat="1" applyFont="1" applyFill="1" applyBorder="1" applyAlignment="1">
      <alignment vertical="center"/>
    </xf>
    <xf numFmtId="41" fontId="1" fillId="0" borderId="0" xfId="14" applyFont="1" applyBorder="1" applyAlignment="1">
      <alignment horizontal="right"/>
    </xf>
    <xf numFmtId="41" fontId="1" fillId="0" borderId="0" xfId="7" applyNumberFormat="1" applyFont="1" applyBorder="1" applyAlignment="1">
      <alignment horizontal="right"/>
    </xf>
    <xf numFmtId="1" fontId="1" fillId="0" borderId="52" xfId="14" applyNumberFormat="1" applyFont="1" applyFill="1" applyBorder="1"/>
    <xf numFmtId="14" fontId="1" fillId="0" borderId="0" xfId="0" applyNumberFormat="1" applyFont="1" applyFill="1"/>
    <xf numFmtId="41" fontId="18" fillId="0" borderId="0" xfId="0" applyNumberFormat="1" applyFont="1" applyFill="1"/>
    <xf numFmtId="3" fontId="3" fillId="0" borderId="52" xfId="0" applyNumberFormat="1" applyFont="1" applyFill="1" applyBorder="1" applyAlignment="1" applyProtection="1">
      <alignment horizontal="right" vertical="center"/>
    </xf>
    <xf numFmtId="3" fontId="24" fillId="5" borderId="52" xfId="0" applyNumberFormat="1" applyFont="1" applyFill="1" applyBorder="1" applyAlignment="1" applyProtection="1">
      <alignment horizontal="right" vertical="center"/>
    </xf>
    <xf numFmtId="3" fontId="3" fillId="0" borderId="52" xfId="16" applyNumberFormat="1" applyFont="1" applyFill="1" applyBorder="1" applyAlignment="1" applyProtection="1">
      <alignment horizontal="right" vertical="center"/>
    </xf>
    <xf numFmtId="3" fontId="24" fillId="5" borderId="53" xfId="0" applyNumberFormat="1" applyFont="1" applyFill="1" applyBorder="1" applyAlignment="1" applyProtection="1">
      <alignment horizontal="right" vertical="center"/>
    </xf>
    <xf numFmtId="3" fontId="3" fillId="11" borderId="16" xfId="0" applyNumberFormat="1" applyFont="1" applyFill="1" applyBorder="1" applyAlignment="1" applyProtection="1">
      <alignment horizontal="right" vertical="center" wrapText="1"/>
    </xf>
    <xf numFmtId="3" fontId="1" fillId="11" borderId="23" xfId="0" applyNumberFormat="1" applyFont="1" applyFill="1" applyBorder="1" applyAlignment="1" applyProtection="1">
      <alignment vertical="center"/>
      <protection locked="0"/>
    </xf>
    <xf numFmtId="41" fontId="19" fillId="17" borderId="0" xfId="14" applyFont="1" applyFill="1" applyAlignment="1" applyProtection="1">
      <alignment horizontal="center" vertical="center"/>
    </xf>
    <xf numFmtId="3" fontId="1" fillId="0" borderId="24" xfId="0" applyNumberFormat="1" applyFont="1" applyBorder="1" applyAlignment="1">
      <alignment horizontal="center" vertical="center" wrapText="1"/>
    </xf>
    <xf numFmtId="3" fontId="24" fillId="5" borderId="36" xfId="0" applyNumberFormat="1" applyFont="1" applyFill="1" applyBorder="1" applyAlignment="1" applyProtection="1">
      <alignment vertical="center"/>
    </xf>
    <xf numFmtId="3" fontId="24" fillId="5" borderId="36" xfId="14" applyNumberFormat="1" applyFont="1" applyFill="1" applyBorder="1" applyAlignment="1" applyProtection="1">
      <alignment horizontal="right" vertical="center"/>
    </xf>
    <xf numFmtId="3" fontId="24" fillId="5" borderId="36" xfId="0" applyNumberFormat="1" applyFont="1" applyFill="1" applyBorder="1" applyAlignment="1" applyProtection="1">
      <alignment horizontal="right" vertical="center"/>
      <protection locked="0"/>
    </xf>
    <xf numFmtId="3" fontId="24" fillId="5" borderId="46" xfId="0" applyNumberFormat="1" applyFont="1" applyFill="1" applyBorder="1" applyAlignment="1" applyProtection="1">
      <alignment vertical="center"/>
      <protection locked="0"/>
    </xf>
    <xf numFmtId="3" fontId="24" fillId="5" borderId="16" xfId="0" applyNumberFormat="1" applyFont="1" applyFill="1" applyBorder="1" applyAlignment="1" applyProtection="1">
      <alignment horizontal="right" vertical="center"/>
      <protection locked="0"/>
    </xf>
    <xf numFmtId="3" fontId="1" fillId="0" borderId="70" xfId="14" applyNumberFormat="1" applyFont="1" applyBorder="1" applyAlignment="1">
      <alignment horizontal="center" vertical="center" wrapText="1"/>
    </xf>
    <xf numFmtId="3" fontId="1" fillId="0" borderId="38" xfId="0" applyNumberFormat="1" applyFont="1" applyBorder="1" applyAlignment="1">
      <alignment horizontal="center" vertical="center" wrapText="1"/>
    </xf>
    <xf numFmtId="3" fontId="24" fillId="5" borderId="60" xfId="0" applyNumberFormat="1" applyFont="1" applyFill="1" applyBorder="1" applyAlignment="1" applyProtection="1">
      <alignment vertical="center"/>
    </xf>
    <xf numFmtId="3" fontId="1" fillId="0" borderId="52" xfId="0" applyNumberFormat="1" applyFont="1" applyFill="1" applyBorder="1" applyAlignment="1" applyProtection="1">
      <alignment vertical="center"/>
    </xf>
    <xf numFmtId="3" fontId="2" fillId="5" borderId="52" xfId="0" applyNumberFormat="1" applyFont="1" applyFill="1" applyBorder="1" applyAlignment="1" applyProtection="1">
      <alignment vertical="center"/>
    </xf>
    <xf numFmtId="41" fontId="1" fillId="0" borderId="52" xfId="14" applyFont="1" applyFill="1" applyBorder="1" applyProtection="1"/>
    <xf numFmtId="3" fontId="1" fillId="11" borderId="52" xfId="0" applyNumberFormat="1" applyFont="1" applyFill="1" applyBorder="1" applyAlignment="1" applyProtection="1">
      <alignment vertical="center"/>
    </xf>
    <xf numFmtId="3" fontId="24" fillId="5" borderId="53"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3" fontId="24" fillId="5" borderId="3" xfId="0" applyNumberFormat="1" applyFont="1" applyFill="1" applyBorder="1" applyAlignment="1" applyProtection="1">
      <alignment horizontal="right" vertical="center"/>
    </xf>
    <xf numFmtId="0" fontId="21" fillId="21" borderId="0" xfId="0" applyFont="1" applyFill="1" applyAlignment="1">
      <alignment horizontal="center" vertical="center"/>
    </xf>
    <xf numFmtId="0" fontId="14" fillId="0" borderId="0" xfId="0" applyFont="1"/>
    <xf numFmtId="3" fontId="1" fillId="11" borderId="1" xfId="0" applyNumberFormat="1" applyFont="1" applyFill="1" applyBorder="1" applyAlignment="1" applyProtection="1">
      <alignment horizontal="right" vertical="top" wrapText="1"/>
    </xf>
    <xf numFmtId="3" fontId="3" fillId="11" borderId="1" xfId="0" applyNumberFormat="1" applyFont="1" applyFill="1" applyBorder="1" applyAlignment="1" applyProtection="1">
      <alignment horizontal="right" vertical="top" wrapText="1"/>
    </xf>
    <xf numFmtId="10" fontId="3" fillId="11" borderId="1" xfId="7" applyNumberFormat="1" applyFont="1" applyFill="1" applyBorder="1" applyAlignment="1" applyProtection="1">
      <alignment horizontal="center" vertical="top" wrapText="1"/>
    </xf>
    <xf numFmtId="3" fontId="1" fillId="11" borderId="1" xfId="14" applyNumberFormat="1" applyFont="1" applyFill="1" applyBorder="1" applyAlignment="1">
      <alignment horizontal="right" vertical="top" wrapText="1"/>
    </xf>
    <xf numFmtId="3" fontId="1" fillId="11" borderId="23" xfId="0" applyNumberFormat="1" applyFont="1" applyFill="1" applyBorder="1" applyAlignment="1" applyProtection="1">
      <alignment horizontal="right" vertical="top" wrapText="1"/>
    </xf>
    <xf numFmtId="0" fontId="2" fillId="5" borderId="36" xfId="0" applyFont="1" applyFill="1" applyBorder="1" applyAlignment="1" applyProtection="1">
      <alignment vertical="top" wrapText="1"/>
    </xf>
    <xf numFmtId="3" fontId="17" fillId="13" borderId="19" xfId="2" applyNumberFormat="1" applyFont="1" applyFill="1" applyBorder="1" applyAlignment="1" applyProtection="1">
      <alignment horizontal="right" vertical="center"/>
    </xf>
    <xf numFmtId="3" fontId="24" fillId="5" borderId="16" xfId="0" applyNumberFormat="1" applyFont="1" applyFill="1" applyBorder="1" applyAlignment="1" applyProtection="1">
      <alignment horizontal="right" vertical="top" wrapText="1"/>
    </xf>
    <xf numFmtId="10" fontId="24" fillId="5" borderId="23" xfId="7" applyNumberFormat="1" applyFont="1" applyFill="1" applyBorder="1" applyAlignment="1" applyProtection="1">
      <alignment horizontal="center" vertical="top" wrapText="1"/>
    </xf>
    <xf numFmtId="3" fontId="1" fillId="0" borderId="16" xfId="0" applyNumberFormat="1" applyFont="1" applyFill="1" applyBorder="1" applyAlignment="1" applyProtection="1">
      <alignment horizontal="right" vertical="top" wrapText="1"/>
    </xf>
    <xf numFmtId="3" fontId="2" fillId="5" borderId="16" xfId="0" applyNumberFormat="1" applyFont="1" applyFill="1" applyBorder="1" applyAlignment="1" applyProtection="1">
      <alignment horizontal="right" vertical="top" wrapText="1"/>
    </xf>
    <xf numFmtId="3" fontId="2" fillId="5" borderId="16" xfId="0" applyNumberFormat="1" applyFont="1" applyFill="1" applyBorder="1" applyAlignment="1" applyProtection="1">
      <alignment horizontal="right" vertical="top"/>
    </xf>
    <xf numFmtId="3" fontId="1" fillId="11" borderId="16" xfId="0" applyNumberFormat="1" applyFont="1" applyFill="1" applyBorder="1" applyAlignment="1" applyProtection="1">
      <alignment horizontal="right" vertical="top" wrapText="1"/>
    </xf>
    <xf numFmtId="3" fontId="24" fillId="0" borderId="16" xfId="0" applyNumberFormat="1" applyFont="1" applyFill="1" applyBorder="1" applyAlignment="1" applyProtection="1">
      <alignment horizontal="right" vertical="top" wrapText="1"/>
    </xf>
    <xf numFmtId="3" fontId="2" fillId="5" borderId="17" xfId="0" applyNumberFormat="1" applyFont="1" applyFill="1" applyBorder="1" applyAlignment="1" applyProtection="1">
      <alignment horizontal="right" vertical="top"/>
    </xf>
    <xf numFmtId="10" fontId="4" fillId="7" borderId="46" xfId="7" applyNumberFormat="1" applyFont="1" applyFill="1" applyBorder="1" applyAlignment="1">
      <alignment horizontal="center" vertical="top"/>
    </xf>
    <xf numFmtId="10" fontId="2" fillId="7" borderId="48" xfId="7" applyNumberFormat="1" applyFont="1" applyFill="1" applyBorder="1" applyAlignment="1">
      <alignment horizontal="center" vertical="center" wrapText="1"/>
    </xf>
    <xf numFmtId="10" fontId="17" fillId="13" borderId="35" xfId="7" applyNumberFormat="1" applyFont="1" applyFill="1" applyBorder="1" applyAlignment="1" applyProtection="1">
      <alignment horizontal="center" vertical="center"/>
    </xf>
    <xf numFmtId="10" fontId="24" fillId="5" borderId="36" xfId="7" applyNumberFormat="1" applyFont="1" applyFill="1" applyBorder="1" applyAlignment="1">
      <alignment horizontal="center" vertical="top" wrapText="1"/>
    </xf>
    <xf numFmtId="10" fontId="1" fillId="0" borderId="36" xfId="7" applyNumberFormat="1" applyFont="1" applyFill="1" applyBorder="1" applyAlignment="1" applyProtection="1">
      <alignment horizontal="center" vertical="top" wrapText="1"/>
    </xf>
    <xf numFmtId="10" fontId="24" fillId="5" borderId="36" xfId="7" applyNumberFormat="1" applyFont="1" applyFill="1" applyBorder="1" applyAlignment="1" applyProtection="1">
      <alignment horizontal="center" vertical="top" wrapText="1"/>
    </xf>
    <xf numFmtId="10" fontId="1" fillId="0" borderId="36" xfId="7" applyNumberFormat="1" applyFont="1" applyFill="1" applyBorder="1" applyAlignment="1">
      <alignment horizontal="center" vertical="top" wrapText="1"/>
    </xf>
    <xf numFmtId="10" fontId="1" fillId="0" borderId="36" xfId="7" applyNumberFormat="1" applyFont="1" applyFill="1" applyBorder="1" applyAlignment="1">
      <alignment horizontal="center" vertical="top"/>
    </xf>
    <xf numFmtId="10" fontId="2" fillId="5" borderId="36" xfId="7" applyNumberFormat="1" applyFont="1" applyFill="1" applyBorder="1" applyAlignment="1">
      <alignment horizontal="center" vertical="top"/>
    </xf>
    <xf numFmtId="10" fontId="3" fillId="0" borderId="36" xfId="7" applyNumberFormat="1" applyFont="1" applyFill="1" applyBorder="1" applyAlignment="1" applyProtection="1">
      <alignment horizontal="center" vertical="top" wrapText="1"/>
    </xf>
    <xf numFmtId="10" fontId="2" fillId="5" borderId="46" xfId="7" applyNumberFormat="1" applyFont="1" applyFill="1" applyBorder="1" applyAlignment="1">
      <alignment horizontal="center" vertical="top"/>
    </xf>
    <xf numFmtId="3" fontId="1" fillId="0" borderId="2" xfId="0" applyNumberFormat="1" applyFont="1" applyFill="1" applyBorder="1" applyAlignment="1">
      <alignment horizontal="right" vertical="top"/>
    </xf>
    <xf numFmtId="3" fontId="24" fillId="0" borderId="2" xfId="0" applyNumberFormat="1" applyFont="1" applyFill="1" applyBorder="1" applyAlignment="1" applyProtection="1">
      <alignment horizontal="right" vertical="top" wrapText="1"/>
    </xf>
    <xf numFmtId="3" fontId="17" fillId="13" borderId="19" xfId="14" applyNumberFormat="1" applyFont="1" applyFill="1" applyBorder="1" applyAlignment="1" applyProtection="1">
      <alignment horizontal="right" vertical="center"/>
    </xf>
    <xf numFmtId="3" fontId="17" fillId="13" borderId="26" xfId="14" applyNumberFormat="1" applyFont="1" applyFill="1" applyBorder="1" applyAlignment="1" applyProtection="1">
      <alignment horizontal="right" vertical="center"/>
    </xf>
    <xf numFmtId="3" fontId="24" fillId="5" borderId="16" xfId="0" applyNumberFormat="1" applyFont="1" applyFill="1" applyBorder="1" applyAlignment="1">
      <alignment horizontal="right" vertical="top" wrapText="1"/>
    </xf>
    <xf numFmtId="3" fontId="1" fillId="0" borderId="16" xfId="14" applyNumberFormat="1" applyFont="1" applyFill="1" applyBorder="1" applyAlignment="1" applyProtection="1">
      <alignment horizontal="right" vertical="top" wrapText="1"/>
    </xf>
    <xf numFmtId="3" fontId="1" fillId="0" borderId="16" xfId="14" applyNumberFormat="1" applyFont="1" applyFill="1" applyBorder="1" applyAlignment="1" applyProtection="1">
      <alignment horizontal="right" vertical="top"/>
    </xf>
    <xf numFmtId="3" fontId="24" fillId="5" borderId="16" xfId="14" applyNumberFormat="1" applyFont="1" applyFill="1" applyBorder="1" applyAlignment="1" applyProtection="1">
      <alignment horizontal="right" vertical="top" wrapText="1"/>
    </xf>
    <xf numFmtId="3" fontId="3" fillId="0" borderId="16" xfId="14" applyNumberFormat="1" applyFont="1" applyFill="1" applyBorder="1" applyAlignment="1" applyProtection="1">
      <alignment horizontal="right" vertical="top" wrapText="1"/>
    </xf>
    <xf numFmtId="3" fontId="24" fillId="5" borderId="16" xfId="0" applyNumberFormat="1" applyFont="1" applyFill="1" applyBorder="1" applyAlignment="1">
      <alignment horizontal="right" vertical="top"/>
    </xf>
    <xf numFmtId="3" fontId="24" fillId="5" borderId="23" xfId="0" applyNumberFormat="1" applyFont="1" applyFill="1" applyBorder="1" applyAlignment="1">
      <alignment horizontal="right" vertical="top"/>
    </xf>
    <xf numFmtId="3" fontId="1" fillId="0" borderId="16" xfId="14" applyNumberFormat="1" applyFont="1" applyFill="1" applyBorder="1" applyAlignment="1">
      <alignment horizontal="right" vertical="top"/>
    </xf>
    <xf numFmtId="3" fontId="2" fillId="5" borderId="16" xfId="0" applyNumberFormat="1" applyFont="1" applyFill="1" applyBorder="1" applyAlignment="1">
      <alignment horizontal="right" vertical="top" wrapText="1"/>
    </xf>
    <xf numFmtId="3" fontId="2" fillId="5" borderId="16" xfId="0" applyNumberFormat="1" applyFont="1" applyFill="1" applyBorder="1" applyAlignment="1">
      <alignment horizontal="right" vertical="top"/>
    </xf>
    <xf numFmtId="3" fontId="2" fillId="5" borderId="23" xfId="0" applyNumberFormat="1" applyFont="1" applyFill="1" applyBorder="1" applyAlignment="1" applyProtection="1">
      <alignment horizontal="right" vertical="top"/>
    </xf>
    <xf numFmtId="3" fontId="24" fillId="5" borderId="16" xfId="14" applyNumberFormat="1" applyFont="1" applyFill="1" applyBorder="1" applyAlignment="1">
      <alignment horizontal="right" vertical="top" wrapText="1"/>
    </xf>
    <xf numFmtId="3" fontId="24" fillId="0" borderId="16" xfId="2" applyNumberFormat="1" applyFont="1" applyFill="1" applyBorder="1" applyAlignment="1" applyProtection="1">
      <alignment horizontal="right" vertical="top"/>
    </xf>
    <xf numFmtId="3" fontId="1" fillId="11" borderId="16" xfId="14" applyNumberFormat="1" applyFont="1" applyFill="1" applyBorder="1" applyAlignment="1">
      <alignment horizontal="right" vertical="top"/>
    </xf>
    <xf numFmtId="3" fontId="3" fillId="0" borderId="16" xfId="0" applyNumberFormat="1" applyFont="1" applyFill="1" applyBorder="1" applyAlignment="1" applyProtection="1">
      <alignment horizontal="right" vertical="top" wrapText="1"/>
    </xf>
    <xf numFmtId="3" fontId="3" fillId="0" borderId="23" xfId="0" applyNumberFormat="1" applyFont="1" applyFill="1" applyBorder="1" applyAlignment="1" applyProtection="1">
      <alignment horizontal="right" vertical="top" wrapText="1"/>
    </xf>
    <xf numFmtId="3" fontId="1" fillId="0" borderId="16" xfId="0" applyNumberFormat="1" applyFont="1" applyFill="1" applyBorder="1" applyAlignment="1">
      <alignment horizontal="right" vertical="top"/>
    </xf>
    <xf numFmtId="3" fontId="2" fillId="5" borderId="16" xfId="14" applyNumberFormat="1" applyFont="1" applyFill="1" applyBorder="1" applyAlignment="1">
      <alignment horizontal="right" vertical="top"/>
    </xf>
    <xf numFmtId="3" fontId="2" fillId="5" borderId="17" xfId="14" applyNumberFormat="1" applyFont="1" applyFill="1" applyBorder="1" applyAlignment="1">
      <alignment horizontal="right" vertical="top"/>
    </xf>
    <xf numFmtId="3" fontId="2" fillId="5" borderId="39" xfId="0" applyNumberFormat="1" applyFont="1" applyFill="1" applyBorder="1" applyAlignment="1" applyProtection="1">
      <alignment horizontal="right" vertical="top"/>
    </xf>
    <xf numFmtId="49" fontId="12" fillId="11" borderId="1" xfId="0" applyNumberFormat="1" applyFont="1" applyFill="1" applyBorder="1" applyAlignment="1" applyProtection="1">
      <alignment vertical="top" wrapText="1"/>
    </xf>
    <xf numFmtId="168" fontId="12" fillId="11" borderId="1" xfId="0" applyNumberFormat="1" applyFont="1" applyFill="1" applyBorder="1" applyAlignment="1" applyProtection="1">
      <alignment vertical="top" wrapText="1"/>
    </xf>
    <xf numFmtId="0" fontId="38" fillId="8" borderId="10" xfId="0" applyFont="1" applyFill="1" applyBorder="1" applyAlignment="1">
      <alignment horizontal="center" vertical="center"/>
    </xf>
    <xf numFmtId="3" fontId="3" fillId="11" borderId="2" xfId="0" applyNumberFormat="1" applyFont="1" applyFill="1" applyBorder="1" applyAlignment="1">
      <alignment horizontal="right" vertical="top" wrapText="1"/>
    </xf>
    <xf numFmtId="0" fontId="24" fillId="11" borderId="1" xfId="0" applyFont="1" applyFill="1" applyBorder="1" applyAlignment="1">
      <alignment horizontal="left" vertical="center"/>
    </xf>
    <xf numFmtId="3" fontId="1" fillId="11" borderId="31" xfId="0" applyNumberFormat="1" applyFont="1" applyFill="1" applyBorder="1" applyProtection="1">
      <protection locked="0"/>
    </xf>
    <xf numFmtId="0" fontId="5" fillId="9" borderId="36" xfId="0" applyFont="1" applyFill="1" applyBorder="1" applyAlignment="1">
      <alignment vertical="top"/>
    </xf>
    <xf numFmtId="3" fontId="2" fillId="2" borderId="36" xfId="0" applyNumberFormat="1" applyFont="1" applyFill="1" applyBorder="1" applyAlignment="1">
      <alignment horizontal="center" vertical="top"/>
    </xf>
    <xf numFmtId="3" fontId="24" fillId="5" borderId="36" xfId="0" applyNumberFormat="1" applyFont="1" applyFill="1" applyBorder="1" applyAlignment="1">
      <alignment horizontal="right" vertical="top" wrapText="1"/>
    </xf>
    <xf numFmtId="3" fontId="1" fillId="0" borderId="36" xfId="0" applyNumberFormat="1" applyFont="1" applyFill="1" applyBorder="1" applyAlignment="1" applyProtection="1">
      <alignment horizontal="right" vertical="top" wrapText="1"/>
    </xf>
    <xf numFmtId="3" fontId="2" fillId="5" borderId="36" xfId="0" applyNumberFormat="1" applyFont="1" applyFill="1" applyBorder="1" applyAlignment="1">
      <alignment horizontal="right" vertical="top" wrapText="1"/>
    </xf>
    <xf numFmtId="3" fontId="24" fillId="5" borderId="36" xfId="0" applyNumberFormat="1" applyFont="1" applyFill="1" applyBorder="1" applyAlignment="1">
      <alignment vertical="top"/>
    </xf>
    <xf numFmtId="3" fontId="2" fillId="5" borderId="36" xfId="0" applyNumberFormat="1" applyFont="1" applyFill="1" applyBorder="1" applyAlignment="1">
      <alignment vertical="top"/>
    </xf>
    <xf numFmtId="3" fontId="2" fillId="5" borderId="36" xfId="0" applyNumberFormat="1" applyFont="1" applyFill="1" applyBorder="1" applyAlignment="1" applyProtection="1">
      <alignment vertical="top"/>
    </xf>
    <xf numFmtId="3" fontId="2" fillId="5" borderId="36" xfId="0" applyNumberFormat="1" applyFont="1" applyFill="1" applyBorder="1" applyAlignment="1">
      <alignment horizontal="right" vertical="top"/>
    </xf>
    <xf numFmtId="3" fontId="1" fillId="0" borderId="36" xfId="0" applyNumberFormat="1" applyFont="1" applyFill="1" applyBorder="1" applyAlignment="1">
      <alignment horizontal="right" vertical="top"/>
    </xf>
    <xf numFmtId="3" fontId="1" fillId="11" borderId="36" xfId="0" applyNumberFormat="1" applyFont="1" applyFill="1" applyBorder="1" applyAlignment="1" applyProtection="1">
      <alignment horizontal="right" vertical="top" wrapText="1"/>
    </xf>
    <xf numFmtId="3" fontId="2" fillId="0" borderId="36" xfId="0" applyNumberFormat="1" applyFont="1" applyFill="1" applyBorder="1" applyAlignment="1">
      <alignment horizontal="right" vertical="top" wrapText="1"/>
    </xf>
    <xf numFmtId="3" fontId="3" fillId="0" borderId="36" xfId="0" applyNumberFormat="1" applyFont="1" applyFill="1" applyBorder="1" applyAlignment="1" applyProtection="1">
      <alignment horizontal="right" vertical="top" wrapText="1"/>
    </xf>
    <xf numFmtId="3" fontId="24" fillId="5" borderId="36" xfId="0" applyNumberFormat="1" applyFont="1" applyFill="1" applyBorder="1" applyAlignment="1" applyProtection="1">
      <alignment horizontal="right" vertical="top" wrapText="1"/>
    </xf>
    <xf numFmtId="3" fontId="24" fillId="0" borderId="36" xfId="0" applyNumberFormat="1" applyFont="1" applyFill="1" applyBorder="1" applyAlignment="1" applyProtection="1">
      <alignment horizontal="right" vertical="top" wrapText="1"/>
    </xf>
    <xf numFmtId="3" fontId="2" fillId="5" borderId="46" xfId="0" applyNumberFormat="1" applyFont="1" applyFill="1" applyBorder="1" applyAlignment="1" applyProtection="1">
      <alignment vertical="top"/>
    </xf>
    <xf numFmtId="3" fontId="24" fillId="0" borderId="1" xfId="0" applyNumberFormat="1" applyFont="1" applyFill="1" applyBorder="1" applyAlignment="1">
      <alignment horizontal="right" vertical="top" wrapText="1"/>
    </xf>
    <xf numFmtId="3" fontId="1" fillId="0" borderId="1" xfId="0" applyNumberFormat="1" applyFont="1" applyBorder="1" applyAlignment="1">
      <alignment vertical="top"/>
    </xf>
    <xf numFmtId="3" fontId="1" fillId="11" borderId="1" xfId="0" applyNumberFormat="1" applyFont="1" applyFill="1" applyBorder="1" applyAlignment="1">
      <alignment vertical="top"/>
    </xf>
    <xf numFmtId="3" fontId="1" fillId="0" borderId="12" xfId="14" applyNumberFormat="1" applyFont="1" applyBorder="1" applyAlignment="1">
      <alignment horizontal="center" vertical="center" wrapText="1"/>
    </xf>
    <xf numFmtId="3" fontId="24" fillId="5" borderId="60" xfId="14" applyNumberFormat="1" applyFont="1" applyFill="1" applyBorder="1" applyAlignment="1" applyProtection="1">
      <alignment horizontal="right" vertical="center"/>
      <protection locked="0"/>
    </xf>
    <xf numFmtId="3" fontId="24" fillId="5" borderId="59" xfId="14" applyNumberFormat="1" applyFont="1" applyFill="1" applyBorder="1" applyAlignment="1" applyProtection="1">
      <alignment horizontal="right" vertical="center"/>
      <protection locked="0"/>
    </xf>
    <xf numFmtId="3" fontId="3" fillId="0" borderId="49" xfId="0" applyNumberFormat="1" applyFont="1" applyFill="1" applyBorder="1" applyAlignment="1" applyProtection="1">
      <alignment vertical="center"/>
      <protection locked="0"/>
    </xf>
    <xf numFmtId="3" fontId="1" fillId="11" borderId="49" xfId="0" applyNumberFormat="1" applyFont="1" applyFill="1" applyBorder="1" applyAlignment="1" applyProtection="1">
      <alignment vertical="center"/>
      <protection locked="0"/>
    </xf>
    <xf numFmtId="3" fontId="1" fillId="0" borderId="71" xfId="0" applyNumberFormat="1" applyFont="1" applyFill="1" applyBorder="1" applyAlignment="1" applyProtection="1">
      <alignment vertical="center"/>
      <protection locked="0"/>
    </xf>
    <xf numFmtId="3" fontId="2" fillId="2" borderId="10" xfId="0" applyNumberFormat="1" applyFont="1" applyFill="1" applyBorder="1" applyAlignment="1" applyProtection="1">
      <alignment horizontal="center"/>
      <protection locked="0"/>
    </xf>
    <xf numFmtId="3" fontId="4" fillId="2" borderId="43" xfId="0" applyNumberFormat="1" applyFont="1" applyFill="1" applyBorder="1" applyAlignment="1" applyProtection="1">
      <alignment vertical="center" wrapText="1"/>
      <protection locked="0"/>
    </xf>
    <xf numFmtId="3" fontId="24" fillId="5" borderId="45" xfId="0" applyNumberFormat="1" applyFont="1" applyFill="1" applyBorder="1" applyAlignment="1" applyProtection="1">
      <alignment vertical="center"/>
      <protection locked="0"/>
    </xf>
    <xf numFmtId="3" fontId="24" fillId="5" borderId="45" xfId="14" applyNumberFormat="1" applyFont="1" applyFill="1" applyBorder="1" applyAlignment="1" applyProtection="1">
      <alignment horizontal="right" vertical="center"/>
      <protection locked="0"/>
    </xf>
    <xf numFmtId="3" fontId="24" fillId="5" borderId="2" xfId="0" applyNumberFormat="1" applyFont="1" applyFill="1" applyBorder="1" applyAlignment="1" applyProtection="1">
      <alignment horizontal="right" vertical="center" wrapText="1"/>
    </xf>
    <xf numFmtId="3" fontId="1" fillId="0" borderId="67" xfId="0" applyNumberFormat="1" applyFont="1" applyFill="1" applyBorder="1" applyAlignment="1" applyProtection="1">
      <alignment vertical="center"/>
      <protection locked="0"/>
    </xf>
    <xf numFmtId="3" fontId="2" fillId="2" borderId="27" xfId="0" applyNumberFormat="1" applyFont="1" applyFill="1" applyBorder="1" applyAlignment="1" applyProtection="1">
      <alignment horizontal="center"/>
      <protection locked="0"/>
    </xf>
    <xf numFmtId="3" fontId="24" fillId="5" borderId="23" xfId="14" applyNumberFormat="1" applyFont="1" applyFill="1" applyBorder="1" applyAlignment="1" applyProtection="1">
      <alignment horizontal="right" vertical="center"/>
      <protection locked="0"/>
    </xf>
    <xf numFmtId="3" fontId="24" fillId="5" borderId="26" xfId="14" applyNumberFormat="1" applyFont="1" applyFill="1" applyBorder="1" applyAlignment="1" applyProtection="1">
      <alignment horizontal="right" vertical="center"/>
      <protection locked="0"/>
    </xf>
    <xf numFmtId="3" fontId="1" fillId="0" borderId="11" xfId="14" applyNumberFormat="1" applyFont="1" applyBorder="1" applyAlignment="1">
      <alignment horizontal="center" vertical="center" wrapText="1"/>
    </xf>
    <xf numFmtId="3" fontId="1" fillId="0" borderId="14" xfId="14" applyNumberFormat="1" applyFont="1" applyBorder="1" applyAlignment="1">
      <alignment horizontal="center" vertical="center" wrapText="1"/>
    </xf>
    <xf numFmtId="3" fontId="1" fillId="0" borderId="72" xfId="0" applyNumberFormat="1" applyFont="1" applyBorder="1" applyAlignment="1">
      <alignment horizontal="center" vertical="center" wrapText="1"/>
    </xf>
    <xf numFmtId="3" fontId="1" fillId="0" borderId="73" xfId="0" applyNumberFormat="1" applyFont="1" applyBorder="1" applyAlignment="1">
      <alignment horizontal="center" vertical="center" wrapText="1"/>
    </xf>
    <xf numFmtId="3" fontId="1" fillId="0" borderId="73" xfId="0" applyNumberFormat="1" applyFont="1" applyFill="1" applyBorder="1" applyAlignment="1">
      <alignment horizontal="center" vertical="center" wrapText="1"/>
    </xf>
    <xf numFmtId="3" fontId="1" fillId="0" borderId="74" xfId="0" applyNumberFormat="1" applyFont="1" applyFill="1" applyBorder="1" applyAlignment="1">
      <alignment horizontal="center" vertical="center" wrapText="1"/>
    </xf>
    <xf numFmtId="3" fontId="1" fillId="0" borderId="75" xfId="0" applyNumberFormat="1" applyFont="1" applyFill="1" applyBorder="1" applyAlignment="1">
      <alignment horizontal="center" vertical="center" wrapText="1"/>
    </xf>
    <xf numFmtId="3" fontId="24" fillId="5" borderId="19" xfId="0" applyNumberFormat="1" applyFont="1" applyFill="1" applyBorder="1" applyAlignment="1">
      <alignment horizontal="right" vertical="top" wrapText="1"/>
    </xf>
    <xf numFmtId="3" fontId="24" fillId="5" borderId="26" xfId="0" applyNumberFormat="1" applyFont="1" applyFill="1" applyBorder="1" applyAlignment="1">
      <alignment horizontal="right" vertical="top" wrapText="1"/>
    </xf>
    <xf numFmtId="3" fontId="24" fillId="5" borderId="45" xfId="0" applyNumberFormat="1" applyFont="1" applyFill="1" applyBorder="1" applyAlignment="1">
      <alignment horizontal="right" vertical="top" wrapText="1"/>
    </xf>
    <xf numFmtId="3" fontId="24" fillId="5" borderId="18" xfId="0" applyNumberFormat="1" applyFont="1" applyFill="1" applyBorder="1" applyAlignment="1">
      <alignment horizontal="right" vertical="top" wrapText="1"/>
    </xf>
    <xf numFmtId="3" fontId="24" fillId="5" borderId="35" xfId="0" applyNumberFormat="1" applyFont="1" applyFill="1" applyBorder="1" applyAlignment="1">
      <alignment horizontal="right" vertical="top" wrapText="1"/>
    </xf>
    <xf numFmtId="3" fontId="17" fillId="13" borderId="1" xfId="14" applyNumberFormat="1" applyFont="1" applyFill="1" applyBorder="1" applyAlignment="1" applyProtection="1">
      <alignment horizontal="right" vertical="center"/>
    </xf>
    <xf numFmtId="0" fontId="51" fillId="0" borderId="0" xfId="0" applyFont="1"/>
    <xf numFmtId="0" fontId="25" fillId="0" borderId="0" xfId="0" applyFont="1" applyAlignment="1" applyProtection="1">
      <alignment horizontal="left" vertical="center" wrapText="1"/>
    </xf>
    <xf numFmtId="173" fontId="25" fillId="0" borderId="0" xfId="0" applyNumberFormat="1" applyFont="1" applyAlignment="1" applyProtection="1">
      <alignment horizontal="right" vertical="center" wrapText="1"/>
    </xf>
    <xf numFmtId="3" fontId="1" fillId="0" borderId="28" xfId="0" applyNumberFormat="1" applyFont="1" applyBorder="1" applyAlignment="1">
      <alignment horizontal="center" vertical="center" wrapText="1"/>
    </xf>
    <xf numFmtId="3" fontId="17" fillId="13" borderId="36" xfId="14" applyNumberFormat="1" applyFont="1" applyFill="1" applyBorder="1" applyAlignment="1" applyProtection="1">
      <alignment horizontal="right" vertical="center"/>
    </xf>
    <xf numFmtId="3" fontId="2" fillId="0" borderId="36" xfId="0" applyNumberFormat="1" applyFont="1" applyFill="1" applyBorder="1" applyAlignment="1" applyProtection="1">
      <alignment horizontal="right" vertical="top" wrapText="1"/>
    </xf>
    <xf numFmtId="3" fontId="1" fillId="0" borderId="2" xfId="0" applyNumberFormat="1" applyFont="1" applyFill="1" applyBorder="1" applyAlignment="1">
      <alignment vertical="top"/>
    </xf>
    <xf numFmtId="3" fontId="24" fillId="5" borderId="58" xfId="0" applyNumberFormat="1" applyFont="1" applyFill="1" applyBorder="1" applyAlignment="1">
      <alignment horizontal="right" vertical="top" wrapText="1"/>
    </xf>
    <xf numFmtId="3" fontId="24" fillId="5" borderId="58" xfId="0" applyNumberFormat="1" applyFont="1" applyFill="1" applyBorder="1" applyAlignment="1">
      <alignment vertical="top"/>
    </xf>
    <xf numFmtId="3" fontId="2" fillId="5" borderId="58" xfId="0" applyNumberFormat="1" applyFont="1" applyFill="1" applyBorder="1" applyAlignment="1">
      <alignment horizontal="right" vertical="top" wrapText="1"/>
    </xf>
    <xf numFmtId="3" fontId="1" fillId="0" borderId="58" xfId="0" applyNumberFormat="1" applyFont="1" applyFill="1" applyBorder="1" applyAlignment="1">
      <alignment horizontal="right" vertical="top"/>
    </xf>
    <xf numFmtId="3" fontId="1" fillId="11" borderId="58" xfId="0" applyNumberFormat="1" applyFont="1" applyFill="1" applyBorder="1" applyAlignment="1" applyProtection="1">
      <alignment horizontal="right" vertical="top" wrapText="1"/>
    </xf>
    <xf numFmtId="3" fontId="3" fillId="0" borderId="58" xfId="0" applyNumberFormat="1" applyFont="1" applyFill="1" applyBorder="1" applyAlignment="1" applyProtection="1">
      <alignment horizontal="right" vertical="top" wrapText="1"/>
    </xf>
    <xf numFmtId="3" fontId="24" fillId="5" borderId="58" xfId="0" applyNumberFormat="1" applyFont="1" applyFill="1" applyBorder="1" applyAlignment="1" applyProtection="1">
      <alignment horizontal="right" vertical="top" wrapText="1"/>
    </xf>
    <xf numFmtId="3" fontId="24" fillId="0" borderId="58" xfId="0" applyNumberFormat="1" applyFont="1" applyFill="1" applyBorder="1" applyAlignment="1" applyProtection="1">
      <alignment horizontal="right" vertical="top" wrapText="1"/>
    </xf>
    <xf numFmtId="3" fontId="2" fillId="5" borderId="58" xfId="0" applyNumberFormat="1" applyFont="1" applyFill="1" applyBorder="1" applyAlignment="1">
      <alignment vertical="top"/>
    </xf>
    <xf numFmtId="3" fontId="2" fillId="5" borderId="51" xfId="0" applyNumberFormat="1" applyFont="1" applyFill="1" applyBorder="1" applyAlignment="1" applyProtection="1">
      <alignment vertical="top"/>
    </xf>
    <xf numFmtId="3" fontId="24" fillId="5" borderId="59" xfId="0" applyNumberFormat="1" applyFont="1" applyFill="1" applyBorder="1" applyAlignment="1">
      <alignment horizontal="right" vertical="top" wrapText="1"/>
    </xf>
    <xf numFmtId="41" fontId="51" fillId="0" borderId="0" xfId="14" applyFont="1"/>
    <xf numFmtId="3" fontId="18" fillId="11" borderId="0" xfId="14" applyNumberFormat="1" applyFont="1" applyFill="1" applyBorder="1" applyAlignment="1">
      <alignment horizontal="center" vertical="top"/>
    </xf>
    <xf numFmtId="3" fontId="18" fillId="11" borderId="0" xfId="0" applyNumberFormat="1" applyFont="1" applyFill="1" applyBorder="1" applyAlignment="1">
      <alignment horizontal="center" vertical="top"/>
    </xf>
    <xf numFmtId="3" fontId="17" fillId="4" borderId="23" xfId="2" applyNumberFormat="1" applyFont="1" applyBorder="1" applyAlignment="1" applyProtection="1">
      <alignment vertical="center"/>
    </xf>
    <xf numFmtId="0" fontId="2" fillId="5" borderId="58" xfId="0" applyFont="1" applyFill="1" applyBorder="1" applyAlignment="1" applyProtection="1">
      <alignment vertical="top" wrapText="1"/>
    </xf>
    <xf numFmtId="3" fontId="1" fillId="0" borderId="76" xfId="0" applyNumberFormat="1" applyFont="1" applyBorder="1" applyAlignment="1">
      <alignment horizontal="center" vertical="center" wrapText="1"/>
    </xf>
    <xf numFmtId="3" fontId="24" fillId="5" borderId="36" xfId="14" applyNumberFormat="1" applyFont="1" applyFill="1" applyBorder="1" applyAlignment="1" applyProtection="1">
      <alignment horizontal="right" vertical="center"/>
      <protection locked="0"/>
    </xf>
    <xf numFmtId="3" fontId="24" fillId="5" borderId="35" xfId="14" applyNumberFormat="1" applyFont="1" applyFill="1" applyBorder="1" applyAlignment="1" applyProtection="1">
      <alignment horizontal="right" vertical="center"/>
      <protection locked="0"/>
    </xf>
    <xf numFmtId="3" fontId="1" fillId="11" borderId="36" xfId="0" applyNumberFormat="1" applyFont="1" applyFill="1" applyBorder="1" applyAlignment="1" applyProtection="1">
      <alignment vertical="center"/>
      <protection locked="0"/>
    </xf>
    <xf numFmtId="0" fontId="1" fillId="0" borderId="23" xfId="0" applyFont="1" applyFill="1" applyBorder="1" applyAlignment="1" applyProtection="1">
      <alignment vertical="center"/>
      <protection locked="0"/>
    </xf>
    <xf numFmtId="3" fontId="1" fillId="0" borderId="68" xfId="14" applyNumberFormat="1" applyFont="1" applyBorder="1" applyAlignment="1">
      <alignment horizontal="center" vertical="center" wrapText="1"/>
    </xf>
    <xf numFmtId="3" fontId="1" fillId="0" borderId="69" xfId="0" applyNumberFormat="1" applyFont="1" applyFill="1" applyBorder="1" applyAlignment="1">
      <alignment horizontal="center" vertical="center" wrapText="1"/>
    </xf>
    <xf numFmtId="0" fontId="21" fillId="18" borderId="0" xfId="0" applyFont="1" applyFill="1" applyAlignment="1">
      <alignment horizontal="center" vertical="center" wrapText="1"/>
    </xf>
    <xf numFmtId="0" fontId="21" fillId="17" borderId="0" xfId="0" applyFont="1" applyFill="1" applyAlignment="1">
      <alignment horizontal="left" vertical="center" wrapText="1"/>
    </xf>
    <xf numFmtId="41" fontId="0" fillId="0" borderId="0" xfId="14" applyFont="1" applyFill="1"/>
    <xf numFmtId="0" fontId="46" fillId="24" borderId="64" xfId="0" applyNumberFormat="1" applyFont="1" applyFill="1" applyBorder="1" applyAlignment="1" applyProtection="1">
      <alignment horizontal="center" vertical="center"/>
    </xf>
    <xf numFmtId="173" fontId="46" fillId="24" borderId="64" xfId="0" applyNumberFormat="1" applyFont="1" applyFill="1" applyBorder="1" applyAlignment="1" applyProtection="1">
      <alignment horizontal="right" vertical="center"/>
    </xf>
    <xf numFmtId="0" fontId="51" fillId="18" borderId="77" xfId="0" applyNumberFormat="1" applyFont="1" applyFill="1" applyBorder="1" applyAlignment="1" applyProtection="1">
      <alignment horizontal="center" vertical="center" wrapText="1"/>
    </xf>
    <xf numFmtId="41" fontId="52" fillId="0" borderId="0" xfId="14" applyFont="1" applyFill="1" applyProtection="1">
      <protection locked="0"/>
    </xf>
    <xf numFmtId="41" fontId="52" fillId="0" borderId="0" xfId="14" applyFont="1" applyFill="1" applyAlignment="1" applyProtection="1">
      <alignment horizontal="center" vertical="center"/>
      <protection locked="0"/>
    </xf>
    <xf numFmtId="41" fontId="52" fillId="0" borderId="0" xfId="14" applyFont="1" applyFill="1" applyAlignment="1" applyProtection="1">
      <alignment vertical="center"/>
      <protection locked="0"/>
    </xf>
    <xf numFmtId="3" fontId="24" fillId="5" borderId="37" xfId="0" applyNumberFormat="1" applyFont="1" applyFill="1" applyBorder="1" applyAlignment="1" applyProtection="1">
      <alignment vertical="center"/>
      <protection locked="0"/>
    </xf>
    <xf numFmtId="3" fontId="24" fillId="5" borderId="58" xfId="14" applyNumberFormat="1" applyFont="1" applyFill="1" applyBorder="1" applyAlignment="1" applyProtection="1">
      <alignment horizontal="right" vertical="center"/>
      <protection locked="0"/>
    </xf>
    <xf numFmtId="41" fontId="52" fillId="0" borderId="11" xfId="14" applyFont="1" applyFill="1" applyBorder="1" applyAlignment="1" applyProtection="1">
      <alignment vertical="center"/>
      <protection locked="0"/>
    </xf>
    <xf numFmtId="0" fontId="51" fillId="19" borderId="0" xfId="0" applyFont="1" applyFill="1" applyAlignment="1" applyProtection="1">
      <alignment horizontal="center" vertical="center" wrapText="1"/>
    </xf>
    <xf numFmtId="0" fontId="53" fillId="17" borderId="0" xfId="0" applyFont="1" applyFill="1" applyAlignment="1" applyProtection="1">
      <alignment horizontal="center" vertical="center"/>
    </xf>
    <xf numFmtId="0" fontId="53" fillId="17" borderId="0" xfId="0" applyFont="1" applyFill="1" applyAlignment="1" applyProtection="1">
      <alignment horizontal="left" vertical="center"/>
    </xf>
    <xf numFmtId="173" fontId="53" fillId="17" borderId="0" xfId="0" applyNumberFormat="1" applyFont="1" applyFill="1" applyAlignment="1" applyProtection="1">
      <alignment horizontal="right" vertical="center"/>
    </xf>
    <xf numFmtId="0" fontId="0" fillId="0" borderId="0" xfId="0" applyFont="1" applyAlignment="1"/>
    <xf numFmtId="0" fontId="51" fillId="18" borderId="77" xfId="0" applyNumberFormat="1" applyFont="1" applyFill="1" applyBorder="1" applyAlignment="1" applyProtection="1">
      <alignment horizontal="left" vertical="center" wrapText="1"/>
    </xf>
    <xf numFmtId="0" fontId="0" fillId="0" borderId="0" xfId="0" applyFont="1" applyAlignment="1">
      <alignment horizontal="left"/>
    </xf>
    <xf numFmtId="3" fontId="3" fillId="0" borderId="58" xfId="16" applyNumberFormat="1" applyFont="1" applyFill="1" applyBorder="1" applyAlignment="1" applyProtection="1">
      <alignment horizontal="right" vertical="center"/>
      <protection locked="0"/>
    </xf>
    <xf numFmtId="3" fontId="24" fillId="5" borderId="51" xfId="0" applyNumberFormat="1" applyFont="1" applyFill="1" applyBorder="1" applyAlignment="1" applyProtection="1">
      <alignment horizontal="right" vertical="center"/>
      <protection locked="0"/>
    </xf>
    <xf numFmtId="3" fontId="2" fillId="5" borderId="23" xfId="0" applyNumberFormat="1" applyFont="1" applyFill="1" applyBorder="1" applyAlignment="1" applyProtection="1">
      <alignment horizontal="right" vertical="center" wrapText="1"/>
    </xf>
    <xf numFmtId="3" fontId="2" fillId="5" borderId="23" xfId="0" applyNumberFormat="1" applyFont="1" applyFill="1" applyBorder="1" applyAlignment="1" applyProtection="1">
      <alignment horizontal="right" vertical="center"/>
    </xf>
    <xf numFmtId="3" fontId="3" fillId="0" borderId="23" xfId="16" applyNumberFormat="1" applyFont="1" applyFill="1" applyBorder="1" applyAlignment="1" applyProtection="1">
      <alignment horizontal="right" vertical="center" wrapText="1"/>
    </xf>
    <xf numFmtId="168" fontId="3" fillId="0" borderId="1" xfId="16" applyNumberFormat="1" applyFont="1" applyFill="1" applyBorder="1" applyAlignment="1" applyProtection="1">
      <alignment vertical="center"/>
    </xf>
    <xf numFmtId="168" fontId="3" fillId="5" borderId="3" xfId="0" applyNumberFormat="1" applyFont="1" applyFill="1" applyBorder="1" applyAlignment="1" applyProtection="1">
      <alignment vertical="center"/>
    </xf>
    <xf numFmtId="3" fontId="3" fillId="11" borderId="1" xfId="0" applyNumberFormat="1" applyFont="1" applyFill="1" applyBorder="1" applyAlignment="1" applyProtection="1">
      <alignment vertical="center"/>
    </xf>
    <xf numFmtId="0" fontId="46" fillId="24" borderId="64" xfId="0" applyNumberFormat="1" applyFont="1" applyFill="1" applyBorder="1" applyAlignment="1" applyProtection="1">
      <alignment horizontal="left" vertical="center"/>
    </xf>
    <xf numFmtId="3" fontId="2" fillId="2" borderId="37" xfId="0" applyNumberFormat="1" applyFont="1" applyFill="1" applyBorder="1" applyAlignment="1" applyProtection="1">
      <alignment vertical="center"/>
      <protection locked="0"/>
    </xf>
    <xf numFmtId="3" fontId="1" fillId="0" borderId="16" xfId="14" applyNumberFormat="1" applyFont="1" applyFill="1" applyBorder="1" applyAlignment="1" applyProtection="1">
      <alignment horizontal="right" vertical="center" wrapText="1"/>
    </xf>
    <xf numFmtId="3" fontId="1" fillId="0" borderId="11" xfId="14" applyNumberFormat="1" applyFont="1" applyFill="1" applyBorder="1" applyAlignment="1" applyProtection="1">
      <alignment horizontal="right" vertical="center" wrapText="1"/>
    </xf>
    <xf numFmtId="171" fontId="2" fillId="5" borderId="5" xfId="8" applyNumberFormat="1" applyFont="1" applyFill="1" applyBorder="1" applyAlignment="1" applyProtection="1">
      <alignment vertical="center"/>
      <protection locked="0"/>
    </xf>
    <xf numFmtId="0" fontId="39" fillId="0" borderId="0" xfId="15" applyFill="1"/>
    <xf numFmtId="3" fontId="1" fillId="10" borderId="22" xfId="0" applyNumberFormat="1" applyFont="1" applyFill="1" applyBorder="1" applyAlignment="1">
      <alignment horizontal="center" vertical="center" wrapText="1"/>
    </xf>
    <xf numFmtId="3" fontId="4" fillId="2" borderId="37" xfId="0" applyNumberFormat="1" applyFont="1" applyFill="1" applyBorder="1" applyAlignment="1">
      <alignment vertical="center"/>
    </xf>
    <xf numFmtId="3" fontId="2" fillId="5" borderId="23" xfId="0" applyNumberFormat="1" applyFont="1" applyFill="1" applyBorder="1"/>
    <xf numFmtId="3" fontId="1" fillId="0" borderId="23" xfId="0" applyNumberFormat="1" applyFont="1" applyFill="1" applyBorder="1"/>
    <xf numFmtId="3" fontId="1" fillId="0" borderId="23" xfId="0" applyNumberFormat="1" applyFont="1" applyFill="1" applyBorder="1" applyAlignment="1">
      <alignment horizontal="right" vertical="top" wrapText="1"/>
    </xf>
    <xf numFmtId="3" fontId="1" fillId="0" borderId="26" xfId="0" applyNumberFormat="1" applyFont="1" applyFill="1" applyBorder="1" applyAlignment="1">
      <alignment horizontal="right" vertical="top" wrapText="1"/>
    </xf>
    <xf numFmtId="3" fontId="2" fillId="5" borderId="39" xfId="0" applyNumberFormat="1" applyFont="1" applyFill="1" applyBorder="1" applyAlignment="1" applyProtection="1">
      <alignment horizontal="right" vertical="top" wrapText="1"/>
    </xf>
    <xf numFmtId="3" fontId="1" fillId="0" borderId="36" xfId="0" applyNumberFormat="1" applyFont="1" applyFill="1" applyBorder="1"/>
    <xf numFmtId="3" fontId="1" fillId="0" borderId="36" xfId="0" applyNumberFormat="1" applyFont="1" applyFill="1" applyBorder="1" applyAlignment="1">
      <alignment horizontal="right" vertical="top" wrapText="1"/>
    </xf>
    <xf numFmtId="3" fontId="1" fillId="0" borderId="35" xfId="0" applyNumberFormat="1" applyFont="1" applyFill="1" applyBorder="1" applyAlignment="1">
      <alignment horizontal="right" vertical="top" wrapText="1"/>
    </xf>
    <xf numFmtId="3" fontId="2" fillId="5" borderId="46" xfId="0" applyNumberFormat="1" applyFont="1" applyFill="1" applyBorder="1" applyAlignment="1" applyProtection="1">
      <alignment horizontal="right" vertical="top" wrapText="1"/>
    </xf>
    <xf numFmtId="0" fontId="25" fillId="17" borderId="0" xfId="0" applyFont="1" applyFill="1" applyAlignment="1" applyProtection="1">
      <alignment horizontal="left" vertical="center"/>
    </xf>
    <xf numFmtId="41" fontId="51" fillId="0" borderId="0" xfId="14" applyFont="1" applyAlignment="1">
      <alignment vertical="center"/>
    </xf>
    <xf numFmtId="0" fontId="51" fillId="0" borderId="0" xfId="0" applyFont="1" applyAlignment="1"/>
    <xf numFmtId="0" fontId="51" fillId="0" borderId="0" xfId="0" applyFont="1" applyAlignment="1">
      <alignment wrapText="1"/>
    </xf>
    <xf numFmtId="0" fontId="25" fillId="17" borderId="0" xfId="0" applyFont="1" applyFill="1" applyAlignment="1" applyProtection="1">
      <alignment horizontal="center" vertical="center"/>
    </xf>
    <xf numFmtId="0" fontId="54" fillId="24" borderId="64" xfId="0" applyNumberFormat="1" applyFont="1" applyFill="1" applyBorder="1" applyAlignment="1" applyProtection="1">
      <alignment horizontal="center" vertical="center"/>
    </xf>
    <xf numFmtId="173" fontId="54" fillId="24" borderId="64" xfId="0" applyNumberFormat="1" applyFont="1" applyFill="1" applyBorder="1" applyAlignment="1" applyProtection="1">
      <alignment horizontal="right" vertical="center"/>
    </xf>
    <xf numFmtId="0" fontId="54" fillId="24" borderId="64" xfId="0" applyNumberFormat="1" applyFont="1" applyFill="1" applyBorder="1" applyAlignment="1" applyProtection="1">
      <alignment horizontal="left" vertical="center"/>
    </xf>
    <xf numFmtId="41" fontId="54" fillId="24" borderId="64" xfId="14" applyFont="1" applyFill="1" applyBorder="1" applyAlignment="1" applyProtection="1">
      <alignment horizontal="center" vertical="center"/>
    </xf>
    <xf numFmtId="41" fontId="54" fillId="24" borderId="64" xfId="14" applyFont="1" applyFill="1" applyBorder="1" applyAlignment="1" applyProtection="1">
      <alignment horizontal="right" vertical="center"/>
    </xf>
    <xf numFmtId="41" fontId="1" fillId="0" borderId="0" xfId="14" applyFont="1" applyBorder="1"/>
    <xf numFmtId="41" fontId="1" fillId="0" borderId="0" xfId="14" applyFont="1"/>
    <xf numFmtId="3" fontId="2" fillId="2" borderId="59" xfId="0" applyNumberFormat="1" applyFont="1" applyFill="1" applyBorder="1" applyAlignment="1" applyProtection="1">
      <alignment vertical="center"/>
      <protection locked="0"/>
    </xf>
    <xf numFmtId="3" fontId="1" fillId="11" borderId="2" xfId="0" applyNumberFormat="1" applyFont="1" applyFill="1" applyBorder="1" applyAlignment="1">
      <alignment horizontal="right" vertical="top"/>
    </xf>
    <xf numFmtId="3" fontId="1" fillId="0" borderId="2" xfId="0" quotePrefix="1" applyNumberFormat="1" applyFont="1" applyFill="1" applyBorder="1" applyAlignment="1" applyProtection="1">
      <alignment horizontal="right" vertical="top" wrapText="1"/>
    </xf>
    <xf numFmtId="41" fontId="32" fillId="0" borderId="0" xfId="14" applyFont="1" applyFill="1" applyAlignment="1">
      <alignment vertical="top"/>
    </xf>
    <xf numFmtId="41" fontId="18" fillId="0" borderId="0" xfId="14" applyFont="1" applyFill="1" applyAlignment="1">
      <alignment vertical="top"/>
    </xf>
    <xf numFmtId="41" fontId="1" fillId="0" borderId="0" xfId="0" applyNumberFormat="1" applyFont="1" applyFill="1" applyAlignment="1">
      <alignment horizontal="center" vertical="top"/>
    </xf>
    <xf numFmtId="0" fontId="21" fillId="6" borderId="0" xfId="0" applyFont="1" applyFill="1" applyAlignment="1" applyProtection="1">
      <alignment horizontal="left" vertical="center"/>
    </xf>
    <xf numFmtId="173" fontId="21" fillId="6" borderId="0" xfId="0" applyNumberFormat="1" applyFont="1" applyFill="1" applyAlignment="1" applyProtection="1">
      <alignment horizontal="right" vertical="center"/>
    </xf>
    <xf numFmtId="41" fontId="26" fillId="6" borderId="0" xfId="14" applyFont="1" applyFill="1" applyAlignment="1"/>
    <xf numFmtId="0" fontId="1" fillId="0" borderId="0" xfId="0" applyFont="1" applyFill="1" applyAlignment="1">
      <alignment horizontal="center" vertical="center"/>
    </xf>
    <xf numFmtId="10" fontId="3" fillId="11" borderId="36" xfId="7" applyNumberFormat="1" applyFont="1" applyFill="1" applyBorder="1" applyAlignment="1" applyProtection="1">
      <alignment horizontal="center" vertical="top" wrapText="1"/>
    </xf>
    <xf numFmtId="3" fontId="4" fillId="2" borderId="12" xfId="0" applyNumberFormat="1" applyFont="1" applyFill="1" applyBorder="1" applyAlignment="1" applyProtection="1">
      <alignment horizontal="center"/>
      <protection locked="0"/>
    </xf>
    <xf numFmtId="3" fontId="17" fillId="13" borderId="35" xfId="14" applyNumberFormat="1" applyFont="1" applyFill="1" applyBorder="1" applyAlignment="1" applyProtection="1">
      <alignment horizontal="right" vertical="center"/>
    </xf>
    <xf numFmtId="3" fontId="24" fillId="5" borderId="16" xfId="0" applyNumberFormat="1" applyFont="1" applyFill="1" applyBorder="1" applyAlignment="1">
      <alignment vertical="top"/>
    </xf>
    <xf numFmtId="3" fontId="2" fillId="5" borderId="16" xfId="0" applyNumberFormat="1" applyFont="1" applyFill="1" applyBorder="1" applyAlignment="1">
      <alignment vertical="top"/>
    </xf>
    <xf numFmtId="3" fontId="2" fillId="5" borderId="16" xfId="0" applyNumberFormat="1" applyFont="1" applyFill="1" applyBorder="1" applyAlignment="1" applyProtection="1">
      <alignment vertical="top"/>
    </xf>
    <xf numFmtId="3" fontId="2" fillId="5" borderId="17" xfId="0" applyNumberFormat="1" applyFont="1" applyFill="1" applyBorder="1" applyAlignment="1" applyProtection="1">
      <alignment vertical="top"/>
    </xf>
    <xf numFmtId="3" fontId="1" fillId="0" borderId="22" xfId="14" applyNumberFormat="1" applyFont="1" applyBorder="1" applyAlignment="1">
      <alignment horizontal="center" vertical="center" wrapText="1"/>
    </xf>
    <xf numFmtId="0" fontId="1" fillId="0" borderId="11" xfId="0" applyFont="1" applyFill="1" applyBorder="1" applyAlignment="1">
      <alignment vertical="center"/>
    </xf>
    <xf numFmtId="1" fontId="32" fillId="0" borderId="0" xfId="14" applyNumberFormat="1" applyFont="1" applyFill="1" applyAlignment="1">
      <alignment horizontal="center" vertical="top"/>
    </xf>
    <xf numFmtId="1" fontId="18" fillId="0" borderId="0" xfId="14" applyNumberFormat="1" applyFont="1" applyFill="1" applyAlignment="1">
      <alignment horizontal="center" vertical="top"/>
    </xf>
    <xf numFmtId="1" fontId="1" fillId="0" borderId="0" xfId="14" applyNumberFormat="1" applyFont="1" applyFill="1" applyAlignment="1">
      <alignment horizontal="center" vertical="top"/>
    </xf>
    <xf numFmtId="168" fontId="3" fillId="11" borderId="36" xfId="0" applyNumberFormat="1" applyFont="1" applyFill="1" applyBorder="1" applyAlignment="1" applyProtection="1">
      <alignment vertical="top"/>
    </xf>
    <xf numFmtId="1" fontId="0" fillId="0" borderId="0" xfId="14" applyNumberFormat="1" applyFont="1" applyFill="1" applyAlignment="1">
      <alignment horizont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1" fontId="1" fillId="0" borderId="0" xfId="14" applyNumberFormat="1" applyFont="1" applyFill="1" applyAlignment="1">
      <alignment horizontal="center" vertical="center" wrapText="1"/>
    </xf>
    <xf numFmtId="0" fontId="55" fillId="0" borderId="0" xfId="0" applyFont="1" applyFill="1" applyAlignment="1">
      <alignment vertical="center"/>
    </xf>
    <xf numFmtId="1" fontId="52" fillId="0" borderId="0" xfId="14" applyNumberFormat="1" applyFont="1" applyFill="1" applyBorder="1" applyAlignment="1">
      <alignment vertical="center" wrapText="1"/>
    </xf>
    <xf numFmtId="1" fontId="52" fillId="0" borderId="0" xfId="14" applyNumberFormat="1" applyFont="1" applyFill="1" applyBorder="1" applyAlignment="1">
      <alignment horizontal="center" vertical="center" wrapText="1"/>
    </xf>
    <xf numFmtId="0" fontId="6" fillId="0" borderId="0" xfId="5" applyFill="1"/>
    <xf numFmtId="41" fontId="6" fillId="0" borderId="0" xfId="14" applyFont="1" applyFill="1"/>
    <xf numFmtId="1" fontId="6" fillId="0" borderId="0" xfId="14" applyNumberFormat="1" applyFont="1" applyFill="1" applyAlignment="1">
      <alignment horizontal="center"/>
    </xf>
    <xf numFmtId="41" fontId="32" fillId="0" borderId="0" xfId="14" applyFont="1" applyFill="1" applyBorder="1" applyAlignment="1">
      <alignment vertical="top" wrapText="1"/>
    </xf>
    <xf numFmtId="41" fontId="32" fillId="0" borderId="0" xfId="14" applyFont="1" applyFill="1" applyBorder="1" applyAlignment="1">
      <alignment horizontal="center" vertical="center" wrapText="1"/>
    </xf>
    <xf numFmtId="41" fontId="32" fillId="0" borderId="0" xfId="14" applyFont="1" applyFill="1" applyBorder="1" applyAlignment="1" applyProtection="1">
      <alignment vertical="top" wrapText="1"/>
    </xf>
    <xf numFmtId="41" fontId="32" fillId="0" borderId="0" xfId="14" applyFont="1" applyFill="1" applyBorder="1" applyAlignment="1">
      <alignment vertical="top"/>
    </xf>
    <xf numFmtId="41" fontId="32" fillId="0" borderId="0" xfId="14" applyFont="1" applyFill="1" applyBorder="1" applyAlignment="1">
      <alignment horizontal="left" vertical="top" wrapText="1"/>
    </xf>
    <xf numFmtId="41" fontId="33" fillId="11" borderId="0" xfId="14" applyFont="1" applyFill="1" applyBorder="1" applyAlignment="1">
      <alignment vertical="top" wrapText="1"/>
    </xf>
    <xf numFmtId="0" fontId="9" fillId="0" borderId="0" xfId="0" applyFont="1" applyFill="1"/>
    <xf numFmtId="3" fontId="4" fillId="7" borderId="8" xfId="14" applyNumberFormat="1" applyFont="1" applyFill="1" applyBorder="1" applyAlignment="1">
      <alignment horizontal="center" vertical="top"/>
    </xf>
    <xf numFmtId="3" fontId="2" fillId="7" borderId="80" xfId="14" applyNumberFormat="1" applyFont="1" applyFill="1" applyBorder="1" applyAlignment="1">
      <alignment horizontal="center" vertical="center" wrapText="1"/>
    </xf>
    <xf numFmtId="3" fontId="17" fillId="13" borderId="45" xfId="14" applyNumberFormat="1" applyFont="1" applyFill="1" applyBorder="1" applyAlignment="1" applyProtection="1">
      <alignment horizontal="right" vertical="center"/>
    </xf>
    <xf numFmtId="3" fontId="24" fillId="5" borderId="2" xfId="14" applyNumberFormat="1" applyFont="1" applyFill="1" applyBorder="1" applyAlignment="1">
      <alignment horizontal="right" vertical="top" wrapText="1"/>
    </xf>
    <xf numFmtId="3" fontId="1" fillId="0" borderId="2" xfId="14" applyNumberFormat="1" applyFont="1" applyFill="1" applyBorder="1" applyAlignment="1">
      <alignment horizontal="right" vertical="top" wrapText="1"/>
    </xf>
    <xf numFmtId="3" fontId="1" fillId="0" borderId="2" xfId="14" applyNumberFormat="1" applyFont="1" applyFill="1" applyBorder="1" applyAlignment="1">
      <alignment horizontal="right" vertical="top"/>
    </xf>
    <xf numFmtId="3" fontId="2" fillId="5" borderId="2" xfId="14" applyNumberFormat="1" applyFont="1" applyFill="1" applyBorder="1" applyAlignment="1">
      <alignment horizontal="right" vertical="top"/>
    </xf>
    <xf numFmtId="3" fontId="2" fillId="5" borderId="2" xfId="14" applyNumberFormat="1" applyFont="1" applyFill="1" applyBorder="1" applyAlignment="1">
      <alignment horizontal="right" vertical="top" wrapText="1"/>
    </xf>
    <xf numFmtId="3" fontId="1" fillId="11" borderId="2" xfId="14" applyNumberFormat="1" applyFont="1" applyFill="1" applyBorder="1" applyAlignment="1">
      <alignment horizontal="right" vertical="top"/>
    </xf>
    <xf numFmtId="3" fontId="2" fillId="5" borderId="8" xfId="0" applyNumberFormat="1" applyFont="1" applyFill="1" applyBorder="1" applyAlignment="1" applyProtection="1">
      <alignment horizontal="right" vertical="top"/>
    </xf>
    <xf numFmtId="10" fontId="17" fillId="13" borderId="26" xfId="7" applyNumberFormat="1" applyFont="1" applyFill="1" applyBorder="1" applyAlignment="1" applyProtection="1">
      <alignment horizontal="center" vertical="center"/>
    </xf>
    <xf numFmtId="10" fontId="2" fillId="5" borderId="23" xfId="7" applyNumberFormat="1" applyFont="1" applyFill="1" applyBorder="1" applyAlignment="1" applyProtection="1">
      <alignment horizontal="center" vertical="top" wrapText="1"/>
    </xf>
    <xf numFmtId="10" fontId="3" fillId="11" borderId="23" xfId="7" applyNumberFormat="1" applyFont="1" applyFill="1" applyBorder="1" applyAlignment="1" applyProtection="1">
      <alignment horizontal="center" vertical="top" wrapText="1"/>
    </xf>
    <xf numFmtId="10" fontId="24" fillId="0" borderId="23" xfId="7" applyNumberFormat="1" applyFont="1" applyFill="1" applyBorder="1" applyAlignment="1" applyProtection="1">
      <alignment horizontal="center" vertical="top" wrapText="1"/>
    </xf>
    <xf numFmtId="10" fontId="2" fillId="5" borderId="39" xfId="7" applyNumberFormat="1" applyFont="1" applyFill="1" applyBorder="1" applyAlignment="1" applyProtection="1">
      <alignment horizontal="center" vertical="top"/>
    </xf>
    <xf numFmtId="0" fontId="17" fillId="13" borderId="26" xfId="2" applyFont="1" applyFill="1" applyBorder="1" applyAlignment="1" applyProtection="1">
      <alignment horizontal="center" vertical="center"/>
    </xf>
    <xf numFmtId="0" fontId="24" fillId="5" borderId="23" xfId="0" applyFont="1" applyFill="1" applyBorder="1" applyAlignment="1" applyProtection="1">
      <alignment vertical="top" wrapText="1"/>
    </xf>
    <xf numFmtId="0" fontId="12" fillId="0" borderId="23" xfId="0" applyFont="1" applyFill="1" applyBorder="1" applyAlignment="1" applyProtection="1">
      <alignment vertical="top" wrapText="1"/>
    </xf>
    <xf numFmtId="0" fontId="13" fillId="5" borderId="23" xfId="0" applyFont="1" applyFill="1" applyBorder="1" applyAlignment="1" applyProtection="1">
      <alignment vertical="top" wrapText="1"/>
    </xf>
    <xf numFmtId="0" fontId="13" fillId="5" borderId="23" xfId="0" applyFont="1" applyFill="1" applyBorder="1" applyAlignment="1" applyProtection="1">
      <alignment horizontal="left" vertical="top"/>
    </xf>
    <xf numFmtId="0" fontId="12" fillId="0" borderId="23" xfId="0" applyFont="1" applyFill="1" applyBorder="1" applyAlignment="1" applyProtection="1">
      <alignment horizontal="left" vertical="top"/>
    </xf>
    <xf numFmtId="168" fontId="13" fillId="5" borderId="23" xfId="0" applyNumberFormat="1" applyFont="1" applyFill="1" applyBorder="1" applyAlignment="1" applyProtection="1">
      <alignment vertical="top" wrapText="1"/>
    </xf>
    <xf numFmtId="0" fontId="12" fillId="11" borderId="23" xfId="0" applyFont="1" applyFill="1" applyBorder="1" applyAlignment="1" applyProtection="1">
      <alignment vertical="top" wrapText="1"/>
    </xf>
    <xf numFmtId="3" fontId="1" fillId="0" borderId="23" xfId="0" applyNumberFormat="1" applyFont="1" applyFill="1" applyBorder="1" applyAlignment="1">
      <alignment horizontal="left" vertical="top" wrapText="1"/>
    </xf>
    <xf numFmtId="0" fontId="1" fillId="0" borderId="23" xfId="0" applyFont="1" applyFill="1" applyBorder="1" applyAlignment="1" applyProtection="1">
      <alignment horizontal="left" vertical="top" wrapText="1"/>
    </xf>
    <xf numFmtId="0" fontId="24" fillId="0" borderId="23" xfId="0" applyFont="1" applyFill="1" applyBorder="1" applyAlignment="1" applyProtection="1">
      <alignment vertical="top" wrapText="1"/>
    </xf>
    <xf numFmtId="3" fontId="1" fillId="11" borderId="2" xfId="14" applyNumberFormat="1" applyFont="1" applyFill="1" applyBorder="1" applyAlignment="1">
      <alignment horizontal="right" vertical="top" wrapText="1"/>
    </xf>
    <xf numFmtId="10" fontId="1" fillId="11" borderId="36" xfId="7" applyNumberFormat="1" applyFont="1" applyFill="1" applyBorder="1" applyAlignment="1">
      <alignment horizontal="center" vertical="top"/>
    </xf>
    <xf numFmtId="3" fontId="3" fillId="11" borderId="2" xfId="0" applyNumberFormat="1" applyFont="1" applyFill="1" applyBorder="1" applyAlignment="1" applyProtection="1">
      <alignment horizontal="right" vertical="top" wrapText="1"/>
    </xf>
    <xf numFmtId="9" fontId="2" fillId="5" borderId="1" xfId="7" applyFont="1" applyFill="1" applyBorder="1" applyAlignment="1">
      <alignment horizontal="center" vertical="top" wrapText="1"/>
    </xf>
    <xf numFmtId="3" fontId="24" fillId="5" borderId="26" xfId="0" applyNumberFormat="1" applyFont="1" applyFill="1" applyBorder="1" applyAlignment="1" applyProtection="1">
      <alignment vertical="center"/>
      <protection locked="0"/>
    </xf>
    <xf numFmtId="3" fontId="1" fillId="0" borderId="23" xfId="0" applyNumberFormat="1" applyFont="1" applyFill="1" applyBorder="1" applyAlignment="1" applyProtection="1">
      <alignment horizontal="right" vertical="center"/>
      <protection locked="0"/>
    </xf>
    <xf numFmtId="41" fontId="1" fillId="0" borderId="23" xfId="14"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3" fontId="1" fillId="0" borderId="40" xfId="0" applyNumberFormat="1" applyFont="1" applyBorder="1" applyAlignment="1">
      <alignment horizontal="center" vertical="center" wrapText="1"/>
    </xf>
    <xf numFmtId="3" fontId="4" fillId="2" borderId="12" xfId="0" applyNumberFormat="1" applyFont="1" applyFill="1" applyBorder="1" applyAlignment="1" applyProtection="1">
      <alignment vertical="center" wrapText="1"/>
      <protection locked="0"/>
    </xf>
    <xf numFmtId="0" fontId="1" fillId="0" borderId="58" xfId="0" applyFont="1" applyFill="1" applyBorder="1" applyAlignment="1" applyProtection="1">
      <alignment vertical="center"/>
      <protection locked="0"/>
    </xf>
    <xf numFmtId="3" fontId="1" fillId="11" borderId="58" xfId="0" applyNumberFormat="1" applyFont="1" applyFill="1" applyBorder="1" applyAlignment="1" applyProtection="1">
      <alignment vertical="center"/>
      <protection locked="0"/>
    </xf>
    <xf numFmtId="3" fontId="1" fillId="0" borderId="11" xfId="0" applyNumberFormat="1" applyFont="1" applyFill="1" applyBorder="1" applyAlignment="1" applyProtection="1">
      <alignment vertical="center"/>
      <protection locked="0"/>
    </xf>
    <xf numFmtId="3" fontId="24" fillId="5" borderId="51" xfId="0" applyNumberFormat="1" applyFont="1" applyFill="1" applyBorder="1" applyAlignment="1" applyProtection="1">
      <alignment vertical="center"/>
      <protection locked="0"/>
    </xf>
    <xf numFmtId="0" fontId="1" fillId="0" borderId="0" xfId="0" applyFont="1" applyFill="1" applyAlignment="1" applyProtection="1">
      <alignment horizontal="center" vertical="center" wrapText="1"/>
      <protection locked="0"/>
    </xf>
    <xf numFmtId="41" fontId="1" fillId="0" borderId="0" xfId="14" applyFont="1" applyProtection="1">
      <protection locked="0"/>
    </xf>
    <xf numFmtId="41" fontId="1" fillId="0" borderId="16" xfId="14" applyFont="1" applyFill="1" applyBorder="1" applyProtection="1">
      <protection locked="0"/>
    </xf>
    <xf numFmtId="3" fontId="3" fillId="0" borderId="1" xfId="0" applyNumberFormat="1" applyFont="1" applyFill="1" applyBorder="1" applyAlignment="1" applyProtection="1">
      <alignment horizontal="right" vertical="center"/>
    </xf>
    <xf numFmtId="41" fontId="1" fillId="0" borderId="0" xfId="14" applyFont="1" applyFill="1" applyBorder="1" applyAlignment="1" applyProtection="1">
      <protection locked="0"/>
    </xf>
    <xf numFmtId="41" fontId="1" fillId="0" borderId="1" xfId="14" applyFont="1" applyFill="1" applyBorder="1" applyProtection="1">
      <protection locked="0"/>
    </xf>
    <xf numFmtId="41" fontId="1" fillId="0" borderId="1" xfId="14" applyFont="1" applyFill="1" applyBorder="1" applyAlignment="1" applyProtection="1">
      <protection locked="0"/>
    </xf>
    <xf numFmtId="41" fontId="1" fillId="0" borderId="0" xfId="14" applyFont="1" applyFill="1" applyBorder="1" applyProtection="1">
      <protection locked="0"/>
    </xf>
    <xf numFmtId="3" fontId="3" fillId="0" borderId="1" xfId="14" applyNumberFormat="1" applyFont="1" applyFill="1" applyBorder="1" applyAlignment="1" applyProtection="1">
      <alignment vertical="center"/>
    </xf>
    <xf numFmtId="10" fontId="24" fillId="0" borderId="1" xfId="2" applyNumberFormat="1" applyFont="1" applyFill="1" applyBorder="1" applyAlignment="1" applyProtection="1">
      <alignment horizontal="center" vertical="center"/>
    </xf>
    <xf numFmtId="41" fontId="3" fillId="0" borderId="16" xfId="14" applyFont="1" applyFill="1" applyBorder="1" applyProtection="1">
      <protection locked="0"/>
    </xf>
    <xf numFmtId="3" fontId="3" fillId="0" borderId="1" xfId="14" applyNumberFormat="1" applyFont="1" applyFill="1" applyBorder="1" applyAlignment="1" applyProtection="1">
      <alignment horizontal="right" vertical="center" wrapText="1"/>
    </xf>
    <xf numFmtId="41" fontId="3" fillId="0" borderId="0" xfId="14" applyFont="1" applyFill="1" applyBorder="1" applyAlignment="1" applyProtection="1">
      <protection locked="0"/>
    </xf>
    <xf numFmtId="3" fontId="3" fillId="0" borderId="0" xfId="14" applyNumberFormat="1" applyFont="1" applyFill="1" applyBorder="1" applyAlignment="1" applyProtection="1">
      <alignment vertical="center"/>
    </xf>
    <xf numFmtId="41" fontId="3" fillId="0" borderId="11" xfId="14" applyFont="1" applyFill="1" applyBorder="1" applyProtection="1">
      <protection locked="0"/>
    </xf>
    <xf numFmtId="3" fontId="24" fillId="0" borderId="1" xfId="14" applyNumberFormat="1" applyFont="1" applyFill="1" applyBorder="1" applyAlignment="1" applyProtection="1">
      <alignment horizontal="right" vertical="center"/>
    </xf>
    <xf numFmtId="10" fontId="24" fillId="0" borderId="23" xfId="2" applyNumberFormat="1" applyFont="1" applyFill="1" applyBorder="1" applyAlignment="1" applyProtection="1">
      <alignment horizontal="center" vertical="center"/>
    </xf>
    <xf numFmtId="0" fontId="26" fillId="18" borderId="77" xfId="0" applyNumberFormat="1" applyFont="1" applyFill="1" applyBorder="1" applyAlignment="1" applyProtection="1">
      <alignment horizontal="center" vertical="center" wrapText="1"/>
    </xf>
    <xf numFmtId="0" fontId="21" fillId="17" borderId="0" xfId="0" applyFont="1" applyFill="1" applyAlignment="1" applyProtection="1">
      <alignment horizontal="center" vertical="center"/>
    </xf>
    <xf numFmtId="0" fontId="14" fillId="0" borderId="0" xfId="0" applyFont="1" applyAlignment="1">
      <alignment horizontal="left"/>
    </xf>
    <xf numFmtId="0" fontId="26" fillId="18" borderId="77" xfId="0" applyNumberFormat="1" applyFont="1" applyFill="1" applyBorder="1" applyAlignment="1" applyProtection="1">
      <alignment horizontal="left" vertical="center" wrapText="1"/>
    </xf>
    <xf numFmtId="0" fontId="21" fillId="17" borderId="0" xfId="0" applyFont="1" applyFill="1" applyAlignment="1" applyProtection="1">
      <alignment horizontal="left" vertical="center"/>
    </xf>
    <xf numFmtId="173" fontId="20" fillId="17" borderId="0" xfId="0" applyNumberFormat="1" applyFont="1" applyFill="1" applyAlignment="1" applyProtection="1">
      <alignment horizontal="left" vertical="center"/>
    </xf>
    <xf numFmtId="41" fontId="27" fillId="0" borderId="0" xfId="14" applyFont="1" applyAlignment="1">
      <alignment horizontal="left"/>
    </xf>
    <xf numFmtId="41" fontId="1" fillId="0" borderId="0" xfId="14" applyFont="1" applyFill="1" applyAlignment="1" applyProtection="1">
      <alignment horizontal="center" vertical="center" wrapText="1"/>
      <protection locked="0"/>
    </xf>
    <xf numFmtId="0" fontId="1" fillId="0" borderId="0" xfId="0" applyFont="1" applyFill="1" applyAlignment="1" applyProtection="1">
      <alignment horizontal="left" vertical="center"/>
      <protection locked="0"/>
    </xf>
    <xf numFmtId="3" fontId="24" fillId="5" borderId="54" xfId="0" applyNumberFormat="1" applyFont="1" applyFill="1" applyBorder="1" applyAlignment="1" applyProtection="1">
      <alignment vertical="center"/>
      <protection locked="0"/>
    </xf>
    <xf numFmtId="3" fontId="24" fillId="5" borderId="54" xfId="14" applyNumberFormat="1" applyFont="1" applyFill="1" applyBorder="1" applyAlignment="1" applyProtection="1">
      <alignment horizontal="right" vertical="center"/>
      <protection locked="0"/>
    </xf>
    <xf numFmtId="3" fontId="24" fillId="5" borderId="55" xfId="0" applyNumberFormat="1" applyFont="1" applyFill="1" applyBorder="1" applyAlignment="1" applyProtection="1">
      <alignment horizontal="right" vertical="center" wrapText="1"/>
    </xf>
    <xf numFmtId="3" fontId="24" fillId="5" borderId="55" xfId="0" applyNumberFormat="1" applyFont="1" applyFill="1" applyBorder="1" applyAlignment="1" applyProtection="1">
      <alignment horizontal="right" vertical="center"/>
      <protection locked="0"/>
    </xf>
    <xf numFmtId="3" fontId="4" fillId="2" borderId="40" xfId="0" applyNumberFormat="1" applyFont="1" applyFill="1" applyBorder="1" applyAlignment="1" applyProtection="1">
      <alignment vertical="center" wrapText="1"/>
      <protection locked="0"/>
    </xf>
    <xf numFmtId="3" fontId="2" fillId="5" borderId="55" xfId="0" applyNumberFormat="1" applyFont="1" applyFill="1" applyBorder="1" applyAlignment="1" applyProtection="1">
      <alignment horizontal="right" vertical="center" wrapText="1"/>
    </xf>
    <xf numFmtId="3" fontId="24" fillId="5" borderId="55" xfId="0" applyNumberFormat="1" applyFont="1" applyFill="1" applyBorder="1" applyAlignment="1" applyProtection="1">
      <alignment vertical="center"/>
      <protection locked="0"/>
    </xf>
    <xf numFmtId="3" fontId="1" fillId="11" borderId="55" xfId="0" applyNumberFormat="1" applyFont="1" applyFill="1" applyBorder="1" applyAlignment="1" applyProtection="1">
      <alignment vertical="center"/>
      <protection locked="0"/>
    </xf>
    <xf numFmtId="3" fontId="24" fillId="5" borderId="56" xfId="0" applyNumberFormat="1" applyFont="1" applyFill="1" applyBorder="1" applyAlignment="1" applyProtection="1">
      <alignment vertical="center"/>
      <protection locked="0"/>
    </xf>
    <xf numFmtId="0" fontId="5" fillId="14" borderId="40" xfId="0" applyFont="1" applyFill="1" applyBorder="1" applyAlignment="1" applyProtection="1"/>
    <xf numFmtId="3" fontId="2" fillId="2" borderId="40" xfId="0" applyNumberFormat="1" applyFont="1" applyFill="1" applyBorder="1" applyAlignment="1" applyProtection="1">
      <alignment horizontal="center"/>
      <protection locked="0"/>
    </xf>
    <xf numFmtId="3" fontId="4" fillId="2" borderId="42" xfId="0" applyNumberFormat="1" applyFont="1" applyFill="1" applyBorder="1" applyAlignment="1" applyProtection="1">
      <alignment vertical="center" wrapText="1"/>
      <protection locked="0"/>
    </xf>
    <xf numFmtId="0" fontId="1" fillId="0" borderId="0" xfId="0" applyFont="1" applyFill="1" applyAlignment="1" applyProtection="1">
      <protection locked="0"/>
    </xf>
    <xf numFmtId="0" fontId="4" fillId="0" borderId="0" xfId="0" applyFont="1" applyFill="1" applyAlignment="1" applyProtection="1">
      <alignment vertical="center"/>
      <protection locked="0"/>
    </xf>
    <xf numFmtId="3" fontId="1" fillId="0" borderId="0" xfId="0" applyNumberFormat="1" applyFont="1" applyFill="1" applyAlignment="1" applyProtection="1">
      <protection locked="0"/>
    </xf>
    <xf numFmtId="0" fontId="4" fillId="0" borderId="0" xfId="0" applyFont="1" applyFill="1" applyAlignment="1" applyProtection="1">
      <alignment horizontal="left" vertical="center"/>
      <protection locked="0"/>
    </xf>
    <xf numFmtId="3" fontId="1" fillId="0" borderId="0" xfId="0" applyNumberFormat="1" applyFont="1" applyFill="1" applyAlignment="1" applyProtection="1">
      <alignment horizontal="left"/>
      <protection locked="0"/>
    </xf>
    <xf numFmtId="41" fontId="2" fillId="5" borderId="38" xfId="14" applyFont="1" applyFill="1" applyBorder="1" applyAlignment="1" applyProtection="1">
      <alignment vertical="center"/>
      <protection locked="0"/>
    </xf>
    <xf numFmtId="3" fontId="2" fillId="5" borderId="39" xfId="0" applyNumberFormat="1" applyFont="1" applyFill="1" applyBorder="1" applyAlignment="1" applyProtection="1">
      <alignment vertical="center"/>
      <protection locked="0"/>
    </xf>
    <xf numFmtId="3" fontId="2" fillId="7" borderId="42" xfId="0" applyNumberFormat="1" applyFont="1" applyFill="1" applyBorder="1" applyAlignment="1">
      <alignment horizontal="center" vertical="center" wrapText="1"/>
    </xf>
    <xf numFmtId="172" fontId="33" fillId="13" borderId="37" xfId="2" applyNumberFormat="1" applyFont="1" applyFill="1" applyBorder="1" applyAlignment="1" applyProtection="1">
      <alignment horizontal="center" vertical="center"/>
    </xf>
    <xf numFmtId="172" fontId="24" fillId="5" borderId="23" xfId="7" applyNumberFormat="1" applyFont="1" applyFill="1" applyBorder="1" applyAlignment="1" applyProtection="1">
      <alignment horizontal="center" vertical="center"/>
    </xf>
    <xf numFmtId="172" fontId="24" fillId="0" borderId="23" xfId="7" applyNumberFormat="1" applyFont="1" applyFill="1" applyBorder="1" applyAlignment="1" applyProtection="1">
      <alignment horizontal="center" vertical="center"/>
    </xf>
    <xf numFmtId="172" fontId="24" fillId="5" borderId="39" xfId="7" applyNumberFormat="1" applyFont="1" applyFill="1" applyBorder="1" applyAlignment="1" applyProtection="1">
      <alignment horizontal="center" vertical="center"/>
    </xf>
    <xf numFmtId="0" fontId="44" fillId="18" borderId="0" xfId="0" applyFont="1" applyFill="1" applyAlignment="1">
      <alignment horizontal="center" vertical="center" wrapText="1"/>
    </xf>
    <xf numFmtId="41" fontId="41" fillId="0" borderId="0" xfId="14" applyFont="1"/>
    <xf numFmtId="0" fontId="51" fillId="0" borderId="0" xfId="0" applyFont="1" applyAlignment="1">
      <alignment horizontal="left"/>
    </xf>
    <xf numFmtId="0" fontId="56" fillId="0" borderId="0" xfId="0" applyFont="1"/>
    <xf numFmtId="41" fontId="51" fillId="11" borderId="0" xfId="14" applyFont="1" applyFill="1"/>
    <xf numFmtId="0" fontId="1" fillId="0" borderId="0" xfId="0" applyFont="1" applyFill="1" applyAlignment="1" applyProtection="1">
      <alignment vertical="top"/>
      <protection locked="0"/>
    </xf>
    <xf numFmtId="0" fontId="0" fillId="0" borderId="0" xfId="0" applyFill="1" applyAlignment="1">
      <alignment vertical="top"/>
    </xf>
    <xf numFmtId="0" fontId="3" fillId="0" borderId="0" xfId="0" applyFont="1" applyFill="1" applyAlignment="1" applyProtection="1">
      <alignment vertical="top"/>
      <protection locked="0"/>
    </xf>
    <xf numFmtId="0" fontId="3" fillId="0" borderId="0" xfId="0" applyFont="1" applyFill="1" applyAlignment="1" applyProtection="1">
      <alignment horizontal="center" vertical="top"/>
      <protection locked="0"/>
    </xf>
    <xf numFmtId="0" fontId="1" fillId="0" borderId="0" xfId="0" applyFont="1" applyFill="1" applyAlignment="1" applyProtection="1">
      <alignment vertical="top" wrapText="1"/>
      <protection locked="0"/>
    </xf>
    <xf numFmtId="3" fontId="3" fillId="0" borderId="36" xfId="0" applyNumberFormat="1" applyFont="1" applyFill="1" applyBorder="1" applyAlignment="1" applyProtection="1">
      <alignment vertical="center"/>
      <protection locked="0"/>
    </xf>
    <xf numFmtId="3" fontId="2" fillId="5" borderId="36" xfId="0" applyNumberFormat="1" applyFont="1" applyFill="1" applyBorder="1" applyAlignment="1" applyProtection="1">
      <alignment horizontal="right" vertical="center"/>
    </xf>
    <xf numFmtId="3" fontId="3" fillId="0" borderId="36" xfId="0" applyNumberFormat="1" applyFont="1" applyFill="1" applyBorder="1" applyAlignment="1" applyProtection="1">
      <alignment horizontal="right" vertical="center"/>
      <protection locked="0"/>
    </xf>
    <xf numFmtId="3" fontId="3" fillId="0" borderId="36" xfId="16" applyNumberFormat="1" applyFont="1" applyFill="1" applyBorder="1" applyAlignment="1" applyProtection="1">
      <alignment horizontal="right" vertical="center" wrapText="1"/>
    </xf>
    <xf numFmtId="3" fontId="3" fillId="0" borderId="58" xfId="0" applyNumberFormat="1" applyFont="1" applyFill="1" applyBorder="1" applyAlignment="1" applyProtection="1">
      <alignment vertical="center"/>
      <protection locked="0"/>
    </xf>
    <xf numFmtId="3" fontId="2" fillId="5" borderId="58" xfId="0" applyNumberFormat="1" applyFont="1" applyFill="1" applyBorder="1" applyAlignment="1" applyProtection="1">
      <alignment horizontal="right" vertical="center"/>
    </xf>
    <xf numFmtId="3" fontId="3" fillId="0" borderId="58" xfId="16" applyNumberFormat="1" applyFont="1" applyFill="1" applyBorder="1" applyAlignment="1" applyProtection="1">
      <alignment horizontal="right" vertical="center" wrapText="1"/>
    </xf>
    <xf numFmtId="41" fontId="2" fillId="5" borderId="58" xfId="14" applyFont="1" applyFill="1" applyBorder="1" applyAlignment="1" applyProtection="1">
      <alignment vertical="center"/>
      <protection locked="0"/>
    </xf>
    <xf numFmtId="3" fontId="3" fillId="0" borderId="58" xfId="0" applyNumberFormat="1" applyFont="1" applyFill="1" applyBorder="1" applyAlignment="1" applyProtection="1">
      <alignment horizontal="right" vertical="center" wrapText="1"/>
    </xf>
    <xf numFmtId="3" fontId="1" fillId="0" borderId="23" xfId="0" applyNumberFormat="1" applyFont="1" applyFill="1" applyBorder="1" applyAlignment="1" applyProtection="1">
      <alignment horizontal="right" vertical="center" wrapText="1"/>
    </xf>
    <xf numFmtId="0" fontId="1" fillId="0" borderId="0" xfId="0" applyFont="1" applyFill="1" applyAlignment="1" applyProtection="1">
      <alignment vertical="center" wrapText="1"/>
      <protection locked="0"/>
    </xf>
    <xf numFmtId="41" fontId="1" fillId="0" borderId="0" xfId="14" applyFont="1" applyFill="1" applyAlignment="1" applyProtection="1">
      <alignment horizontal="left" vertical="top"/>
      <protection locked="0"/>
    </xf>
    <xf numFmtId="41" fontId="0" fillId="0" borderId="0" xfId="14" applyFont="1" applyFill="1" applyAlignment="1">
      <alignment horizontal="left" vertical="top"/>
    </xf>
    <xf numFmtId="41" fontId="3" fillId="0" borderId="0" xfId="14" applyFont="1" applyFill="1" applyAlignment="1" applyProtection="1">
      <alignment horizontal="left" vertical="top"/>
      <protection locked="0"/>
    </xf>
    <xf numFmtId="0" fontId="1" fillId="0" borderId="0" xfId="0" applyFont="1" applyFill="1" applyAlignment="1" applyProtection="1">
      <alignment horizontal="left" vertical="top"/>
      <protection locked="0"/>
    </xf>
    <xf numFmtId="41" fontId="1" fillId="0" borderId="0" xfId="0" applyNumberFormat="1" applyFont="1" applyFill="1" applyAlignment="1" applyProtection="1">
      <alignment vertical="center"/>
      <protection locked="0"/>
    </xf>
    <xf numFmtId="41" fontId="3" fillId="0" borderId="0" xfId="16" applyNumberFormat="1" applyFont="1" applyFill="1" applyAlignment="1" applyProtection="1">
      <alignment vertical="center"/>
      <protection locked="0"/>
    </xf>
    <xf numFmtId="0" fontId="24" fillId="0" borderId="0" xfId="0" applyFont="1" applyFill="1" applyAlignment="1" applyProtection="1">
      <alignment vertical="center" wrapText="1"/>
      <protection locked="0"/>
    </xf>
    <xf numFmtId="0" fontId="24" fillId="0" borderId="0" xfId="0" applyFont="1" applyFill="1" applyAlignment="1" applyProtection="1">
      <alignment horizontal="left" vertical="center"/>
      <protection locked="0"/>
    </xf>
    <xf numFmtId="41" fontId="24" fillId="0" borderId="0" xfId="14" applyFont="1" applyFill="1" applyAlignment="1" applyProtection="1">
      <alignment vertical="center" wrapText="1"/>
      <protection locked="0"/>
    </xf>
    <xf numFmtId="41" fontId="3" fillId="0" borderId="0" xfId="14" applyFont="1" applyFill="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protection locked="0"/>
    </xf>
    <xf numFmtId="41" fontId="3" fillId="0" borderId="1" xfId="14" applyFont="1" applyFill="1" applyBorder="1" applyAlignment="1" applyProtection="1">
      <alignment vertical="center"/>
      <protection locked="0"/>
    </xf>
    <xf numFmtId="3" fontId="3" fillId="0" borderId="5" xfId="8" applyNumberFormat="1" applyFont="1" applyFill="1" applyBorder="1" applyAlignment="1" applyProtection="1">
      <alignment horizontal="right" vertical="center"/>
      <protection locked="0"/>
    </xf>
    <xf numFmtId="3" fontId="3" fillId="0" borderId="1" xfId="8" applyNumberFormat="1" applyFont="1" applyFill="1" applyBorder="1" applyAlignment="1" applyProtection="1">
      <alignment horizontal="right" vertical="center"/>
      <protection locked="0"/>
    </xf>
    <xf numFmtId="41" fontId="51" fillId="0" borderId="0" xfId="14" applyFont="1" applyAlignment="1"/>
    <xf numFmtId="168" fontId="24" fillId="0" borderId="1" xfId="0" applyNumberFormat="1" applyFont="1" applyFill="1" applyBorder="1"/>
    <xf numFmtId="172" fontId="3" fillId="0" borderId="1" xfId="7" applyNumberFormat="1" applyFont="1" applyFill="1" applyBorder="1" applyAlignment="1">
      <alignment horizontal="center" vertical="center" wrapText="1"/>
    </xf>
    <xf numFmtId="172" fontId="3" fillId="0" borderId="23" xfId="7" applyNumberFormat="1" applyFont="1" applyFill="1" applyBorder="1" applyAlignment="1">
      <alignment horizontal="center" vertical="center" wrapText="1"/>
    </xf>
    <xf numFmtId="3" fontId="1" fillId="0" borderId="0" xfId="0" applyNumberFormat="1" applyFont="1" applyFill="1" applyBorder="1"/>
    <xf numFmtId="41" fontId="1" fillId="0" borderId="0" xfId="0" applyNumberFormat="1" applyFont="1" applyFill="1"/>
    <xf numFmtId="174" fontId="1" fillId="0" borderId="0" xfId="0" applyNumberFormat="1" applyFont="1" applyFill="1"/>
    <xf numFmtId="172" fontId="3" fillId="0" borderId="23" xfId="7" applyNumberFormat="1" applyFont="1" applyFill="1" applyBorder="1" applyAlignment="1" applyProtection="1">
      <alignment horizontal="center" vertical="center"/>
    </xf>
    <xf numFmtId="172" fontId="3" fillId="0" borderId="36" xfId="7" applyNumberFormat="1" applyFont="1" applyFill="1" applyBorder="1" applyAlignment="1" applyProtection="1">
      <alignment horizontal="center" vertical="center" wrapText="1"/>
    </xf>
    <xf numFmtId="172" fontId="3" fillId="0" borderId="36" xfId="2" applyNumberFormat="1" applyFont="1" applyFill="1" applyBorder="1" applyAlignment="1" applyProtection="1">
      <alignment horizontal="center" vertical="center" wrapText="1"/>
    </xf>
    <xf numFmtId="10" fontId="3" fillId="0" borderId="23" xfId="7" applyNumberFormat="1" applyFont="1" applyFill="1" applyBorder="1" applyAlignment="1" applyProtection="1">
      <alignment horizontal="center" vertical="center" wrapText="1"/>
    </xf>
    <xf numFmtId="172" fontId="3" fillId="0" borderId="1" xfId="7" applyNumberFormat="1" applyFont="1" applyFill="1" applyBorder="1" applyAlignment="1" applyProtection="1">
      <alignment horizontal="center" vertical="center" wrapText="1"/>
    </xf>
    <xf numFmtId="3" fontId="3" fillId="0" borderId="36" xfId="0" applyNumberFormat="1" applyFont="1" applyFill="1" applyBorder="1" applyAlignment="1" applyProtection="1">
      <alignment horizontal="right" vertical="center" wrapText="1"/>
    </xf>
    <xf numFmtId="172" fontId="3" fillId="0" borderId="1" xfId="2" applyNumberFormat="1" applyFont="1" applyFill="1" applyBorder="1" applyAlignment="1" applyProtection="1">
      <alignment horizontal="center" vertical="center" wrapText="1"/>
    </xf>
    <xf numFmtId="0" fontId="16" fillId="12" borderId="12" xfId="1" applyFont="1" applyFill="1" applyBorder="1" applyAlignment="1">
      <alignment horizontal="center"/>
    </xf>
    <xf numFmtId="0" fontId="16" fillId="12" borderId="10" xfId="1" applyFont="1" applyFill="1" applyBorder="1" applyAlignment="1">
      <alignment horizontal="center"/>
    </xf>
    <xf numFmtId="0" fontId="16" fillId="12" borderId="40" xfId="1" applyFont="1" applyFill="1" applyBorder="1" applyAlignment="1">
      <alignment horizontal="center"/>
    </xf>
    <xf numFmtId="0" fontId="38" fillId="7" borderId="20"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22" xfId="0" applyFont="1" applyFill="1" applyBorder="1" applyAlignment="1">
      <alignment horizontal="center" vertical="center"/>
    </xf>
    <xf numFmtId="0" fontId="38" fillId="7" borderId="12"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40" xfId="0" applyFont="1" applyFill="1" applyBorder="1" applyAlignment="1">
      <alignment horizontal="center" vertical="center"/>
    </xf>
    <xf numFmtId="170" fontId="35" fillId="10" borderId="11" xfId="0" applyNumberFormat="1" applyFont="1" applyFill="1" applyBorder="1" applyAlignment="1">
      <alignment horizontal="center"/>
    </xf>
    <xf numFmtId="170" fontId="35" fillId="10" borderId="0" xfId="0" applyNumberFormat="1" applyFont="1" applyFill="1" applyBorder="1" applyAlignment="1">
      <alignment horizontal="center"/>
    </xf>
    <xf numFmtId="170" fontId="35" fillId="10" borderId="31" xfId="0" applyNumberFormat="1" applyFont="1" applyFill="1" applyBorder="1" applyAlignment="1">
      <alignment horizontal="center"/>
    </xf>
    <xf numFmtId="0" fontId="36" fillId="10" borderId="14" xfId="0" applyFont="1" applyFill="1" applyBorder="1" applyAlignment="1">
      <alignment horizontal="center" vertical="center"/>
    </xf>
    <xf numFmtId="0" fontId="36" fillId="10" borderId="28" xfId="0" applyFont="1" applyFill="1" applyBorder="1" applyAlignment="1">
      <alignment horizontal="center" vertical="center"/>
    </xf>
    <xf numFmtId="0" fontId="36" fillId="10" borderId="11" xfId="0" applyFont="1" applyFill="1" applyBorder="1" applyAlignment="1">
      <alignment horizontal="center" vertical="center"/>
    </xf>
    <xf numFmtId="0" fontId="36" fillId="10" borderId="0" xfId="0" applyFont="1" applyFill="1" applyBorder="1" applyAlignment="1">
      <alignment horizontal="center" vertical="center"/>
    </xf>
    <xf numFmtId="0" fontId="36" fillId="11" borderId="14" xfId="0" applyFont="1" applyFill="1" applyBorder="1" applyAlignment="1">
      <alignment horizontal="center" vertical="center" wrapText="1"/>
    </xf>
    <xf numFmtId="0" fontId="36" fillId="11" borderId="28" xfId="0" applyFont="1" applyFill="1" applyBorder="1" applyAlignment="1">
      <alignment horizontal="center" vertical="center" wrapText="1"/>
    </xf>
    <xf numFmtId="0" fontId="36" fillId="11" borderId="29" xfId="0" applyFont="1" applyFill="1" applyBorder="1" applyAlignment="1">
      <alignment horizontal="center" vertical="center" wrapText="1"/>
    </xf>
    <xf numFmtId="0" fontId="36" fillId="11" borderId="11" xfId="0" applyFont="1" applyFill="1" applyBorder="1" applyAlignment="1">
      <alignment horizontal="center" vertical="center" wrapText="1"/>
    </xf>
    <xf numFmtId="0" fontId="36" fillId="11" borderId="0" xfId="0" applyFont="1" applyFill="1" applyBorder="1" applyAlignment="1">
      <alignment horizontal="center" vertical="center" wrapText="1"/>
    </xf>
    <xf numFmtId="0" fontId="36" fillId="11" borderId="31" xfId="0" applyFont="1" applyFill="1" applyBorder="1" applyAlignment="1">
      <alignment horizontal="center" vertical="center" wrapText="1"/>
    </xf>
    <xf numFmtId="0" fontId="1" fillId="10" borderId="13" xfId="0" applyFont="1" applyFill="1" applyBorder="1" applyAlignment="1">
      <alignment horizontal="center"/>
    </xf>
    <xf numFmtId="0" fontId="1" fillId="10" borderId="25" xfId="0" applyFont="1" applyFill="1" applyBorder="1" applyAlignment="1">
      <alignment horizontal="center"/>
    </xf>
    <xf numFmtId="0" fontId="1" fillId="10" borderId="33" xfId="0" applyFont="1" applyFill="1" applyBorder="1" applyAlignment="1">
      <alignment horizontal="center"/>
    </xf>
    <xf numFmtId="0" fontId="17" fillId="13" borderId="12" xfId="2" applyFont="1" applyFill="1" applyBorder="1" applyAlignment="1">
      <alignment horizontal="center"/>
    </xf>
    <xf numFmtId="0" fontId="17" fillId="13" borderId="10" xfId="2" applyFont="1" applyFill="1" applyBorder="1" applyAlignment="1">
      <alignment horizontal="center"/>
    </xf>
    <xf numFmtId="0" fontId="17" fillId="13" borderId="40" xfId="2" applyFont="1" applyFill="1" applyBorder="1" applyAlignment="1">
      <alignment horizontal="center"/>
    </xf>
    <xf numFmtId="0" fontId="16" fillId="12" borderId="28" xfId="1" applyFont="1" applyFill="1" applyBorder="1" applyAlignment="1">
      <alignment horizontal="center"/>
    </xf>
    <xf numFmtId="0" fontId="16" fillId="12" borderId="29" xfId="1" applyFont="1" applyFill="1" applyBorder="1" applyAlignment="1">
      <alignment horizontal="center"/>
    </xf>
    <xf numFmtId="0" fontId="38" fillId="8" borderId="12" xfId="0" applyFont="1" applyFill="1" applyBorder="1" applyAlignment="1">
      <alignment horizontal="center" vertical="center"/>
    </xf>
    <xf numFmtId="0" fontId="38" fillId="8" borderId="10" xfId="0" applyFont="1" applyFill="1" applyBorder="1" applyAlignment="1">
      <alignment horizontal="center" vertical="center"/>
    </xf>
    <xf numFmtId="0" fontId="38" fillId="8" borderId="40" xfId="0" applyFont="1" applyFill="1" applyBorder="1" applyAlignment="1">
      <alignment horizontal="center" vertical="center"/>
    </xf>
    <xf numFmtId="0" fontId="16" fillId="12" borderId="11" xfId="1" applyFont="1" applyFill="1" applyBorder="1" applyAlignment="1">
      <alignment horizontal="center" vertical="top"/>
    </xf>
    <xf numFmtId="0" fontId="16" fillId="12" borderId="0" xfId="1" applyFont="1" applyFill="1" applyBorder="1" applyAlignment="1">
      <alignment horizontal="center" vertical="top"/>
    </xf>
    <xf numFmtId="0" fontId="16" fillId="12" borderId="31" xfId="1" applyFont="1" applyFill="1" applyBorder="1" applyAlignment="1">
      <alignment horizontal="center" vertical="top"/>
    </xf>
    <xf numFmtId="0" fontId="16" fillId="12" borderId="12" xfId="1" applyFont="1" applyFill="1" applyBorder="1" applyAlignment="1">
      <alignment horizontal="center" vertical="top"/>
    </xf>
    <xf numFmtId="0" fontId="16" fillId="12" borderId="10" xfId="1" applyFont="1" applyFill="1" applyBorder="1" applyAlignment="1">
      <alignment horizontal="center" vertical="top"/>
    </xf>
    <xf numFmtId="0" fontId="16" fillId="12" borderId="40" xfId="1" applyFont="1" applyFill="1" applyBorder="1" applyAlignment="1">
      <alignment horizontal="center" vertical="top"/>
    </xf>
    <xf numFmtId="3" fontId="2" fillId="2" borderId="51" xfId="0" applyNumberFormat="1" applyFont="1" applyFill="1" applyBorder="1" applyAlignment="1">
      <alignment horizontal="center" vertical="top"/>
    </xf>
    <xf numFmtId="3" fontId="2" fillId="2" borderId="47" xfId="0" applyNumberFormat="1" applyFont="1" applyFill="1" applyBorder="1" applyAlignment="1">
      <alignment horizontal="center" vertical="top"/>
    </xf>
    <xf numFmtId="3" fontId="2" fillId="2" borderId="14"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0" fontId="7" fillId="10" borderId="14"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29"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31"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33" xfId="0" applyFont="1" applyFill="1" applyBorder="1" applyAlignment="1">
      <alignment horizontal="center" vertical="center"/>
    </xf>
    <xf numFmtId="0" fontId="5" fillId="8" borderId="12" xfId="0" applyFont="1" applyFill="1" applyBorder="1" applyAlignment="1">
      <alignment horizontal="center" vertical="top"/>
    </xf>
    <xf numFmtId="0" fontId="5" fillId="8" borderId="10" xfId="0" applyFont="1" applyFill="1" applyBorder="1" applyAlignment="1">
      <alignment horizontal="center" vertical="top"/>
    </xf>
    <xf numFmtId="0" fontId="5" fillId="8" borderId="40" xfId="0" applyFont="1" applyFill="1" applyBorder="1" applyAlignment="1">
      <alignment horizontal="center" vertical="top"/>
    </xf>
    <xf numFmtId="0" fontId="5" fillId="7" borderId="7" xfId="0" applyFont="1" applyFill="1" applyBorder="1" applyAlignment="1">
      <alignment horizontal="center" vertical="top"/>
    </xf>
    <xf numFmtId="0" fontId="5" fillId="7" borderId="6" xfId="0" applyFont="1" applyFill="1" applyBorder="1" applyAlignment="1">
      <alignment horizontal="center" vertical="top"/>
    </xf>
    <xf numFmtId="0" fontId="5" fillId="7" borderId="34" xfId="0" applyFont="1" applyFill="1" applyBorder="1" applyAlignment="1">
      <alignment horizontal="center" vertical="top"/>
    </xf>
    <xf numFmtId="3" fontId="2" fillId="2" borderId="17" xfId="0" applyNumberFormat="1" applyFont="1" applyFill="1" applyBorder="1" applyAlignment="1">
      <alignment horizontal="center" vertical="top"/>
    </xf>
    <xf numFmtId="3" fontId="2" fillId="2" borderId="39" xfId="0" applyNumberFormat="1" applyFont="1" applyFill="1" applyBorder="1" applyAlignment="1">
      <alignment horizontal="center" vertical="top"/>
    </xf>
    <xf numFmtId="3" fontId="5" fillId="9" borderId="15" xfId="0" applyNumberFormat="1" applyFont="1" applyFill="1" applyBorder="1" applyAlignment="1">
      <alignment horizontal="center" vertical="top"/>
    </xf>
    <xf numFmtId="3" fontId="5" fillId="9" borderId="37" xfId="0" applyNumberFormat="1" applyFont="1" applyFill="1" applyBorder="1" applyAlignment="1">
      <alignment horizontal="center" vertical="top"/>
    </xf>
    <xf numFmtId="3" fontId="2" fillId="2" borderId="62" xfId="0" applyNumberFormat="1" applyFont="1" applyFill="1" applyBorder="1" applyAlignment="1">
      <alignment horizontal="center" vertical="top"/>
    </xf>
    <xf numFmtId="3" fontId="2" fillId="2" borderId="79" xfId="0" applyNumberFormat="1" applyFont="1" applyFill="1" applyBorder="1" applyAlignment="1">
      <alignment horizontal="center" vertical="top"/>
    </xf>
    <xf numFmtId="3" fontId="2" fillId="2" borderId="61" xfId="0" applyNumberFormat="1" applyFont="1" applyFill="1" applyBorder="1" applyAlignment="1">
      <alignment horizontal="center" vertical="top"/>
    </xf>
    <xf numFmtId="3" fontId="2" fillId="2" borderId="71" xfId="0" applyNumberFormat="1" applyFont="1" applyFill="1" applyBorder="1" applyAlignment="1">
      <alignment horizontal="center" vertical="top"/>
    </xf>
    <xf numFmtId="3" fontId="5" fillId="9" borderId="62" xfId="0" applyNumberFormat="1" applyFont="1" applyFill="1" applyBorder="1" applyAlignment="1">
      <alignment horizontal="center" vertical="top"/>
    </xf>
    <xf numFmtId="3" fontId="5" fillId="9" borderId="57" xfId="0" applyNumberFormat="1" applyFont="1" applyFill="1" applyBorder="1" applyAlignment="1">
      <alignment horizontal="center" vertical="top"/>
    </xf>
    <xf numFmtId="0" fontId="26" fillId="0" borderId="0" xfId="0" applyFont="1" applyAlignment="1">
      <alignment horizontal="center"/>
    </xf>
    <xf numFmtId="41" fontId="26" fillId="0" borderId="0" xfId="14" applyFont="1" applyAlignment="1">
      <alignment horizontal="center"/>
    </xf>
    <xf numFmtId="0" fontId="26" fillId="0" borderId="0" xfId="0" applyFont="1" applyAlignment="1">
      <alignment horizontal="center" wrapText="1"/>
    </xf>
    <xf numFmtId="17" fontId="26" fillId="0" borderId="0" xfId="0" applyNumberFormat="1" applyFont="1" applyAlignment="1">
      <alignment horizontal="center"/>
    </xf>
    <xf numFmtId="0" fontId="21" fillId="0" borderId="0" xfId="0" applyFont="1" applyAlignment="1">
      <alignment horizontal="center"/>
    </xf>
    <xf numFmtId="0" fontId="26" fillId="0" borderId="65" xfId="0" applyFont="1" applyBorder="1" applyAlignment="1">
      <alignment horizontal="center"/>
    </xf>
    <xf numFmtId="0" fontId="0" fillId="0" borderId="0" xfId="0" applyAlignment="1">
      <alignment horizontal="center"/>
    </xf>
    <xf numFmtId="0" fontId="51" fillId="0" borderId="0" xfId="0" applyFont="1" applyAlignment="1">
      <alignment horizontal="center"/>
    </xf>
    <xf numFmtId="3" fontId="2" fillId="2" borderId="20" xfId="0" applyNumberFormat="1" applyFont="1" applyFill="1" applyBorder="1" applyAlignment="1" applyProtection="1">
      <alignment horizontal="center" vertical="center"/>
      <protection locked="0"/>
    </xf>
    <xf numFmtId="3" fontId="2" fillId="2" borderId="24" xfId="0" applyNumberFormat="1" applyFont="1" applyFill="1" applyBorder="1" applyAlignment="1" applyProtection="1">
      <alignment horizontal="center" vertical="center"/>
      <protection locked="0"/>
    </xf>
    <xf numFmtId="0" fontId="5" fillId="14" borderId="68" xfId="0" applyFont="1" applyFill="1" applyBorder="1" applyAlignment="1" applyProtection="1">
      <alignment horizontal="center"/>
    </xf>
    <xf numFmtId="0" fontId="5" fillId="14" borderId="78" xfId="0" applyFont="1" applyFill="1" applyBorder="1" applyAlignment="1" applyProtection="1">
      <alignment horizontal="center"/>
    </xf>
    <xf numFmtId="3" fontId="16" fillId="12" borderId="13" xfId="1" applyNumberFormat="1" applyFont="1" applyFill="1" applyBorder="1" applyAlignment="1">
      <alignment horizontal="center"/>
    </xf>
    <xf numFmtId="3" fontId="16" fillId="12" borderId="25" xfId="1" applyNumberFormat="1" applyFont="1" applyFill="1" applyBorder="1" applyAlignment="1">
      <alignment horizontal="center"/>
    </xf>
    <xf numFmtId="3" fontId="2" fillId="2" borderId="14" xfId="0" applyNumberFormat="1" applyFont="1" applyFill="1" applyBorder="1" applyAlignment="1" applyProtection="1">
      <alignment horizontal="center"/>
      <protection locked="0"/>
    </xf>
    <xf numFmtId="3" fontId="2" fillId="2" borderId="29" xfId="0" applyNumberFormat="1" applyFont="1" applyFill="1" applyBorder="1" applyAlignment="1" applyProtection="1">
      <alignment horizontal="center"/>
      <protection locked="0"/>
    </xf>
    <xf numFmtId="0" fontId="5" fillId="14" borderId="12" xfId="0" applyFont="1" applyFill="1" applyBorder="1" applyAlignment="1" applyProtection="1">
      <alignment horizontal="center"/>
    </xf>
    <xf numFmtId="0" fontId="5" fillId="14" borderId="40"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7" borderId="12" xfId="0" applyFont="1" applyFill="1" applyBorder="1" applyAlignment="1" applyProtection="1">
      <alignment horizontal="center"/>
    </xf>
    <xf numFmtId="0" fontId="5" fillId="7" borderId="10" xfId="0" applyFont="1" applyFill="1" applyBorder="1" applyAlignment="1" applyProtection="1">
      <alignment horizontal="center"/>
    </xf>
    <xf numFmtId="0" fontId="5" fillId="7" borderId="40" xfId="0" applyFont="1" applyFill="1" applyBorder="1" applyAlignment="1" applyProtection="1">
      <alignment horizontal="center"/>
    </xf>
    <xf numFmtId="3" fontId="5" fillId="8" borderId="12" xfId="0" applyNumberFormat="1" applyFont="1" applyFill="1" applyBorder="1" applyAlignment="1" applyProtection="1">
      <alignment horizontal="center"/>
    </xf>
    <xf numFmtId="3" fontId="5" fillId="8" borderId="10" xfId="0" applyNumberFormat="1" applyFont="1" applyFill="1" applyBorder="1" applyAlignment="1" applyProtection="1">
      <alignment horizontal="center"/>
    </xf>
    <xf numFmtId="0" fontId="5" fillId="8" borderId="10" xfId="0" applyFont="1" applyFill="1" applyBorder="1" applyAlignment="1" applyProtection="1">
      <alignment horizontal="center"/>
    </xf>
    <xf numFmtId="0" fontId="5" fillId="8" borderId="40" xfId="0" applyFont="1" applyFill="1" applyBorder="1" applyAlignment="1" applyProtection="1">
      <alignment horizontal="center"/>
    </xf>
    <xf numFmtId="3" fontId="2" fillId="2" borderId="28" xfId="0" applyNumberFormat="1" applyFont="1" applyFill="1" applyBorder="1" applyAlignment="1" applyProtection="1">
      <alignment horizontal="center"/>
      <protection locked="0"/>
    </xf>
    <xf numFmtId="0" fontId="5" fillId="14" borderId="10" xfId="0" applyFont="1" applyFill="1" applyBorder="1" applyAlignment="1" applyProtection="1">
      <alignment horizontal="center"/>
    </xf>
    <xf numFmtId="3" fontId="2" fillId="2" borderId="12" xfId="0" applyNumberFormat="1" applyFont="1" applyFill="1" applyBorder="1" applyAlignment="1" applyProtection="1">
      <alignment horizontal="center"/>
      <protection locked="0"/>
    </xf>
    <xf numFmtId="3" fontId="2" fillId="2" borderId="40" xfId="0" applyNumberFormat="1" applyFont="1" applyFill="1" applyBorder="1" applyAlignment="1" applyProtection="1">
      <alignment horizontal="center"/>
      <protection locked="0"/>
    </xf>
    <xf numFmtId="17" fontId="0" fillId="0" borderId="0" xfId="0" applyNumberFormat="1" applyAlignment="1">
      <alignment horizontal="center"/>
    </xf>
    <xf numFmtId="0" fontId="11" fillId="0" borderId="0" xfId="0" applyFont="1" applyAlignment="1">
      <alignment horizontal="center"/>
    </xf>
    <xf numFmtId="0" fontId="11" fillId="0" borderId="12" xfId="0" applyFont="1" applyBorder="1" applyAlignment="1">
      <alignment horizontal="center"/>
    </xf>
    <xf numFmtId="0" fontId="11" fillId="0" borderId="10" xfId="0" applyFont="1" applyBorder="1" applyAlignment="1">
      <alignment horizontal="center"/>
    </xf>
    <xf numFmtId="0" fontId="11" fillId="0" borderId="40" xfId="0" applyFont="1" applyBorder="1" applyAlignment="1">
      <alignment horizontal="center"/>
    </xf>
    <xf numFmtId="0" fontId="0" fillId="0" borderId="65" xfId="0" applyBorder="1" applyAlignment="1">
      <alignment horizontal="center"/>
    </xf>
    <xf numFmtId="17" fontId="0" fillId="0" borderId="65" xfId="0" applyNumberFormat="1" applyBorder="1" applyAlignment="1">
      <alignment horizontal="center"/>
    </xf>
    <xf numFmtId="0" fontId="16" fillId="12" borderId="13" xfId="1" applyFont="1" applyFill="1" applyBorder="1" applyAlignment="1">
      <alignment horizontal="center"/>
    </xf>
    <xf numFmtId="0" fontId="16" fillId="12" borderId="25" xfId="1" applyFont="1" applyFill="1" applyBorder="1" applyAlignment="1">
      <alignment horizontal="center"/>
    </xf>
    <xf numFmtId="0" fontId="7" fillId="0" borderId="13"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5" fillId="8" borderId="12" xfId="0" applyFont="1" applyFill="1" applyBorder="1" applyAlignment="1" applyProtection="1">
      <alignment horizontal="center"/>
    </xf>
    <xf numFmtId="3" fontId="4" fillId="2" borderId="14" xfId="0" applyNumberFormat="1" applyFont="1" applyFill="1" applyBorder="1" applyAlignment="1" applyProtection="1">
      <alignment horizontal="center"/>
      <protection locked="0"/>
    </xf>
    <xf numFmtId="3" fontId="4" fillId="2" borderId="29" xfId="0" applyNumberFormat="1" applyFont="1" applyFill="1" applyBorder="1" applyAlignment="1" applyProtection="1">
      <alignment horizontal="center"/>
      <protection locked="0"/>
    </xf>
    <xf numFmtId="3" fontId="4" fillId="2" borderId="12" xfId="0" applyNumberFormat="1" applyFont="1" applyFill="1" applyBorder="1" applyAlignment="1" applyProtection="1">
      <alignment horizontal="center"/>
      <protection locked="0"/>
    </xf>
    <xf numFmtId="3" fontId="4" fillId="2" borderId="40" xfId="0" applyNumberFormat="1" applyFont="1" applyFill="1" applyBorder="1" applyAlignment="1" applyProtection="1">
      <alignment horizontal="center"/>
      <protection locked="0"/>
    </xf>
    <xf numFmtId="3" fontId="4" fillId="2" borderId="10" xfId="0" applyNumberFormat="1" applyFont="1" applyFill="1" applyBorder="1" applyAlignment="1" applyProtection="1">
      <alignment horizontal="center"/>
      <protection locked="0"/>
    </xf>
    <xf numFmtId="0" fontId="10" fillId="15" borderId="12" xfId="2" applyFont="1" applyFill="1" applyBorder="1" applyAlignment="1">
      <alignment horizontal="center"/>
    </xf>
    <xf numFmtId="0" fontId="10" fillId="15" borderId="10" xfId="2" applyFont="1" applyFill="1" applyBorder="1" applyAlignment="1">
      <alignment horizontal="center"/>
    </xf>
    <xf numFmtId="0" fontId="10" fillId="15" borderId="40" xfId="2" applyFont="1" applyFill="1" applyBorder="1" applyAlignment="1">
      <alignment horizontal="center"/>
    </xf>
    <xf numFmtId="168" fontId="2" fillId="0" borderId="51" xfId="0" applyNumberFormat="1" applyFont="1" applyBorder="1" applyAlignment="1" applyProtection="1">
      <alignment horizontal="right"/>
      <protection locked="0"/>
    </xf>
    <xf numFmtId="168" fontId="2" fillId="0" borderId="56" xfId="0" applyNumberFormat="1" applyFont="1" applyBorder="1" applyAlignment="1" applyProtection="1">
      <alignment horizontal="right"/>
      <protection locked="0"/>
    </xf>
    <xf numFmtId="168" fontId="34" fillId="16" borderId="68" xfId="0" applyNumberFormat="1" applyFont="1" applyFill="1" applyBorder="1" applyAlignment="1" applyProtection="1">
      <alignment horizontal="center"/>
      <protection locked="0"/>
    </xf>
    <xf numFmtId="168" fontId="34" fillId="16" borderId="63" xfId="0" applyNumberFormat="1" applyFont="1" applyFill="1" applyBorder="1" applyAlignment="1" applyProtection="1">
      <alignment horizontal="center"/>
      <protection locked="0"/>
    </xf>
    <xf numFmtId="168" fontId="34" fillId="16" borderId="69" xfId="0" applyNumberFormat="1" applyFont="1" applyFill="1" applyBorder="1" applyAlignment="1" applyProtection="1">
      <alignment horizontal="center"/>
      <protection locked="0"/>
    </xf>
    <xf numFmtId="0" fontId="10" fillId="16" borderId="12" xfId="1" applyFont="1" applyFill="1" applyBorder="1" applyAlignment="1">
      <alignment horizontal="center" vertical="center"/>
    </xf>
    <xf numFmtId="0" fontId="10" fillId="16" borderId="40" xfId="1" applyFont="1" applyFill="1" applyBorder="1" applyAlignment="1">
      <alignment horizontal="center" vertical="center"/>
    </xf>
    <xf numFmtId="0" fontId="1" fillId="0" borderId="0" xfId="0" applyFont="1" applyFill="1" applyBorder="1" applyAlignment="1">
      <alignment horizontal="center"/>
    </xf>
    <xf numFmtId="168" fontId="2" fillId="0" borderId="11" xfId="0" applyNumberFormat="1" applyFont="1" applyBorder="1" applyAlignment="1" applyProtection="1">
      <alignment horizontal="right"/>
      <protection locked="0"/>
    </xf>
    <xf numFmtId="168" fontId="2" fillId="0" borderId="4" xfId="0" applyNumberFormat="1" applyFont="1" applyBorder="1" applyAlignment="1" applyProtection="1">
      <alignment horizontal="right"/>
      <protection locked="0"/>
    </xf>
    <xf numFmtId="0" fontId="11" fillId="0" borderId="0" xfId="0" applyFont="1" applyAlignment="1">
      <alignment horizontal="left"/>
    </xf>
    <xf numFmtId="0" fontId="56" fillId="0" borderId="0" xfId="0" applyFont="1" applyAlignment="1">
      <alignment horizontal="center"/>
    </xf>
    <xf numFmtId="0" fontId="49" fillId="0" borderId="0" xfId="0" applyFont="1" applyAlignment="1">
      <alignment horizontal="center"/>
    </xf>
    <xf numFmtId="17" fontId="49" fillId="0" borderId="0" xfId="0" applyNumberFormat="1" applyFont="1" applyAlignment="1">
      <alignment horizontal="center"/>
    </xf>
    <xf numFmtId="0" fontId="50" fillId="0" borderId="0" xfId="0" applyFont="1" applyAlignment="1">
      <alignment horizontal="center"/>
    </xf>
    <xf numFmtId="41" fontId="49" fillId="0" borderId="0" xfId="14" applyFont="1" applyAlignment="1">
      <alignment horizontal="center" wrapText="1"/>
    </xf>
    <xf numFmtId="0" fontId="16" fillId="12" borderId="14" xfId="1" applyFont="1" applyFill="1" applyBorder="1" applyAlignment="1">
      <alignment horizontal="center"/>
    </xf>
    <xf numFmtId="0" fontId="5" fillId="8" borderId="12" xfId="0" applyFont="1" applyFill="1" applyBorder="1" applyAlignment="1">
      <alignment horizontal="center"/>
    </xf>
    <xf numFmtId="0" fontId="5" fillId="8" borderId="10" xfId="0" applyFont="1" applyFill="1" applyBorder="1" applyAlignment="1">
      <alignment horizontal="center"/>
    </xf>
    <xf numFmtId="170" fontId="1" fillId="0" borderId="11" xfId="0" applyNumberFormat="1" applyFont="1" applyBorder="1" applyAlignment="1">
      <alignment horizontal="center"/>
    </xf>
    <xf numFmtId="170" fontId="1" fillId="0" borderId="0" xfId="0" applyNumberFormat="1" applyFont="1" applyBorder="1" applyAlignment="1">
      <alignment horizontal="center"/>
    </xf>
    <xf numFmtId="0" fontId="7" fillId="0" borderId="1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5" fillId="7" borderId="12" xfId="0" applyFont="1" applyFill="1" applyBorder="1" applyAlignment="1">
      <alignment horizontal="center"/>
    </xf>
    <xf numFmtId="0" fontId="5" fillId="7" borderId="10" xfId="0" applyFont="1" applyFill="1" applyBorder="1" applyAlignment="1">
      <alignment horizontal="center"/>
    </xf>
    <xf numFmtId="0" fontId="5" fillId="7" borderId="40" xfId="0" applyFont="1" applyFill="1" applyBorder="1" applyAlignment="1">
      <alignment horizontal="center"/>
    </xf>
    <xf numFmtId="3" fontId="2" fillId="2" borderId="12" xfId="0" applyNumberFormat="1" applyFont="1" applyFill="1" applyBorder="1" applyAlignment="1">
      <alignment horizontal="center"/>
    </xf>
    <xf numFmtId="3" fontId="2" fillId="2" borderId="40" xfId="0" applyNumberFormat="1" applyFont="1" applyFill="1" applyBorder="1" applyAlignment="1">
      <alignment horizontal="center"/>
    </xf>
    <xf numFmtId="17" fontId="51" fillId="0" borderId="0" xfId="0" applyNumberFormat="1" applyFont="1" applyAlignment="1">
      <alignment horizontal="center"/>
    </xf>
  </cellXfs>
  <cellStyles count="17">
    <cellStyle name="Buena" xfId="15" builtinId="26"/>
    <cellStyle name="Énfasis1" xfId="1" builtinId="29"/>
    <cellStyle name="Énfasis2" xfId="2" builtinId="33"/>
    <cellStyle name="Incorrecto" xfId="16" builtinId="27"/>
    <cellStyle name="Millares" xfId="8" builtinId="3"/>
    <cellStyle name="Millares [0]" xfId="14" builtinId="6"/>
    <cellStyle name="Millares 2" xfId="3"/>
    <cellStyle name="Millares 2 2" xfId="9"/>
    <cellStyle name="Millares 3" xfId="4"/>
    <cellStyle name="Millares 3 2" xfId="10"/>
    <cellStyle name="Millares 4" xfId="13"/>
    <cellStyle name="Moneda 2" xfId="11"/>
    <cellStyle name="Normal" xfId="0" builtinId="0"/>
    <cellStyle name="Normal 2" xfId="5"/>
    <cellStyle name="Normal 2 2" xfId="12"/>
    <cellStyle name="Normal 3" xfId="6"/>
    <cellStyle name="Porcentaje" xfId="7" builtinId="5"/>
  </cellStyles>
  <dxfs count="118">
    <dxf>
      <numFmt numFmtId="33" formatCode="_ * #,##0_ ;_ * \-#,##0_ ;_ * &quot;-&quot;_ ;_ @_ "/>
    </dxf>
    <dxf>
      <numFmt numFmtId="13" formatCode="0%"/>
    </dxf>
    <dxf>
      <numFmt numFmtId="33" formatCode="_ * #,##0_ ;_ * \-#,##0_ ;_ * &quot;-&quot;_ ;_ @_ "/>
    </dxf>
    <dxf>
      <numFmt numFmtId="13"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33" formatCode="_ * #,##0_ ;_ * \-#,##0_ ;_ * &quot;-&quot;_ ;_ @_ "/>
    </dxf>
    <dxf>
      <numFmt numFmtId="13" formatCode="0%"/>
    </dxf>
    <dxf>
      <numFmt numFmtId="33" formatCode="_ * #,##0_ ;_ * \-#,##0_ ;_ * &quot;-&quot;_ ;_ @_ "/>
    </dxf>
    <dxf>
      <numFmt numFmtId="13" formatCode="0%"/>
    </dxf>
  </dxfs>
  <tableStyles count="0" defaultTableStyle="TableStyleMedium9" defaultPivotStyle="PivotStyleLight16"/>
  <colors>
    <mruColors>
      <color rgb="FF009A46"/>
      <color rgb="FFFFFF99"/>
      <color rgb="FFE1C1D6"/>
      <color rgb="FF75DFDD"/>
      <color rgb="FFFFCC66"/>
      <color rgb="FFEB3C46"/>
      <color rgb="FFFCE010"/>
      <color rgb="FFFFCC99"/>
      <color rgb="FF0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de 2023 (1) (1).xlsx]GRAFICOS!TablaDinámica23</c:name>
    <c:fmtId val="0"/>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SITUACIóN PRESUPUESTARIA al MES DE abril </a:t>
            </a:r>
            <a:r>
              <a:rPr lang="en-US" baseline="0"/>
              <a:t>de 2023</a:t>
            </a:r>
            <a:endParaRPr lang="es-CL"/>
          </a:p>
          <a:p>
            <a:pPr>
              <a:defRPr/>
            </a:pPr>
            <a:r>
              <a:rPr lang="en-US"/>
              <a:t>PROGRAMA P01 SUBSECRETARíA DE DESARROLLO REGIONAL Y ADMINISTRATIVO</a:t>
            </a:r>
          </a:p>
        </c:rich>
      </c:tx>
      <c:layout>
        <c:manualLayout>
          <c:xMode val="edge"/>
          <c:yMode val="edge"/>
          <c:x val="0.3260128452872324"/>
          <c:y val="6.3805161431747914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dLbl>
          <c:idx val="0"/>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pivotFmt>
      <c:pivotFmt>
        <c:idx val="3"/>
      </c:pivotFmt>
      <c:pivotFmt>
        <c:idx val="4"/>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marker>
          <c:spPr>
            <a:solidFill>
              <a:schemeClr val="accent1"/>
            </a:solidFill>
            <a:ln w="9525">
              <a:solidFill>
                <a:schemeClr val="lt1"/>
              </a:solidFill>
            </a:ln>
            <a:effectLst/>
          </c:spPr>
        </c:marker>
        <c:dLbl>
          <c:idx val="0"/>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6"/>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7"/>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8"/>
        <c:spPr>
          <a:solidFill>
            <a:srgbClr val="FFCC66"/>
          </a:solidFill>
          <a:ln>
            <a:noFill/>
          </a:ln>
          <a:effectLst/>
          <a:scene3d>
            <a:camera prst="orthographicFront"/>
            <a:lightRig rig="brightRoom" dir="t"/>
          </a:scene3d>
          <a:sp3d prstMaterial="flat">
            <a:bevelT w="50800" h="101600" prst="angle"/>
            <a:contourClr>
              <a:srgbClr val="000000"/>
            </a:contourClr>
          </a:sp3d>
        </c:spPr>
      </c:pivotFmt>
      <c:pivotFmt>
        <c:idx val="9"/>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0"/>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1"/>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2"/>
        <c:spPr>
          <a:solidFill>
            <a:srgbClr val="FFCC66"/>
          </a:solidFill>
          <a:ln>
            <a:noFill/>
          </a:ln>
          <a:effectLst/>
          <a:scene3d>
            <a:camera prst="orthographicFront"/>
            <a:lightRig rig="brightRoom" dir="t"/>
          </a:scene3d>
          <a:sp3d prstMaterial="flat">
            <a:bevelT w="50800" h="101600" prst="angle"/>
            <a:contourClr>
              <a:srgbClr val="000000"/>
            </a:contourClr>
          </a:sp3d>
        </c:spPr>
      </c:pivotFmt>
      <c:pivotFmt>
        <c:idx val="1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4"/>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1"/>
          <c:extLst xmlns:c16r2="http://schemas.microsoft.com/office/drawing/2015/06/chart">
            <c:ext xmlns:c15="http://schemas.microsoft.com/office/drawing/2012/chart" uri="{CE6537A1-D6FC-4f65-9D91-7224C49458BB}"/>
          </c:extLst>
        </c:dLbl>
      </c:pivotFmt>
      <c:pivotFmt>
        <c:idx val="18"/>
        <c:spPr>
          <a:solidFill>
            <a:srgbClr val="FFC000"/>
          </a:solidFill>
          <a:ln>
            <a:noFill/>
          </a:ln>
          <a:effectLst/>
          <a:scene3d>
            <a:camera prst="orthographicFront"/>
            <a:lightRig rig="brightRoom" dir="t"/>
          </a:scene3d>
          <a:sp3d prstMaterial="flat">
            <a:bevelT w="50800" h="101600" prst="angle"/>
            <a:contourClr>
              <a:srgbClr val="000000"/>
            </a:contourClr>
          </a:sp3d>
        </c:spPr>
      </c:pivotFmt>
      <c:pivotFmt>
        <c:idx val="19"/>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
        <c:idx val="20"/>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2"/>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4"/>
        <c:spPr>
          <a:solidFill>
            <a:srgbClr val="FFC000"/>
          </a:solidFill>
          <a:ln>
            <a:noFill/>
          </a:ln>
          <a:effectLst/>
          <a:scene3d>
            <a:camera prst="orthographicFront"/>
            <a:lightRig rig="brightRoom" dir="t"/>
          </a:scene3d>
          <a:sp3d prstMaterial="flat">
            <a:bevelT w="50800" h="101600" prst="angle"/>
            <a:contourClr>
              <a:srgbClr val="000000"/>
            </a:contourClr>
          </a:sp3d>
        </c:spPr>
      </c:pivotFmt>
      <c:pivotFmt>
        <c:idx val="2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7"/>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8"/>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9"/>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3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2"/>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3"/>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34"/>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5"/>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3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3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8"/>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39"/>
        <c:spPr>
          <a:solidFill>
            <a:srgbClr val="FFCC66"/>
          </a:solidFill>
          <a:ln>
            <a:noFill/>
          </a:ln>
          <a:effectLst/>
          <a:scene3d>
            <a:camera prst="orthographicFront"/>
            <a:lightRig rig="brightRoom" dir="t"/>
          </a:scene3d>
          <a:sp3d prstMaterial="flat">
            <a:bevelT w="50800" h="101600" prst="angle"/>
            <a:contourClr>
              <a:srgbClr val="000000"/>
            </a:contourClr>
          </a:sp3d>
        </c:spPr>
        <c:dLbl>
          <c:idx val="0"/>
          <c:layout>
            <c:manualLayout>
              <c:x val="-2.5312587609907369E-2"/>
              <c:y val="-4.1315453300654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40"/>
        <c:spPr>
          <a:solidFill>
            <a:srgbClr val="00B050"/>
          </a:solidFill>
          <a:ln>
            <a:noFill/>
          </a:ln>
          <a:effectLst/>
          <a:scene3d>
            <a:camera prst="orthographicFront"/>
            <a:lightRig rig="brightRoom" dir="t"/>
          </a:scene3d>
          <a:sp3d prstMaterial="flat">
            <a:bevelT w="50800" h="101600" prst="angle"/>
            <a:contourClr>
              <a:srgbClr val="000000"/>
            </a:contourClr>
          </a:sp3d>
        </c:spPr>
        <c:dLbl>
          <c:idx val="0"/>
          <c:layout>
            <c:manualLayout>
              <c:x val="2.902343767479423E-2"/>
              <c:y val="-0.107095051871296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s>
    <c:plotArea>
      <c:layout/>
      <c:pieChart>
        <c:varyColors val="1"/>
        <c:ser>
          <c:idx val="0"/>
          <c:order val="0"/>
          <c:tx>
            <c:strRef>
              <c:f>GRAFICOS!$C$327</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B-CE96-47E4-BD15-D49462FADECC}"/>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4-CE96-47E4-BD15-D49462FADECC}"/>
              </c:ext>
            </c:extLst>
          </c:dPt>
          <c:dPt>
            <c:idx val="2"/>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A-CE96-47E4-BD15-D49462FADECC}"/>
              </c:ext>
            </c:extLst>
          </c:dPt>
          <c:dLbls>
            <c:dLbl>
              <c:idx val="1"/>
              <c:layout>
                <c:manualLayout>
                  <c:x val="-2.5312587609907369E-2"/>
                  <c:y val="-4.131545330065451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2"/>
              <c:layout>
                <c:manualLayout>
                  <c:x val="2.902343767479423E-2"/>
                  <c:y val="-0.1070950518712963"/>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GRAFICOS!$B$328:$B$330</c:f>
              <c:strCache>
                <c:ptCount val="3"/>
                <c:pt idx="0">
                  <c:v>Ejecución.</c:v>
                </c:pt>
                <c:pt idx="1">
                  <c:v>Saldo por ejecutar.</c:v>
                </c:pt>
                <c:pt idx="2">
                  <c:v>Saldo disponible.</c:v>
                </c:pt>
              </c:strCache>
            </c:strRef>
          </c:cat>
          <c:val>
            <c:numRef>
              <c:f>GRAFICOS!$C$328:$C$330</c:f>
              <c:numCache>
                <c:formatCode>General</c:formatCode>
                <c:ptCount val="3"/>
                <c:pt idx="0">
                  <c:v>15879943.225000001</c:v>
                </c:pt>
                <c:pt idx="1">
                  <c:v>1370659.3249999993</c:v>
                </c:pt>
                <c:pt idx="2">
                  <c:v>21925154.450000003</c:v>
                </c:pt>
              </c:numCache>
            </c:numRef>
          </c:val>
          <c:extLst xmlns:c16r2="http://schemas.microsoft.com/office/drawing/2015/06/chart">
            <c:ext xmlns:c16="http://schemas.microsoft.com/office/drawing/2014/chart" uri="{C3380CC4-5D6E-409C-BE32-E72D297353CC}">
              <c16:uniqueId val="{00000006-CE96-47E4-BD15-D49462FADEC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6076109878452312"/>
          <c:y val="0.16835117282667786"/>
          <c:w val="0.20394064165009174"/>
          <c:h val="7.47396034878319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de 2023 (1) (1).xlsx]GRAFICOS!TablaDinámica24</c:name>
    <c:fmtId val="0"/>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latin typeface="+mn-lt"/>
                <a:ea typeface="+mn-ea"/>
                <a:cs typeface="+mn-cs"/>
              </a:rPr>
              <a:t>SITUACIóN PRESUPUESTARIA al MES DE abril </a:t>
            </a:r>
            <a:r>
              <a:rPr lang="en-US" sz="1400" b="1" i="0" u="none" strike="noStrike" cap="all" baseline="0">
                <a:effectLst/>
              </a:rPr>
              <a:t>de 2023</a:t>
            </a:r>
          </a:p>
          <a:p>
            <a:pPr>
              <a:defRPr/>
            </a:pPr>
            <a:r>
              <a:rPr lang="en-US" sz="1400" b="1" i="0" u="none" strike="noStrike" kern="1200" cap="all" spc="50" baseline="0">
                <a:solidFill>
                  <a:sysClr val="windowText" lastClr="000000">
                    <a:lumMod val="65000"/>
                    <a:lumOff val="35000"/>
                  </a:sysClr>
                </a:solidFill>
                <a:latin typeface="+mn-lt"/>
                <a:ea typeface="+mn-ea"/>
                <a:cs typeface="+mn-cs"/>
              </a:rPr>
              <a:t>PROGRAMA P02 FORTALECIMIENTO DE LA GESTIÓN SUBNACIONAL</a:t>
            </a:r>
            <a:endParaRPr lang="es-CL" sz="1400" b="1" i="0" u="none" strike="noStrike" kern="1200" cap="all" spc="50" baseline="0">
              <a:solidFill>
                <a:sysClr val="windowText" lastClr="000000">
                  <a:lumMod val="65000"/>
                  <a:lumOff val="35000"/>
                </a:sysClr>
              </a:solidFill>
              <a:latin typeface="+mn-lt"/>
              <a:ea typeface="+mn-ea"/>
              <a:cs typeface="+mn-cs"/>
            </a:endParaRPr>
          </a:p>
        </c:rich>
      </c:tx>
      <c:layout>
        <c:manualLayout>
          <c:xMode val="edge"/>
          <c:yMode val="edge"/>
          <c:x val="0.31007339418578589"/>
          <c:y val="5.403804994010232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marker>
          <c:spPr>
            <a:solidFill>
              <a:schemeClr val="accent1"/>
            </a:solidFill>
            <a:ln w="9525">
              <a:solidFill>
                <a:schemeClr val="lt1"/>
              </a:solidFill>
            </a:ln>
            <a:effectLst/>
          </c:spPr>
        </c:marker>
        <c:dLbl>
          <c:idx val="0"/>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spPr>
          <a:solidFill>
            <a:srgbClr val="FFC0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6"/>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8"/>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9"/>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1"/>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2"/>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4"/>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5"/>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8"/>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9"/>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2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1"/>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22"/>
        <c:spPr>
          <a:solidFill>
            <a:srgbClr val="FFCC66"/>
          </a:solidFill>
          <a:ln>
            <a:noFill/>
          </a:ln>
          <a:effectLst/>
          <a:scene3d>
            <a:camera prst="orthographicFront"/>
            <a:lightRig rig="brightRoom" dir="t"/>
          </a:scene3d>
          <a:sp3d prstMaterial="flat">
            <a:bevelT w="50800" h="101600" prst="angle"/>
            <a:contourClr>
              <a:srgbClr val="000000"/>
            </a:contourClr>
          </a:sp3d>
        </c:spPr>
      </c:pivotFmt>
      <c:pivotFmt>
        <c:idx val="23"/>
        <c:spPr>
          <a:solidFill>
            <a:srgbClr val="00B050"/>
          </a:solidFill>
          <a:ln>
            <a:noFill/>
          </a:ln>
          <a:effectLst/>
          <a:scene3d>
            <a:camera prst="orthographicFront"/>
            <a:lightRig rig="brightRoom" dir="t"/>
          </a:scene3d>
          <a:sp3d prstMaterial="flat">
            <a:bevelT w="50800" h="101600" prst="angle"/>
            <a:contourClr>
              <a:srgbClr val="000000"/>
            </a:contourClr>
          </a:sp3d>
        </c:spPr>
      </c:pivotFmt>
    </c:pivotFmts>
    <c:plotArea>
      <c:layout>
        <c:manualLayout>
          <c:layoutTarget val="inner"/>
          <c:xMode val="edge"/>
          <c:yMode val="edge"/>
          <c:x val="0.3811791433083333"/>
          <c:y val="0.26747293105250342"/>
          <c:w val="0.23037791306689526"/>
          <c:h val="0.68364599730717512"/>
        </c:manualLayout>
      </c:layout>
      <c:pieChart>
        <c:varyColors val="1"/>
        <c:ser>
          <c:idx val="0"/>
          <c:order val="0"/>
          <c:tx>
            <c:strRef>
              <c:f>GRAFICOS!$C$349</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BA62-4293-A86D-6D8C39853AE3}"/>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8-BA62-4293-A86D-6D8C39853AE3}"/>
              </c:ext>
            </c:extLst>
          </c:dPt>
          <c:dPt>
            <c:idx val="2"/>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BA62-4293-A86D-6D8C39853AE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GRAFICOS!$B$350:$B$352</c:f>
              <c:strCache>
                <c:ptCount val="3"/>
                <c:pt idx="0">
                  <c:v>Ejecución.</c:v>
                </c:pt>
                <c:pt idx="1">
                  <c:v>Saldo por ejecutar.</c:v>
                </c:pt>
                <c:pt idx="2">
                  <c:v>Saldo disponible.</c:v>
                </c:pt>
              </c:strCache>
            </c:strRef>
          </c:cat>
          <c:val>
            <c:numRef>
              <c:f>GRAFICOS!$C$350:$C$352</c:f>
              <c:numCache>
                <c:formatCode>_(* #,##0_);_(* \(#,##0\);_(* "-"_);_(@_)</c:formatCode>
                <c:ptCount val="3"/>
                <c:pt idx="0">
                  <c:v>1382983.4129999999</c:v>
                </c:pt>
                <c:pt idx="1">
                  <c:v>764472.47100000014</c:v>
                </c:pt>
                <c:pt idx="2">
                  <c:v>6347337.1160000004</c:v>
                </c:pt>
              </c:numCache>
            </c:numRef>
          </c:val>
          <c:extLst xmlns:c16r2="http://schemas.microsoft.com/office/drawing/2015/06/chart">
            <c:ext xmlns:c16="http://schemas.microsoft.com/office/drawing/2014/chart" uri="{C3380CC4-5D6E-409C-BE32-E72D297353CC}">
              <c16:uniqueId val="{00000006-BA62-4293-A86D-6D8C39853AE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5835867363426421"/>
          <c:y val="0.17510017693515698"/>
          <c:w val="0.20443403606807214"/>
          <c:h val="7.4573223164725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de 2023 (1) (1).xlsx]GRAFICOS!TablaDinámica25</c:name>
    <c:fmtId val="0"/>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SITUACIóN PRESUPUESTARIA al MES DE abril </a:t>
            </a:r>
            <a:r>
              <a:rPr lang="en-US" sz="1400" b="1" i="0" u="none" strike="noStrike" cap="all" baseline="0">
                <a:effectLst/>
              </a:rPr>
              <a:t>de 2023</a:t>
            </a:r>
            <a:endParaRPr lang="es-CL"/>
          </a:p>
          <a:p>
            <a:pPr>
              <a:defRPr/>
            </a:pPr>
            <a:r>
              <a:rPr lang="en-US"/>
              <a:t>PROGRAMA P03 PROGRAMAS </a:t>
            </a:r>
            <a:r>
              <a:rPr lang="en-US" sz="1400" b="1" i="0" u="none" strike="noStrike" kern="1200" cap="all" spc="50" baseline="0">
                <a:solidFill>
                  <a:sysClr val="windowText" lastClr="000000">
                    <a:lumMod val="65000"/>
                    <a:lumOff val="35000"/>
                  </a:sysClr>
                </a:solidFill>
                <a:latin typeface="+mn-lt"/>
                <a:ea typeface="+mn-ea"/>
                <a:cs typeface="+mn-cs"/>
              </a:rPr>
              <a:t>DE</a:t>
            </a:r>
            <a:r>
              <a:rPr lang="en-US"/>
              <a:t> DESARROLLO LOCAL</a:t>
            </a:r>
            <a:endParaRPr lang="es-CL"/>
          </a:p>
          <a:p>
            <a:pPr>
              <a:defRPr/>
            </a:pPr>
            <a:endParaRPr lang="en-US"/>
          </a:p>
        </c:rich>
      </c:tx>
      <c:layout>
        <c:manualLayout>
          <c:xMode val="edge"/>
          <c:yMode val="edge"/>
          <c:x val="0.35033028468977312"/>
          <c:y val="6.631832919426664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marker>
          <c:spPr>
            <a:solidFill>
              <a:schemeClr val="accent1"/>
            </a:solidFill>
            <a:ln w="9525">
              <a:solidFill>
                <a:schemeClr val="lt1"/>
              </a:solidFill>
            </a:ln>
            <a:effectLst/>
          </c:spPr>
        </c:marker>
        <c:dLbl>
          <c:idx val="0"/>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5"/>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6"/>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7"/>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8"/>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9"/>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0"/>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2"/>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14"/>
        <c:spPr>
          <a:solidFill>
            <a:srgbClr val="FFCC66"/>
          </a:solidFill>
          <a:ln>
            <a:noFill/>
          </a:ln>
          <a:effectLst/>
          <a:scene3d>
            <a:camera prst="orthographicFront"/>
            <a:lightRig rig="brightRoom" dir="t"/>
          </a:scene3d>
          <a:sp3d prstMaterial="flat">
            <a:bevelT w="50800" h="101600" prst="angle"/>
            <a:contourClr>
              <a:srgbClr val="000000"/>
            </a:contourClr>
          </a:sp3d>
        </c:spPr>
        <c:dLbl>
          <c:idx val="0"/>
          <c:layout>
            <c:manualLayout>
              <c:x val="-3.4888777419883929E-2"/>
              <c:y val="-1.10125629944812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5"/>
        <c:spPr>
          <a:solidFill>
            <a:srgbClr val="00B050"/>
          </a:solidFill>
          <a:ln>
            <a:noFill/>
          </a:ln>
          <a:effectLst/>
          <a:scene3d>
            <a:camera prst="orthographicFront"/>
            <a:lightRig rig="brightRoom" dir="t"/>
          </a:scene3d>
          <a:sp3d prstMaterial="flat">
            <a:bevelT w="50800" h="101600" prst="angle"/>
            <a:contourClr>
              <a:srgbClr val="000000"/>
            </a:contourClr>
          </a:sp3d>
        </c:spPr>
        <c:dLbl>
          <c:idx val="0"/>
          <c:layout>
            <c:manualLayout>
              <c:x val="4.8527967637103479E-2"/>
              <c:y val="-7.619049047440774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8918326174320611"/>
          <c:y val="0.24466993498731446"/>
          <c:w val="0.22984695701538335"/>
          <c:h val="0.72372086245833611"/>
        </c:manualLayout>
      </c:layout>
      <c:pieChart>
        <c:varyColors val="1"/>
        <c:ser>
          <c:idx val="0"/>
          <c:order val="0"/>
          <c:tx>
            <c:strRef>
              <c:f>GRAFICOS!$C$376</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C-63B8-4C64-9A6E-DC09D2B7EDF4}"/>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0-63B8-4C64-9A6E-DC09D2B7EDF4}"/>
              </c:ext>
            </c:extLst>
          </c:dPt>
          <c:dPt>
            <c:idx val="2"/>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5-63B8-4C64-9A6E-DC09D2B7EDF4}"/>
              </c:ext>
            </c:extLst>
          </c:dPt>
          <c:dLbls>
            <c:dLbl>
              <c:idx val="1"/>
              <c:layout>
                <c:manualLayout>
                  <c:x val="-3.4888777419883929E-2"/>
                  <c:y val="-1.1012562994481251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2"/>
              <c:layout>
                <c:manualLayout>
                  <c:x val="4.8527967637103479E-2"/>
                  <c:y val="-7.6190490474407749E-2"/>
                </c:manualLayout>
              </c:layout>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GRAFICOS!$B$377:$B$379</c:f>
              <c:strCache>
                <c:ptCount val="3"/>
                <c:pt idx="0">
                  <c:v>Ejecución.</c:v>
                </c:pt>
                <c:pt idx="1">
                  <c:v>Saldo por ejecutar.</c:v>
                </c:pt>
                <c:pt idx="2">
                  <c:v>Saldo disponible.</c:v>
                </c:pt>
              </c:strCache>
            </c:strRef>
          </c:cat>
          <c:val>
            <c:numRef>
              <c:f>GRAFICOS!$C$377:$C$379</c:f>
              <c:numCache>
                <c:formatCode>General</c:formatCode>
                <c:ptCount val="3"/>
                <c:pt idx="0">
                  <c:v>107574799.59900001</c:v>
                </c:pt>
                <c:pt idx="1">
                  <c:v>6366325.0059999973</c:v>
                </c:pt>
                <c:pt idx="2">
                  <c:v>157506118.39499998</c:v>
                </c:pt>
              </c:numCache>
            </c:numRef>
          </c:val>
          <c:extLst xmlns:c16r2="http://schemas.microsoft.com/office/drawing/2015/06/chart">
            <c:ext xmlns:c16="http://schemas.microsoft.com/office/drawing/2014/chart" uri="{C3380CC4-5D6E-409C-BE32-E72D297353CC}">
              <c16:uniqueId val="{00000006-63B8-4C64-9A6E-DC09D2B7ED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5500834469613268"/>
          <c:y val="0.20469391409893659"/>
          <c:w val="0.20328646153156041"/>
          <c:h val="4.01788601760142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de 2023 (1) (1).xlsx]GRAFICOS!TablaDinámica26</c:name>
    <c:fmtId val="0"/>
  </c:pivotSource>
  <c:chart>
    <c:title>
      <c:tx>
        <c:rich>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r>
              <a:rPr lang="en-US" sz="1400" b="1" i="0" u="none" strike="noStrike" kern="1200" cap="all" spc="50" baseline="0">
                <a:solidFill>
                  <a:sysClr val="windowText" lastClr="000000">
                    <a:lumMod val="65000"/>
                    <a:lumOff val="35000"/>
                  </a:sysClr>
                </a:solidFill>
                <a:latin typeface="+mn-lt"/>
                <a:ea typeface="+mn-ea"/>
                <a:cs typeface="+mn-cs"/>
              </a:rPr>
              <a:t>SITUACIóN PRESUPUESTARIA al MES de abril </a:t>
            </a:r>
            <a:r>
              <a:rPr lang="en-US" sz="1400" b="1" i="0" u="none" strike="noStrike" cap="all" baseline="0">
                <a:effectLst/>
              </a:rPr>
              <a:t>de 2023</a:t>
            </a:r>
            <a:endParaRPr lang="es-CL" sz="1400" b="1" i="0" u="none" strike="noStrike" kern="1200" cap="all" spc="50" baseline="0">
              <a:solidFill>
                <a:sysClr val="windowText" lastClr="000000">
                  <a:lumMod val="65000"/>
                  <a:lumOff val="35000"/>
                </a:sysClr>
              </a:solidFill>
              <a:latin typeface="+mn-lt"/>
              <a:ea typeface="+mn-ea"/>
              <a:cs typeface="+mn-cs"/>
            </a:endParaRPr>
          </a:p>
          <a:p>
            <a:pPr algn="ctr" rtl="0">
              <a:defRPr>
                <a:solidFill>
                  <a:sysClr val="windowText" lastClr="000000">
                    <a:lumMod val="65000"/>
                    <a:lumOff val="35000"/>
                  </a:sysClr>
                </a:solidFill>
              </a:defRPr>
            </a:pPr>
            <a:r>
              <a:rPr lang="en-US" sz="1400" b="1" i="0" u="none" strike="noStrike" kern="1200" cap="all" spc="50" baseline="0">
                <a:solidFill>
                  <a:sysClr val="windowText" lastClr="000000">
                    <a:lumMod val="65000"/>
                    <a:lumOff val="35000"/>
                  </a:sysClr>
                </a:solidFill>
                <a:latin typeface="+mn-lt"/>
                <a:ea typeface="+mn-ea"/>
                <a:cs typeface="+mn-cs"/>
              </a:rPr>
              <a:t>PROGRAMA p05 TRANSFERENCIAS A GOBIERNOS REGIONALES</a:t>
            </a:r>
            <a:endParaRPr lang="es-CL" sz="1400" b="1" i="0" u="none" strike="noStrike" kern="1200" cap="all" spc="50" baseline="0">
              <a:solidFill>
                <a:sysClr val="windowText" lastClr="000000">
                  <a:lumMod val="65000"/>
                  <a:lumOff val="35000"/>
                </a:sysClr>
              </a:solidFill>
              <a:latin typeface="+mn-lt"/>
              <a:ea typeface="+mn-ea"/>
              <a:cs typeface="+mn-cs"/>
            </a:endParaRPr>
          </a:p>
        </c:rich>
      </c:tx>
      <c:layout>
        <c:manualLayout>
          <c:xMode val="edge"/>
          <c:yMode val="edge"/>
          <c:x val="0.3519874039689041"/>
          <c:y val="4.7394797030433644E-2"/>
        </c:manualLayout>
      </c:layout>
      <c:overlay val="0"/>
      <c:spPr>
        <a:noFill/>
        <a:ln>
          <a:noFill/>
        </a:ln>
        <a:effectLst/>
      </c:spPr>
      <c:txPr>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endParaRPr lang="es-CL"/>
        </a:p>
      </c:txPr>
    </c:title>
    <c:autoTitleDeleted val="0"/>
    <c:pivotFmts>
      <c:pivotFmt>
        <c:idx val="0"/>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2"/>
        <c:spPr>
          <a:solidFill>
            <a:srgbClr val="FF0000"/>
          </a:solidFill>
          <a:ln>
            <a:noFill/>
          </a:ln>
          <a:effectLst/>
          <a:scene3d>
            <a:camera prst="orthographicFront"/>
            <a:lightRig rig="brightRoom" dir="t"/>
          </a:scene3d>
          <a:sp3d prstMaterial="flat">
            <a:bevelT w="50800" h="101600" prst="angle"/>
            <a:contourClr>
              <a:srgbClr val="000000"/>
            </a:contourClr>
          </a:sp3d>
        </c:spPr>
      </c:pivotFmt>
      <c:pivotFmt>
        <c:idx val="3"/>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4"/>
        <c:spPr>
          <a:solidFill>
            <a:srgbClr val="FF0000"/>
          </a:solidFill>
          <a:ln>
            <a:noFill/>
          </a:ln>
          <a:effectLst/>
          <a:scene3d>
            <a:camera prst="orthographicFront"/>
            <a:lightRig rig="brightRoom" dir="t"/>
          </a:scene3d>
          <a:sp3d prstMaterial="flat">
            <a:bevelT w="50800" h="101600" prst="angle"/>
            <a:contourClr>
              <a:srgbClr val="000000"/>
            </a:contourClr>
          </a:sp3d>
        </c:spPr>
        <c:dLbl>
          <c:idx val="0"/>
          <c:layout>
            <c:manualLayout>
              <c:x val="-5.9474789033052778E-3"/>
              <c:y val="0.134226339783348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5"/>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6"/>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dLblPos val="inEnd"/>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7"/>
        <c:spPr>
          <a:solidFill>
            <a:srgbClr val="EB3C46"/>
          </a:solidFill>
          <a:ln>
            <a:noFill/>
          </a:ln>
          <a:effectLst/>
          <a:scene3d>
            <a:camera prst="orthographicFront"/>
            <a:lightRig rig="brightRoom" dir="t"/>
          </a:scene3d>
          <a:sp3d prstMaterial="flat">
            <a:bevelT w="50800" h="101600" prst="angle"/>
            <a:contourClr>
              <a:srgbClr val="000000"/>
            </a:contourClr>
          </a:sp3d>
        </c:spPr>
      </c:pivotFmt>
      <c:pivotFmt>
        <c:idx val="8"/>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9"/>
        <c:spPr>
          <a:solidFill>
            <a:srgbClr val="FF0000"/>
          </a:solidFill>
          <a:ln>
            <a:noFill/>
          </a:ln>
          <a:effectLst/>
          <a:scene3d>
            <a:camera prst="orthographicFront"/>
            <a:lightRig rig="brightRoom" dir="t"/>
          </a:scene3d>
          <a:sp3d prstMaterial="flat">
            <a:bevelT w="50800" h="101600" prst="angle"/>
            <a:contourClr>
              <a:srgbClr val="000000"/>
            </a:contourClr>
          </a:sp3d>
        </c:spPr>
        <c:dLbl>
          <c:idx val="0"/>
          <c:layout>
            <c:manualLayout>
              <c:x val="-5.9474789033052778E-3"/>
              <c:y val="0.134226339783348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pivotFmt>
      <c:pivotFmt>
        <c:idx val="11"/>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2"/>
        <c:spPr>
          <a:solidFill>
            <a:srgbClr val="EB3C46"/>
          </a:solidFill>
          <a:ln>
            <a:noFill/>
          </a:ln>
          <a:effectLst/>
          <a:scene3d>
            <a:camera prst="orthographicFront"/>
            <a:lightRig rig="brightRoom" dir="t"/>
          </a:scene3d>
          <a:sp3d prstMaterial="flat">
            <a:bevelT w="50800" h="101600" prst="angle"/>
            <a:contourClr>
              <a:srgbClr val="000000"/>
            </a:contourClr>
          </a:sp3d>
        </c:spPr>
        <c:dLbl>
          <c:idx val="0"/>
          <c:layout>
            <c:manualLayout>
              <c:x val="-6.2852469815180417E-3"/>
              <c:y val="8.786904887282330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3"/>
        <c:spPr>
          <a:solidFill>
            <a:srgbClr val="FFCC66"/>
          </a:solidFill>
          <a:ln>
            <a:noFill/>
          </a:ln>
          <a:effectLst/>
          <a:scene3d>
            <a:camera prst="orthographicFront"/>
            <a:lightRig rig="brightRoom" dir="t"/>
          </a:scene3d>
          <a:sp3d prstMaterial="flat">
            <a:bevelT w="50800" h="101600" prst="angle"/>
            <a:contourClr>
              <a:srgbClr val="000000"/>
            </a:contourClr>
          </a:sp3d>
        </c:spPr>
        <c:dLbl>
          <c:idx val="0"/>
          <c:layout>
            <c:manualLayout>
              <c:x val="2.0670308668867852E-2"/>
              <c:y val="0.1369041889427554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4"/>
        <c:spPr>
          <a:solidFill>
            <a:srgbClr val="009A46"/>
          </a:solidFill>
          <a:ln>
            <a:noFill/>
          </a:ln>
          <a:effectLst/>
          <a:scene3d>
            <a:camera prst="orthographicFront"/>
            <a:lightRig rig="brightRoom" dir="t"/>
          </a:scene3d>
          <a:sp3d prstMaterial="flat">
            <a:bevelT w="50800" h="101600" prst="angle"/>
            <a:contourClr>
              <a:srgbClr val="000000"/>
            </a:contourClr>
          </a:sp3d>
        </c:spPr>
        <c:dLbl>
          <c:idx val="0"/>
          <c:layout>
            <c:manualLayout>
              <c:x val="-1.134743364351058E-2"/>
              <c:y val="-5.992508515024304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9280781443877211"/>
          <c:y val="0.29413364558549354"/>
          <c:w val="0.23518957275050373"/>
          <c:h val="0.70451157563904676"/>
        </c:manualLayout>
      </c:layout>
      <c:pieChart>
        <c:varyColors val="1"/>
        <c:ser>
          <c:idx val="0"/>
          <c:order val="0"/>
          <c:tx>
            <c:strRef>
              <c:f>GRAFICOS!$C$410</c:f>
              <c:strCache>
                <c:ptCount val="1"/>
                <c:pt idx="0">
                  <c:v>Total</c:v>
                </c:pt>
              </c:strCache>
            </c:strRef>
          </c:tx>
          <c:dPt>
            <c:idx val="0"/>
            <c:bubble3D val="0"/>
            <c:spPr>
              <a:solidFill>
                <a:srgbClr val="EB3C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C-0B73-4BF4-8E7B-632EAC46ABE4}"/>
              </c:ext>
            </c:extLst>
          </c:dPt>
          <c:dPt>
            <c:idx val="1"/>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1-0B73-4BF4-8E7B-632EAC46ABE4}"/>
              </c:ext>
            </c:extLst>
          </c:dPt>
          <c:dPt>
            <c:idx val="2"/>
            <c:bubble3D val="0"/>
            <c:spPr>
              <a:solidFill>
                <a:srgbClr val="009A4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6-0B73-4BF4-8E7B-632EAC46ABE4}"/>
              </c:ext>
            </c:extLst>
          </c:dPt>
          <c:dLbls>
            <c:dLbl>
              <c:idx val="0"/>
              <c:layout>
                <c:manualLayout>
                  <c:x val="-6.2852469815180417E-3"/>
                  <c:y val="8.7869048872823305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1"/>
              <c:layout>
                <c:manualLayout>
                  <c:x val="2.0670308668867852E-2"/>
                  <c:y val="0.13690418894275541"/>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dLbl>
              <c:idx val="2"/>
              <c:layout>
                <c:manualLayout>
                  <c:x val="-1.134743364351058E-2"/>
                  <c:y val="-5.992508515024304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GRAFICOS!$B$411:$B$413</c:f>
              <c:strCache>
                <c:ptCount val="3"/>
                <c:pt idx="0">
                  <c:v>Ejecución.</c:v>
                </c:pt>
                <c:pt idx="1">
                  <c:v>Saldo por ejecutar.</c:v>
                </c:pt>
                <c:pt idx="2">
                  <c:v>Saldo disponible M$.</c:v>
                </c:pt>
              </c:strCache>
            </c:strRef>
          </c:cat>
          <c:val>
            <c:numRef>
              <c:f>GRAFICOS!$C$411:$C$413</c:f>
              <c:numCache>
                <c:formatCode>_(* #,##0_);_(* \(#,##0\);_(* "-"_);_(@_)</c:formatCode>
                <c:ptCount val="3"/>
                <c:pt idx="0">
                  <c:v>0</c:v>
                </c:pt>
                <c:pt idx="1">
                  <c:v>0</c:v>
                </c:pt>
                <c:pt idx="2">
                  <c:v>103303834</c:v>
                </c:pt>
              </c:numCache>
            </c:numRef>
          </c:val>
          <c:extLst xmlns:c16r2="http://schemas.microsoft.com/office/drawing/2015/06/chart">
            <c:ext xmlns:c16="http://schemas.microsoft.com/office/drawing/2014/chart" uri="{C3380CC4-5D6E-409C-BE32-E72D297353CC}">
              <c16:uniqueId val="{00000006-0B73-4BF4-8E7B-632EAC46ABE4}"/>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3518302623188122"/>
          <c:y val="0.17013080843941489"/>
          <c:w val="0.2206083935377437"/>
          <c:h val="7.5277042633819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de 2023 (1) (1).xlsx]GRAFICOS!TablaDinámica7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600" b="1" i="0" u="none" strike="noStrike" kern="1200" cap="all" spc="50" baseline="0">
                <a:solidFill>
                  <a:sysClr val="windowText" lastClr="000000">
                    <a:lumMod val="65000"/>
                    <a:lumOff val="35000"/>
                  </a:sysClr>
                </a:solidFill>
                <a:latin typeface="+mn-lt"/>
                <a:ea typeface="+mn-ea"/>
                <a:cs typeface="+mn-cs"/>
              </a:rPr>
              <a:t>Comparativo</a:t>
            </a:r>
            <a:r>
              <a:rPr lang="es-CL" sz="1600" b="1" i="0" u="none" strike="noStrike" kern="1200" cap="all" spc="120" normalizeH="0" baseline="0">
                <a:solidFill>
                  <a:sysClr val="windowText" lastClr="000000">
                    <a:lumMod val="65000"/>
                    <a:lumOff val="35000"/>
                  </a:sysClr>
                </a:solidFill>
                <a:latin typeface="+mn-lt"/>
                <a:ea typeface="+mn-ea"/>
                <a:cs typeface="+mn-cs"/>
              </a:rPr>
              <a:t> porcentual de ejecución por subtítulo presupuestario</a:t>
            </a:r>
          </a:p>
          <a:p>
            <a:pPr>
              <a:defRPr/>
            </a:pPr>
            <a:r>
              <a:rPr lang="es-CL" sz="1600" b="1" i="0" u="none" strike="noStrike" kern="1200" cap="all" spc="120" normalizeH="0" baseline="0">
                <a:solidFill>
                  <a:sysClr val="windowText" lastClr="000000">
                    <a:lumMod val="65000"/>
                    <a:lumOff val="35000"/>
                  </a:sysClr>
                </a:solidFill>
                <a:latin typeface="+mn-lt"/>
                <a:ea typeface="+mn-ea"/>
                <a:cs typeface="+mn-cs"/>
              </a:rPr>
              <a:t>año 2022 vs año 2023</a:t>
            </a:r>
          </a:p>
          <a:p>
            <a:pPr>
              <a:defRPr/>
            </a:pPr>
            <a:r>
              <a:rPr lang="es-CL" sz="1600" b="1" i="0" u="none" strike="noStrike" kern="1200" cap="all" spc="120" normalizeH="0" baseline="0">
                <a:solidFill>
                  <a:sysClr val="windowText" lastClr="000000">
                    <a:lumMod val="65000"/>
                    <a:lumOff val="35000"/>
                  </a:sysClr>
                </a:solidFill>
                <a:latin typeface="+mn-lt"/>
                <a:ea typeface="+mn-ea"/>
                <a:cs typeface="+mn-cs"/>
              </a:rPr>
              <a:t>A abril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rgbClr val="002060"/>
          </a:solidFill>
          <a:ln>
            <a:noFill/>
          </a:ln>
          <a:effectLst/>
        </c:spPr>
      </c:pivotFmt>
      <c:pivotFmt>
        <c:idx val="6"/>
        <c:spPr>
          <a:solidFill>
            <a:srgbClr val="FFC000"/>
          </a:solidFill>
          <a:ln>
            <a:noFill/>
          </a:ln>
          <a:effectLst/>
        </c:spPr>
      </c:pivotFmt>
      <c:pivotFmt>
        <c:idx val="7"/>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spPr>
          <a:solidFill>
            <a:srgbClr val="FFCC66"/>
          </a:solidFill>
          <a:ln>
            <a:solidFill>
              <a:srgbClr val="FFCC66"/>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5"/>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6"/>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7"/>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8"/>
        <c:spPr>
          <a:solidFill>
            <a:srgbClr val="FFCC66"/>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9"/>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0"/>
        <c:spPr>
          <a:solidFill>
            <a:srgbClr val="002060"/>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clustered"/>
        <c:varyColors val="0"/>
        <c:ser>
          <c:idx val="0"/>
          <c:order val="0"/>
          <c:tx>
            <c:strRef>
              <c:f>GRAFICOS!$C$136</c:f>
              <c:strCache>
                <c:ptCount val="1"/>
                <c:pt idx="0">
                  <c:v>% de Ejecución  2023 M$.</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GRAFICOS!$B$137:$B$146</c:f>
              <c:strCache>
                <c:ptCount val="9"/>
                <c:pt idx="0">
                  <c:v>ADQUISICIÓN DE ACTIVOS NO FINANCIEROS</c:v>
                </c:pt>
                <c:pt idx="1">
                  <c:v>BIENES Y SERVICIOS DE CONSUMO</c:v>
                </c:pt>
                <c:pt idx="2">
                  <c:v>GASTOS EN PERSONAL</c:v>
                </c:pt>
                <c:pt idx="3">
                  <c:v>INGRESOS AL FISCO</c:v>
                </c:pt>
                <c:pt idx="4">
                  <c:v>PRESTACIONES DE SEGURIDAD SOCIAL</c:v>
                </c:pt>
                <c:pt idx="5">
                  <c:v>PRESTAMOS </c:v>
                </c:pt>
                <c:pt idx="6">
                  <c:v>SERVICIO DE LA DEUDA</c:v>
                </c:pt>
                <c:pt idx="7">
                  <c:v>TRANSFERENCIAS CORRIENTES </c:v>
                </c:pt>
                <c:pt idx="8">
                  <c:v>TRANSFERENCIAS DE CAPITAL </c:v>
                </c:pt>
              </c:strCache>
            </c:strRef>
          </c:cat>
          <c:val>
            <c:numRef>
              <c:f>GRAFICOS!$C$137:$C$146</c:f>
              <c:numCache>
                <c:formatCode>0%</c:formatCode>
                <c:ptCount val="9"/>
                <c:pt idx="0">
                  <c:v>1.246421055483801E-2</c:v>
                </c:pt>
                <c:pt idx="1">
                  <c:v>0.23390632726799687</c:v>
                </c:pt>
                <c:pt idx="2">
                  <c:v>0.3284845567957006</c:v>
                </c:pt>
                <c:pt idx="3">
                  <c:v>0.44587933421604725</c:v>
                </c:pt>
                <c:pt idx="4">
                  <c:v>0</c:v>
                </c:pt>
                <c:pt idx="5">
                  <c:v>5.6867441316811151E-2</c:v>
                </c:pt>
                <c:pt idx="6">
                  <c:v>0.52966892571318724</c:v>
                </c:pt>
                <c:pt idx="7">
                  <c:v>0.89308974556512399</c:v>
                </c:pt>
                <c:pt idx="8">
                  <c:v>0.10853927385716025</c:v>
                </c:pt>
              </c:numCache>
            </c:numRef>
          </c:val>
          <c:extLst xmlns:c16r2="http://schemas.microsoft.com/office/drawing/2015/06/chart">
            <c:ext xmlns:c16="http://schemas.microsoft.com/office/drawing/2014/chart" uri="{C3380CC4-5D6E-409C-BE32-E72D297353CC}">
              <c16:uniqueId val="{00000000-1082-4451-90DD-B8B6A36C795D}"/>
            </c:ext>
          </c:extLst>
        </c:ser>
        <c:ser>
          <c:idx val="1"/>
          <c:order val="1"/>
          <c:tx>
            <c:strRef>
              <c:f>GRAFICOS!$D$136</c:f>
              <c:strCache>
                <c:ptCount val="1"/>
                <c:pt idx="0">
                  <c:v>% Ejecución 2022 M$.</c:v>
                </c:pt>
              </c:strCache>
            </c:strRef>
          </c:tx>
          <c:spPr>
            <a:solidFill>
              <a:srgbClr val="FFCC6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GRAFICOS!$B$137:$B$146</c:f>
              <c:strCache>
                <c:ptCount val="9"/>
                <c:pt idx="0">
                  <c:v>ADQUISICIÓN DE ACTIVOS NO FINANCIEROS</c:v>
                </c:pt>
                <c:pt idx="1">
                  <c:v>BIENES Y SERVICIOS DE CONSUMO</c:v>
                </c:pt>
                <c:pt idx="2">
                  <c:v>GASTOS EN PERSONAL</c:v>
                </c:pt>
                <c:pt idx="3">
                  <c:v>INGRESOS AL FISCO</c:v>
                </c:pt>
                <c:pt idx="4">
                  <c:v>PRESTACIONES DE SEGURIDAD SOCIAL</c:v>
                </c:pt>
                <c:pt idx="5">
                  <c:v>PRESTAMOS </c:v>
                </c:pt>
                <c:pt idx="6">
                  <c:v>SERVICIO DE LA DEUDA</c:v>
                </c:pt>
                <c:pt idx="7">
                  <c:v>TRANSFERENCIAS CORRIENTES </c:v>
                </c:pt>
                <c:pt idx="8">
                  <c:v>TRANSFERENCIAS DE CAPITAL </c:v>
                </c:pt>
              </c:strCache>
            </c:strRef>
          </c:cat>
          <c:val>
            <c:numRef>
              <c:f>GRAFICOS!$D$137:$D$146</c:f>
              <c:numCache>
                <c:formatCode>0%</c:formatCode>
                <c:ptCount val="9"/>
                <c:pt idx="0">
                  <c:v>3.849826907007282E-3</c:v>
                </c:pt>
                <c:pt idx="1">
                  <c:v>0.21730259243338432</c:v>
                </c:pt>
                <c:pt idx="2">
                  <c:v>0.31828236021690581</c:v>
                </c:pt>
                <c:pt idx="3">
                  <c:v>0</c:v>
                </c:pt>
                <c:pt idx="4">
                  <c:v>1</c:v>
                </c:pt>
                <c:pt idx="5">
                  <c:v>0</c:v>
                </c:pt>
                <c:pt idx="6">
                  <c:v>0.72347075050068044</c:v>
                </c:pt>
                <c:pt idx="7">
                  <c:v>0.89255828944957494</c:v>
                </c:pt>
                <c:pt idx="8">
                  <c:v>0.11979588536377889</c:v>
                </c:pt>
              </c:numCache>
            </c:numRef>
          </c:val>
          <c:extLst xmlns:c16r2="http://schemas.microsoft.com/office/drawing/2015/06/chart">
            <c:ext xmlns:c16="http://schemas.microsoft.com/office/drawing/2014/chart" uri="{C3380CC4-5D6E-409C-BE32-E72D297353CC}">
              <c16:uniqueId val="{00000000-2DAE-4D17-8168-0D2160B9B357}"/>
            </c:ext>
          </c:extLst>
        </c:ser>
        <c:dLbls>
          <c:showLegendKey val="0"/>
          <c:showVal val="1"/>
          <c:showCatName val="0"/>
          <c:showSerName val="0"/>
          <c:showPercent val="0"/>
          <c:showBubbleSize val="0"/>
        </c:dLbls>
        <c:gapWidth val="150"/>
        <c:overlap val="-25"/>
        <c:axId val="13860384"/>
        <c:axId val="13854400"/>
      </c:barChart>
      <c:catAx>
        <c:axId val="1386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L"/>
          </a:p>
        </c:txPr>
        <c:crossAx val="13854400"/>
        <c:crosses val="autoZero"/>
        <c:auto val="1"/>
        <c:lblAlgn val="ctr"/>
        <c:lblOffset val="100"/>
        <c:noMultiLvlLbl val="0"/>
      </c:catAx>
      <c:valAx>
        <c:axId val="13854400"/>
        <c:scaling>
          <c:orientation val="minMax"/>
        </c:scaling>
        <c:delete val="1"/>
        <c:axPos val="l"/>
        <c:numFmt formatCode="0%" sourceLinked="1"/>
        <c:majorTickMark val="none"/>
        <c:minorTickMark val="none"/>
        <c:tickLblPos val="nextTo"/>
        <c:crossAx val="13860384"/>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de 2023 (1) (1).xlsx]GRAFICOS!TablaDinámica10</c:name>
    <c:fmtId val="0"/>
  </c:pivotSource>
  <c:chart>
    <c:title>
      <c:tx>
        <c:rich>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r>
              <a:rPr lang="es-CL" sz="1400" b="1" i="0" u="none" strike="noStrike" kern="1200" cap="all" spc="50" baseline="0">
                <a:solidFill>
                  <a:sysClr val="windowText" lastClr="000000">
                    <a:lumMod val="65000"/>
                    <a:lumOff val="35000"/>
                  </a:sysClr>
                </a:solidFill>
                <a:latin typeface="+mn-lt"/>
                <a:ea typeface="+mn-ea"/>
                <a:cs typeface="+mn-cs"/>
              </a:rPr>
              <a:t>COMPARATIVO PORCENTUAL DE EJECUCIÓN POR PROGRAMA PRESUPUESTARIA </a:t>
            </a:r>
          </a:p>
          <a:p>
            <a:pPr algn="ctr" rtl="0">
              <a:defRPr b="1" cap="all" spc="50">
                <a:solidFill>
                  <a:sysClr val="windowText" lastClr="000000">
                    <a:lumMod val="65000"/>
                    <a:lumOff val="35000"/>
                  </a:sysClr>
                </a:solidFill>
              </a:defRPr>
            </a:pPr>
            <a:r>
              <a:rPr lang="es-CL" sz="1400" b="1" i="0" u="none" strike="noStrike" kern="1200" cap="all" spc="50" baseline="0">
                <a:solidFill>
                  <a:sysClr val="windowText" lastClr="000000">
                    <a:lumMod val="65000"/>
                    <a:lumOff val="35000"/>
                  </a:sysClr>
                </a:solidFill>
                <a:latin typeface="+mn-lt"/>
                <a:ea typeface="+mn-ea"/>
                <a:cs typeface="+mn-cs"/>
              </a:rPr>
              <a:t>AÑO 2022 VS 2023 </a:t>
            </a:r>
          </a:p>
          <a:p>
            <a:pPr algn="ctr" rtl="0">
              <a:defRPr b="1" cap="all" spc="50">
                <a:solidFill>
                  <a:sysClr val="windowText" lastClr="000000">
                    <a:lumMod val="65000"/>
                    <a:lumOff val="35000"/>
                  </a:sysClr>
                </a:solidFill>
              </a:defRPr>
            </a:pPr>
            <a:r>
              <a:rPr lang="es-CL" sz="1400" b="1" i="0" u="none" strike="noStrike" kern="1200" cap="all" spc="50" baseline="0">
                <a:solidFill>
                  <a:sysClr val="windowText" lastClr="000000">
                    <a:lumMod val="65000"/>
                    <a:lumOff val="35000"/>
                  </a:sysClr>
                </a:solidFill>
                <a:latin typeface="+mn-lt"/>
                <a:ea typeface="+mn-ea"/>
                <a:cs typeface="+mn-cs"/>
              </a:rPr>
              <a:t>A abril</a:t>
            </a:r>
          </a:p>
        </c:rich>
      </c:tx>
      <c:layout>
        <c:manualLayout>
          <c:xMode val="edge"/>
          <c:yMode val="edge"/>
          <c:x val="0.27196686881008747"/>
          <c:y val="6.7529210097678122E-2"/>
        </c:manualLayout>
      </c:layout>
      <c:overlay val="0"/>
      <c:spPr>
        <a:noFill/>
        <a:ln>
          <a:noFill/>
        </a:ln>
        <a:effectLst/>
      </c:spPr>
      <c:txPr>
        <a:bodyPr rot="0" spcFirstLastPara="1" vertOverflow="ellipsis" vert="horz" wrap="square" anchor="ctr" anchorCtr="1"/>
        <a:lstStyle/>
        <a:p>
          <a:pPr algn="ctr" rtl="0">
            <a:defRPr sz="1400" b="1" i="0" u="none" strike="noStrike" kern="1200" cap="all" spc="50" baseline="0">
              <a:solidFill>
                <a:sysClr val="windowText" lastClr="000000">
                  <a:lumMod val="65000"/>
                  <a:lumOff val="35000"/>
                </a:sys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002060"/>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solidFill>
            <a:srgbClr val="FFCC66"/>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rgbClr val="002060"/>
          </a:solidFill>
          <a:ln>
            <a:noFill/>
          </a:ln>
          <a:effectLst/>
        </c:spPr>
      </c:pivotFmt>
    </c:pivotFmts>
    <c:plotArea>
      <c:layout/>
      <c:barChart>
        <c:barDir val="col"/>
        <c:grouping val="clustered"/>
        <c:varyColors val="0"/>
        <c:ser>
          <c:idx val="0"/>
          <c:order val="0"/>
          <c:tx>
            <c:strRef>
              <c:f>GRAFICOS!$C$287</c:f>
              <c:strCache>
                <c:ptCount val="1"/>
                <c:pt idx="0">
                  <c:v> % de Ejecución 2023 M$.</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GRAFICOS!$B$288:$B$292</c:f>
              <c:strCache>
                <c:ptCount val="4"/>
                <c:pt idx="0">
                  <c:v>PROGRAMA 01 - SUBSECRETARIA </c:v>
                </c:pt>
                <c:pt idx="1">
                  <c:v>PROGRAMA 02 - SUBNACIONAL</c:v>
                </c:pt>
                <c:pt idx="2">
                  <c:v>PROGRAMA 03 - DESARROLLO LOCAL</c:v>
                </c:pt>
                <c:pt idx="3">
                  <c:v>PROGRAMA 05 - TRANSFERENCIA GORES</c:v>
                </c:pt>
              </c:strCache>
            </c:strRef>
          </c:cat>
          <c:val>
            <c:numRef>
              <c:f>GRAFICOS!$C$288:$C$292</c:f>
              <c:numCache>
                <c:formatCode>0%</c:formatCode>
                <c:ptCount val="4"/>
                <c:pt idx="0">
                  <c:v>0.40535127949154887</c:v>
                </c:pt>
                <c:pt idx="1">
                  <c:v>0.16280366254951709</c:v>
                </c:pt>
                <c:pt idx="2">
                  <c:v>0.39630094750676842</c:v>
                </c:pt>
                <c:pt idx="3">
                  <c:v>0</c:v>
                </c:pt>
              </c:numCache>
            </c:numRef>
          </c:val>
          <c:extLst xmlns:c16r2="http://schemas.microsoft.com/office/drawing/2015/06/chart">
            <c:ext xmlns:c16="http://schemas.microsoft.com/office/drawing/2014/chart" uri="{C3380CC4-5D6E-409C-BE32-E72D297353CC}">
              <c16:uniqueId val="{00000000-2A1C-4C50-AA25-BD8D73175819}"/>
            </c:ext>
          </c:extLst>
        </c:ser>
        <c:ser>
          <c:idx val="1"/>
          <c:order val="1"/>
          <c:tx>
            <c:strRef>
              <c:f>GRAFICOS!$D$287</c:f>
              <c:strCache>
                <c:ptCount val="1"/>
                <c:pt idx="0">
                  <c:v>% Ejecución 2022 M$.</c:v>
                </c:pt>
              </c:strCache>
            </c:strRef>
          </c:tx>
          <c:spPr>
            <a:solidFill>
              <a:srgbClr val="FFCC6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GRAFICOS!$B$288:$B$292</c:f>
              <c:strCache>
                <c:ptCount val="4"/>
                <c:pt idx="0">
                  <c:v>PROGRAMA 01 - SUBSECRETARIA </c:v>
                </c:pt>
                <c:pt idx="1">
                  <c:v>PROGRAMA 02 - SUBNACIONAL</c:v>
                </c:pt>
                <c:pt idx="2">
                  <c:v>PROGRAMA 03 - DESARROLLO LOCAL</c:v>
                </c:pt>
                <c:pt idx="3">
                  <c:v>PROGRAMA 05 - TRANSFERENCIA GORES</c:v>
                </c:pt>
              </c:strCache>
            </c:strRef>
          </c:cat>
          <c:val>
            <c:numRef>
              <c:f>GRAFICOS!$D$288:$D$292</c:f>
              <c:numCache>
                <c:formatCode>0%</c:formatCode>
                <c:ptCount val="4"/>
                <c:pt idx="0">
                  <c:v>0.4362933070458857</c:v>
                </c:pt>
                <c:pt idx="1">
                  <c:v>0.25459741023271698</c:v>
                </c:pt>
                <c:pt idx="2">
                  <c:v>0.4743817344431262</c:v>
                </c:pt>
                <c:pt idx="3">
                  <c:v>0</c:v>
                </c:pt>
              </c:numCache>
            </c:numRef>
          </c:val>
          <c:extLst xmlns:c16r2="http://schemas.microsoft.com/office/drawing/2015/06/chart">
            <c:ext xmlns:c16="http://schemas.microsoft.com/office/drawing/2014/chart" uri="{C3380CC4-5D6E-409C-BE32-E72D297353CC}">
              <c16:uniqueId val="{00000001-2A1C-4C50-AA25-BD8D73175819}"/>
            </c:ext>
          </c:extLst>
        </c:ser>
        <c:dLbls>
          <c:showLegendKey val="0"/>
          <c:showVal val="1"/>
          <c:showCatName val="0"/>
          <c:showSerName val="0"/>
          <c:showPercent val="0"/>
          <c:showBubbleSize val="0"/>
        </c:dLbls>
        <c:gapWidth val="150"/>
        <c:overlap val="-25"/>
        <c:axId val="13854944"/>
        <c:axId val="13863104"/>
      </c:barChart>
      <c:catAx>
        <c:axId val="1385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L"/>
          </a:p>
        </c:txPr>
        <c:crossAx val="13863104"/>
        <c:crosses val="autoZero"/>
        <c:auto val="1"/>
        <c:lblAlgn val="ctr"/>
        <c:lblOffset val="100"/>
        <c:noMultiLvlLbl val="0"/>
      </c:catAx>
      <c:valAx>
        <c:axId val="13863104"/>
        <c:scaling>
          <c:orientation val="minMax"/>
        </c:scaling>
        <c:delete val="1"/>
        <c:axPos val="l"/>
        <c:numFmt formatCode="0%" sourceLinked="1"/>
        <c:majorTickMark val="none"/>
        <c:minorTickMark val="none"/>
        <c:tickLblPos val="nextTo"/>
        <c:crossAx val="138549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de 2023 (1) (1).xlsx]GRAFICOS!TablaDinámica8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600" b="1" i="0" u="none" strike="noStrike" kern="1200" cap="all" spc="120" normalizeH="0" baseline="0">
                <a:solidFill>
                  <a:sysClr val="windowText" lastClr="000000">
                    <a:lumMod val="65000"/>
                    <a:lumOff val="35000"/>
                  </a:sysClr>
                </a:solidFill>
                <a:latin typeface="+mn-lt"/>
                <a:ea typeface="+mn-ea"/>
                <a:cs typeface="+mn-cs"/>
              </a:rPr>
              <a:t>COMPARATIVO: PRESUPUESTO INICIAL VS PRESUPUESTO VIGENTE AÑO 2023 </a:t>
            </a:r>
          </a:p>
          <a:p>
            <a:pPr>
              <a:defRPr/>
            </a:pPr>
            <a:r>
              <a:rPr lang="es-CL" sz="1600" b="1" i="0" u="none" strike="noStrike" kern="1200" cap="all" spc="120" normalizeH="0" baseline="0">
                <a:solidFill>
                  <a:sysClr val="windowText" lastClr="000000">
                    <a:lumMod val="65000"/>
                    <a:lumOff val="35000"/>
                  </a:sysClr>
                </a:solidFill>
                <a:latin typeface="+mn-lt"/>
                <a:ea typeface="+mn-ea"/>
                <a:cs typeface="+mn-cs"/>
              </a:rPr>
              <a:t>MES DE abril POR SUBTÍTULO PRESUPUESTARIO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tx1">
              <a:lumMod val="65000"/>
              <a:lumOff val="35000"/>
            </a:schemeClr>
          </a:solidFill>
          <a:ln>
            <a:noFill/>
          </a:ln>
          <a:effectLst/>
        </c:spPr>
      </c:pivotFmt>
      <c:pivotFmt>
        <c:idx val="7"/>
        <c:spPr>
          <a:solidFill>
            <a:srgbClr val="009A46"/>
          </a:solidFill>
          <a:ln>
            <a:noFill/>
          </a:ln>
          <a:effectLst/>
        </c:spPr>
      </c:pivotFmt>
      <c:pivotFmt>
        <c:idx val="8"/>
        <c:spPr>
          <a:solidFill>
            <a:schemeClr val="tx1">
              <a:lumMod val="65000"/>
              <a:lumOff val="35000"/>
            </a:schemeClr>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solidFill>
            <a:srgbClr val="009A46"/>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002060"/>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spPr>
          <a:solidFill>
            <a:srgbClr val="FFC000"/>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spPr>
          <a:solidFill>
            <a:schemeClr val="tx1">
              <a:lumMod val="65000"/>
              <a:lumOff val="35000"/>
            </a:schemeClr>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3"/>
        <c:spPr>
          <a:solidFill>
            <a:srgbClr val="009A46"/>
          </a:solidFill>
          <a:ln>
            <a:noFill/>
          </a:ln>
          <a:effectLst/>
        </c:spPr>
        <c:marker>
          <c:symbol val="none"/>
        </c:marker>
        <c:dLbl>
          <c:idx val="0"/>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009A46"/>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spPr>
          <a:solidFill>
            <a:srgbClr val="FFCC66"/>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spPr>
          <a:solidFill>
            <a:srgbClr val="FFCC66"/>
          </a:solidFill>
          <a:ln>
            <a:noFill/>
          </a:ln>
          <a:effectLst/>
        </c:spPr>
        <c:dLbl>
          <c:idx val="0"/>
          <c:layout>
            <c:manualLayout>
              <c:x val="2.5172625740733012E-3"/>
              <c:y val="5.124555543068377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spPr>
          <a:solidFill>
            <a:srgbClr val="FFCC66"/>
          </a:solidFill>
          <a:ln>
            <a:noFill/>
          </a:ln>
          <a:effectLst/>
        </c:spPr>
        <c:dLbl>
          <c:idx val="0"/>
          <c:layout>
            <c:manualLayout>
              <c:x val="1.0858291414423392E-2"/>
              <c:y val="-3.7959670689395441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spPr>
          <a:solidFill>
            <a:srgbClr val="009A46"/>
          </a:solidFill>
          <a:ln>
            <a:noFill/>
          </a:ln>
          <a:effectLst/>
        </c:spPr>
        <c:dLbl>
          <c:idx val="0"/>
          <c:layout>
            <c:manualLayout>
              <c:x val="-8.390875246911414E-3"/>
              <c:y val="0"/>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spPr>
          <a:solidFill>
            <a:srgbClr val="FFCC66"/>
          </a:solidFill>
          <a:ln>
            <a:noFill/>
          </a:ln>
          <a:effectLst/>
        </c:spPr>
        <c:dLbl>
          <c:idx val="0"/>
          <c:layout>
            <c:manualLayout>
              <c:x val="6.712700197529009E-3"/>
              <c:y val="-1.897983534469772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spPr>
          <a:solidFill>
            <a:srgbClr val="FFCC66"/>
          </a:solidFill>
          <a:ln>
            <a:noFill/>
          </a:ln>
          <a:effectLst/>
        </c:spPr>
        <c:dLbl>
          <c:idx val="0"/>
          <c:layout>
            <c:manualLayout>
              <c:x val="8.390875246911414E-3"/>
              <c:y val="-3.7959670689395441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spPr>
          <a:solidFill>
            <a:srgbClr val="FFCC66"/>
          </a:solidFill>
          <a:ln>
            <a:noFill/>
          </a:ln>
          <a:effectLst/>
        </c:spPr>
        <c:dLbl>
          <c:idx val="0"/>
          <c:layout>
            <c:manualLayout>
              <c:x val="1.5942662969131625E-2"/>
              <c:y val="0"/>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2"/>
        <c:spPr>
          <a:solidFill>
            <a:srgbClr val="FFCC66"/>
          </a:solidFill>
          <a:ln>
            <a:noFill/>
          </a:ln>
          <a:effectLst/>
        </c:spPr>
        <c:dLbl>
          <c:idx val="0"/>
          <c:layout>
            <c:manualLayout>
              <c:x val="3.9135751939237849E-3"/>
              <c:y val="-1.3918385133072236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clustered"/>
        <c:varyColors val="0"/>
        <c:ser>
          <c:idx val="0"/>
          <c:order val="0"/>
          <c:tx>
            <c:strRef>
              <c:f>GRAFICOS!$C$3</c:f>
              <c:strCache>
                <c:ptCount val="1"/>
                <c:pt idx="0">
                  <c:v> Presupuesto Inicial 2023 M$.</c:v>
                </c:pt>
              </c:strCache>
            </c:strRef>
          </c:tx>
          <c:spPr>
            <a:solidFill>
              <a:srgbClr val="009A46"/>
            </a:solidFill>
            <a:ln>
              <a:noFill/>
            </a:ln>
            <a:effectLst/>
          </c:spPr>
          <c:invertIfNegative val="0"/>
          <c:dPt>
            <c:idx val="8"/>
            <c:invertIfNegative val="0"/>
            <c:bubble3D val="0"/>
            <c:spPr>
              <a:solidFill>
                <a:srgbClr val="009A46"/>
              </a:solidFill>
              <a:ln>
                <a:noFill/>
              </a:ln>
              <a:effectLst/>
            </c:spPr>
            <c:extLst xmlns:c16r2="http://schemas.microsoft.com/office/drawing/2015/06/chart">
              <c:ext xmlns:c16="http://schemas.microsoft.com/office/drawing/2014/chart" uri="{C3380CC4-5D6E-409C-BE32-E72D297353CC}">
                <c16:uniqueId val="{00000002-1DF6-4114-A9E8-E736DF150187}"/>
              </c:ext>
            </c:extLst>
          </c:dPt>
          <c:dLbls>
            <c:dLbl>
              <c:idx val="8"/>
              <c:layout>
                <c:manualLayout>
                  <c:x val="-8.39087524691141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GRAFICOS!$B$4:$B$15</c:f>
              <c:strCache>
                <c:ptCount val="11"/>
                <c:pt idx="0">
                  <c:v>ADQUISICIÓN DE ACTIVOS FINANCIEROS </c:v>
                </c:pt>
                <c:pt idx="1">
                  <c:v>ADQUISICIÓN DE ACTIVOS NO FINANCIEROS</c:v>
                </c:pt>
                <c:pt idx="2">
                  <c:v>BIENES Y SERVICIOS DE CONSUMO</c:v>
                </c:pt>
                <c:pt idx="3">
                  <c:v>GASTOS EN PERSONAL</c:v>
                </c:pt>
                <c:pt idx="4">
                  <c:v>INGRESOS AL FISCO</c:v>
                </c:pt>
                <c:pt idx="5">
                  <c:v>PRESTACIONES DE SEGURIDAD SOCIAL</c:v>
                </c:pt>
                <c:pt idx="6">
                  <c:v>PRESTAMOS </c:v>
                </c:pt>
                <c:pt idx="7">
                  <c:v>SALDO FINAL DE CAJA</c:v>
                </c:pt>
                <c:pt idx="8">
                  <c:v>SERVICIO DE LA DEUDA</c:v>
                </c:pt>
                <c:pt idx="9">
                  <c:v>TRANSFERENCIAS CORRIENTES </c:v>
                </c:pt>
                <c:pt idx="10">
                  <c:v>TRANSFERENCIAS DE CAPITAL </c:v>
                </c:pt>
              </c:strCache>
            </c:strRef>
          </c:cat>
          <c:val>
            <c:numRef>
              <c:f>GRAFICOS!$C$4:$C$15</c:f>
              <c:numCache>
                <c:formatCode>General</c:formatCode>
                <c:ptCount val="11"/>
                <c:pt idx="0">
                  <c:v>0</c:v>
                </c:pt>
                <c:pt idx="1">
                  <c:v>332151</c:v>
                </c:pt>
                <c:pt idx="2">
                  <c:v>2322767.9980000001</c:v>
                </c:pt>
                <c:pt idx="3">
                  <c:v>17419021</c:v>
                </c:pt>
                <c:pt idx="4">
                  <c:v>165399</c:v>
                </c:pt>
                <c:pt idx="5">
                  <c:v>10</c:v>
                </c:pt>
                <c:pt idx="6">
                  <c:v>5667935</c:v>
                </c:pt>
                <c:pt idx="7">
                  <c:v>0</c:v>
                </c:pt>
                <c:pt idx="8">
                  <c:v>17962498</c:v>
                </c:pt>
                <c:pt idx="9">
                  <c:v>85436322</c:v>
                </c:pt>
                <c:pt idx="10">
                  <c:v>301825406</c:v>
                </c:pt>
              </c:numCache>
            </c:numRef>
          </c:val>
          <c:extLst xmlns:c16r2="http://schemas.microsoft.com/office/drawing/2015/06/chart">
            <c:ext xmlns:c16="http://schemas.microsoft.com/office/drawing/2014/chart" uri="{C3380CC4-5D6E-409C-BE32-E72D297353CC}">
              <c16:uniqueId val="{00000000-153C-454B-B08B-270717E332D8}"/>
            </c:ext>
          </c:extLst>
        </c:ser>
        <c:ser>
          <c:idx val="1"/>
          <c:order val="1"/>
          <c:tx>
            <c:strRef>
              <c:f>GRAFICOS!$D$3</c:f>
              <c:strCache>
                <c:ptCount val="1"/>
                <c:pt idx="0">
                  <c:v>Presupuesto Vigente 2023 M$</c:v>
                </c:pt>
              </c:strCache>
            </c:strRef>
          </c:tx>
          <c:spPr>
            <a:solidFill>
              <a:srgbClr val="FFCC66"/>
            </a:solidFill>
            <a:ln>
              <a:noFill/>
            </a:ln>
            <a:effectLst/>
          </c:spPr>
          <c:invertIfNegative val="0"/>
          <c:dPt>
            <c:idx val="2"/>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0-39F5-4B9C-80E6-CD15DA3EA92C}"/>
              </c:ext>
            </c:extLst>
          </c:dPt>
          <c:dPt>
            <c:idx val="3"/>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5-1DF6-4114-A9E8-E736DF150187}"/>
              </c:ext>
            </c:extLst>
          </c:dPt>
          <c:dPt>
            <c:idx val="6"/>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4-1DF6-4114-A9E8-E736DF150187}"/>
              </c:ext>
            </c:extLst>
          </c:dPt>
          <c:dPt>
            <c:idx val="8"/>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3-1DF6-4114-A9E8-E736DF150187}"/>
              </c:ext>
            </c:extLst>
          </c:dPt>
          <c:dPt>
            <c:idx val="9"/>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1-1DF6-4114-A9E8-E736DF150187}"/>
              </c:ext>
            </c:extLst>
          </c:dPt>
          <c:dPt>
            <c:idx val="10"/>
            <c:invertIfNegative val="0"/>
            <c:bubble3D val="0"/>
            <c:spPr>
              <a:solidFill>
                <a:srgbClr val="FFCC66"/>
              </a:solidFill>
              <a:ln>
                <a:noFill/>
              </a:ln>
              <a:effectLst/>
            </c:spPr>
            <c:extLst xmlns:c16r2="http://schemas.microsoft.com/office/drawing/2015/06/chart">
              <c:ext xmlns:c16="http://schemas.microsoft.com/office/drawing/2014/chart" uri="{C3380CC4-5D6E-409C-BE32-E72D297353CC}">
                <c16:uniqueId val="{00000000-1DF6-4114-A9E8-E736DF150187}"/>
              </c:ext>
            </c:extLst>
          </c:dPt>
          <c:dLbls>
            <c:dLbl>
              <c:idx val="2"/>
              <c:layout>
                <c:manualLayout>
                  <c:x val="3.9135751939237849E-3"/>
                  <c:y val="-1.3918385133072236E-1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3"/>
              <c:layout>
                <c:manualLayout>
                  <c:x val="1.594266296913162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6"/>
              <c:layout>
                <c:manualLayout>
                  <c:x val="8.390875246911414E-3"/>
                  <c:y val="-3.795967068939544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8"/>
              <c:layout>
                <c:manualLayout>
                  <c:x val="6.712700197529009E-3"/>
                  <c:y val="-1.897983534469772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9"/>
              <c:layout>
                <c:manualLayout>
                  <c:x val="1.0858291414423392E-2"/>
                  <c:y val="-3.795967068939544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10"/>
              <c:layout>
                <c:manualLayout>
                  <c:x val="2.5172625740733012E-3"/>
                  <c:y val="5.12455554306837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GRAFICOS!$B$4:$B$15</c:f>
              <c:strCache>
                <c:ptCount val="11"/>
                <c:pt idx="0">
                  <c:v>ADQUISICIÓN DE ACTIVOS FINANCIEROS </c:v>
                </c:pt>
                <c:pt idx="1">
                  <c:v>ADQUISICIÓN DE ACTIVOS NO FINANCIEROS</c:v>
                </c:pt>
                <c:pt idx="2">
                  <c:v>BIENES Y SERVICIOS DE CONSUMO</c:v>
                </c:pt>
                <c:pt idx="3">
                  <c:v>GASTOS EN PERSONAL</c:v>
                </c:pt>
                <c:pt idx="4">
                  <c:v>INGRESOS AL FISCO</c:v>
                </c:pt>
                <c:pt idx="5">
                  <c:v>PRESTACIONES DE SEGURIDAD SOCIAL</c:v>
                </c:pt>
                <c:pt idx="6">
                  <c:v>PRESTAMOS </c:v>
                </c:pt>
                <c:pt idx="7">
                  <c:v>SALDO FINAL DE CAJA</c:v>
                </c:pt>
                <c:pt idx="8">
                  <c:v>SERVICIO DE LA DEUDA</c:v>
                </c:pt>
                <c:pt idx="9">
                  <c:v>TRANSFERENCIAS CORRIENTES </c:v>
                </c:pt>
                <c:pt idx="10">
                  <c:v>TRANSFERENCIAS DE CAPITAL </c:v>
                </c:pt>
              </c:strCache>
            </c:strRef>
          </c:cat>
          <c:val>
            <c:numRef>
              <c:f>GRAFICOS!$D$4:$D$15</c:f>
              <c:numCache>
                <c:formatCode>General</c:formatCode>
                <c:ptCount val="11"/>
                <c:pt idx="0">
                  <c:v>0</c:v>
                </c:pt>
                <c:pt idx="1">
                  <c:v>332151</c:v>
                </c:pt>
                <c:pt idx="2">
                  <c:v>2702640.9990000003</c:v>
                </c:pt>
                <c:pt idx="3">
                  <c:v>17419021</c:v>
                </c:pt>
                <c:pt idx="4">
                  <c:v>165399</c:v>
                </c:pt>
                <c:pt idx="5">
                  <c:v>10</c:v>
                </c:pt>
                <c:pt idx="6">
                  <c:v>5667935</c:v>
                </c:pt>
                <c:pt idx="7">
                  <c:v>0</c:v>
                </c:pt>
                <c:pt idx="8">
                  <c:v>19134769</c:v>
                </c:pt>
                <c:pt idx="9">
                  <c:v>85436322</c:v>
                </c:pt>
                <c:pt idx="10">
                  <c:v>291563379</c:v>
                </c:pt>
              </c:numCache>
            </c:numRef>
          </c:val>
          <c:extLst xmlns:c16r2="http://schemas.microsoft.com/office/drawing/2015/06/chart">
            <c:ext xmlns:c16="http://schemas.microsoft.com/office/drawing/2014/chart" uri="{C3380CC4-5D6E-409C-BE32-E72D297353CC}">
              <c16:uniqueId val="{00000001-153C-454B-B08B-270717E332D8}"/>
            </c:ext>
          </c:extLst>
        </c:ser>
        <c:dLbls>
          <c:showLegendKey val="0"/>
          <c:showVal val="1"/>
          <c:showCatName val="0"/>
          <c:showSerName val="0"/>
          <c:showPercent val="0"/>
          <c:showBubbleSize val="0"/>
        </c:dLbls>
        <c:gapWidth val="150"/>
        <c:overlap val="-25"/>
        <c:axId val="13855488"/>
        <c:axId val="13862016"/>
      </c:barChart>
      <c:catAx>
        <c:axId val="1385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L"/>
          </a:p>
        </c:txPr>
        <c:crossAx val="13862016"/>
        <c:crosses val="autoZero"/>
        <c:auto val="1"/>
        <c:lblAlgn val="ctr"/>
        <c:lblOffset val="100"/>
        <c:noMultiLvlLbl val="0"/>
      </c:catAx>
      <c:valAx>
        <c:axId val="13862016"/>
        <c:scaling>
          <c:orientation val="minMax"/>
        </c:scaling>
        <c:delete val="1"/>
        <c:axPos val="l"/>
        <c:numFmt formatCode="General" sourceLinked="1"/>
        <c:majorTickMark val="none"/>
        <c:minorTickMark val="none"/>
        <c:tickLblPos val="nextTo"/>
        <c:crossAx val="13855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317</xdr:row>
      <xdr:rowOff>14289</xdr:rowOff>
    </xdr:from>
    <xdr:to>
      <xdr:col>15</xdr:col>
      <xdr:colOff>190500</xdr:colOff>
      <xdr:row>345</xdr:row>
      <xdr:rowOff>16670</xdr:rowOff>
    </xdr:to>
    <xdr:graphicFrame macro="">
      <xdr:nvGraphicFramePr>
        <xdr:cNvPr id="6" name="Gráfico 5">
          <a:extLst>
            <a:ext uri="{FF2B5EF4-FFF2-40B4-BE49-F238E27FC236}">
              <a16:creationId xmlns=""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71437</xdr:colOff>
      <xdr:row>345</xdr:row>
      <xdr:rowOff>45244</xdr:rowOff>
    </xdr:from>
    <xdr:to>
      <xdr:col>15</xdr:col>
      <xdr:colOff>190500</xdr:colOff>
      <xdr:row>373</xdr:row>
      <xdr:rowOff>59531</xdr:rowOff>
    </xdr:to>
    <xdr:graphicFrame macro="">
      <xdr:nvGraphicFramePr>
        <xdr:cNvPr id="7" name="Gráfico 6">
          <a:extLst>
            <a:ext uri="{FF2B5EF4-FFF2-40B4-BE49-F238E27FC236}">
              <a16:creationId xmlns=""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373</xdr:row>
      <xdr:rowOff>71437</xdr:rowOff>
    </xdr:from>
    <xdr:to>
      <xdr:col>15</xdr:col>
      <xdr:colOff>226220</xdr:colOff>
      <xdr:row>401</xdr:row>
      <xdr:rowOff>71436</xdr:rowOff>
    </xdr:to>
    <xdr:graphicFrame macro="">
      <xdr:nvGraphicFramePr>
        <xdr:cNvPr id="8" name="Gráfico 7">
          <a:extLst>
            <a:ext uri="{FF2B5EF4-FFF2-40B4-BE49-F238E27FC236}">
              <a16:creationId xmlns=""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74083</xdr:colOff>
      <xdr:row>401</xdr:row>
      <xdr:rowOff>103188</xdr:rowOff>
    </xdr:from>
    <xdr:to>
      <xdr:col>15</xdr:col>
      <xdr:colOff>85989</xdr:colOff>
      <xdr:row>429</xdr:row>
      <xdr:rowOff>67470</xdr:rowOff>
    </xdr:to>
    <xdr:graphicFrame macro="">
      <xdr:nvGraphicFramePr>
        <xdr:cNvPr id="9" name="Gráfico 8">
          <a:extLst>
            <a:ext uri="{FF2B5EF4-FFF2-40B4-BE49-F238E27FC236}">
              <a16:creationId xmlns=""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47625</xdr:colOff>
      <xdr:row>35</xdr:row>
      <xdr:rowOff>71438</xdr:rowOff>
    </xdr:from>
    <xdr:to>
      <xdr:col>15</xdr:col>
      <xdr:colOff>214312</xdr:colOff>
      <xdr:row>165</xdr:row>
      <xdr:rowOff>154782</xdr:rowOff>
    </xdr:to>
    <xdr:graphicFrame macro="">
      <xdr:nvGraphicFramePr>
        <xdr:cNvPr id="15" name="Gráfico 14">
          <a:extLst>
            <a:ext uri="{FF2B5EF4-FFF2-40B4-BE49-F238E27FC236}">
              <a16:creationId xmlns="" xmlns:a16="http://schemas.microsoft.com/office/drawing/2014/main"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166</xdr:row>
      <xdr:rowOff>107155</xdr:rowOff>
    </xdr:from>
    <xdr:to>
      <xdr:col>15</xdr:col>
      <xdr:colOff>202406</xdr:colOff>
      <xdr:row>316</xdr:row>
      <xdr:rowOff>71437</xdr:rowOff>
    </xdr:to>
    <xdr:graphicFrame macro="">
      <xdr:nvGraphicFramePr>
        <xdr:cNvPr id="5" name="Gráfico 4">
          <a:extLst>
            <a:ext uri="{FF2B5EF4-FFF2-40B4-BE49-F238E27FC236}">
              <a16:creationId xmlns=""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0</xdr:row>
      <xdr:rowOff>1</xdr:rowOff>
    </xdr:from>
    <xdr:to>
      <xdr:col>15</xdr:col>
      <xdr:colOff>202406</xdr:colOff>
      <xdr:row>35</xdr:row>
      <xdr:rowOff>23813</xdr:rowOff>
    </xdr:to>
    <xdr:graphicFrame macro="">
      <xdr:nvGraphicFramePr>
        <xdr:cNvPr id="13" name="Gráfico 12">
          <a:extLst>
            <a:ext uri="{FF2B5EF4-FFF2-40B4-BE49-F238E27FC236}">
              <a16:creationId xmlns="" xmlns:a16="http://schemas.microsoft.com/office/drawing/2014/main"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0112011\escritorio\Respaldo%20pc%20seba\Respaldo%20pc%20seba\PRESUPUESTO%20SUBDERE\PRESUPUESTO%202014\Presupues%20Para%20Trabajar%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esupuesto%202014\Presupuesto%202014\Presupues%20y%20Compromisos%2031.1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d 1"/>
      <sheetName val="Hoja3"/>
      <sheetName val="Hoja2"/>
      <sheetName val="Clasificador Presupuestario"/>
    </sheetNames>
    <sheetDataSet>
      <sheetData sheetId="0" refreshError="1"/>
      <sheetData sheetId="1" refreshError="1"/>
      <sheetData sheetId="2" refreshError="1"/>
      <sheetData sheetId="3" refreshError="1"/>
      <sheetData sheetId="4">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201944543</v>
          </cell>
          <cell r="B66">
            <v>503</v>
          </cell>
          <cell r="C66" t="str">
            <v>De Otras Entidades Publicas</v>
          </cell>
        </row>
        <row r="67">
          <cell r="A67">
            <v>201944544</v>
          </cell>
          <cell r="B67">
            <v>504</v>
          </cell>
          <cell r="C67" t="str">
            <v>De Empresas Publicas no Financieras</v>
          </cell>
        </row>
        <row r="68">
          <cell r="A68">
            <v>201944545</v>
          </cell>
          <cell r="B68">
            <v>505</v>
          </cell>
          <cell r="C68" t="str">
            <v>De Empresas Publicas Financieras</v>
          </cell>
        </row>
        <row r="69">
          <cell r="A69">
            <v>201944546</v>
          </cell>
          <cell r="B69">
            <v>506</v>
          </cell>
          <cell r="C69" t="str">
            <v>De Gobiernos Extranjeros</v>
          </cell>
        </row>
        <row r="70">
          <cell r="A70">
            <v>201944547</v>
          </cell>
          <cell r="B70">
            <v>507</v>
          </cell>
          <cell r="C70" t="str">
            <v>De Organismos Internacionales</v>
          </cell>
        </row>
        <row r="71">
          <cell r="A71">
            <v>201944548</v>
          </cell>
          <cell r="B71">
            <v>6</v>
          </cell>
          <cell r="C71" t="str">
            <v>RENTAS DE LA PROPIEDAD</v>
          </cell>
        </row>
        <row r="72">
          <cell r="A72">
            <v>201944549</v>
          </cell>
          <cell r="B72">
            <v>601</v>
          </cell>
          <cell r="C72" t="str">
            <v>Arriendo de Activos No Financieros</v>
          </cell>
        </row>
        <row r="73">
          <cell r="A73">
            <v>201944550</v>
          </cell>
          <cell r="B73">
            <v>602</v>
          </cell>
          <cell r="C73" t="str">
            <v>Dividendos</v>
          </cell>
        </row>
        <row r="74">
          <cell r="A74">
            <v>201944551</v>
          </cell>
          <cell r="B74">
            <v>603</v>
          </cell>
          <cell r="C74" t="str">
            <v>Intereses</v>
          </cell>
        </row>
        <row r="75">
          <cell r="A75">
            <v>201944552</v>
          </cell>
          <cell r="B75">
            <v>604</v>
          </cell>
          <cell r="C75" t="str">
            <v>Participacion de Utilidades</v>
          </cell>
        </row>
        <row r="76">
          <cell r="A76">
            <v>201944553</v>
          </cell>
          <cell r="B76">
            <v>699</v>
          </cell>
          <cell r="C76" t="str">
            <v>Otras Rentas de la Propiedad</v>
          </cell>
        </row>
        <row r="77">
          <cell r="A77">
            <v>201944554</v>
          </cell>
          <cell r="B77">
            <v>7</v>
          </cell>
          <cell r="C77" t="str">
            <v>INGRESOS DE OPERACIN</v>
          </cell>
        </row>
        <row r="78">
          <cell r="A78">
            <v>201944555</v>
          </cell>
          <cell r="B78">
            <v>701</v>
          </cell>
          <cell r="C78" t="str">
            <v>Venta de Bienes</v>
          </cell>
        </row>
        <row r="79">
          <cell r="A79">
            <v>201944556</v>
          </cell>
          <cell r="B79">
            <v>702</v>
          </cell>
          <cell r="C79" t="str">
            <v>Venta de Servicios</v>
          </cell>
        </row>
        <row r="80">
          <cell r="A80">
            <v>201944557</v>
          </cell>
          <cell r="B80">
            <v>8</v>
          </cell>
          <cell r="C80" t="str">
            <v>OTROS INGRESOS CORRIENTES</v>
          </cell>
        </row>
        <row r="81">
          <cell r="A81">
            <v>201944558</v>
          </cell>
          <cell r="B81">
            <v>801</v>
          </cell>
          <cell r="C81" t="str">
            <v>Recuperaciones y Reembolsos por Licencias Medicas</v>
          </cell>
        </row>
        <row r="82">
          <cell r="A82">
            <v>201943631</v>
          </cell>
          <cell r="B82">
            <v>801001</v>
          </cell>
          <cell r="C82" t="str">
            <v>Reembolsos Art. 4 Ley N 19.345 y Ley N 19.117 Art. nico</v>
          </cell>
        </row>
        <row r="83">
          <cell r="A83">
            <v>201943632</v>
          </cell>
          <cell r="B83">
            <v>801002</v>
          </cell>
          <cell r="C83" t="str">
            <v>Recuperaciones Art. 12 Ley N 18.196 y Ley N 19.117 Art. nico</v>
          </cell>
        </row>
        <row r="84">
          <cell r="A84">
            <v>201943633</v>
          </cell>
          <cell r="B84">
            <v>802</v>
          </cell>
          <cell r="C84" t="str">
            <v>Multas y Sanciones Pecuniarias</v>
          </cell>
        </row>
        <row r="85">
          <cell r="A85">
            <v>201943634</v>
          </cell>
          <cell r="B85">
            <v>804</v>
          </cell>
          <cell r="C85" t="str">
            <v>Fondos de Terceros</v>
          </cell>
        </row>
        <row r="86">
          <cell r="A86">
            <v>201943635</v>
          </cell>
          <cell r="B86">
            <v>899</v>
          </cell>
          <cell r="C86" t="str">
            <v>Otros</v>
          </cell>
        </row>
        <row r="87">
          <cell r="A87">
            <v>201943636</v>
          </cell>
          <cell r="B87">
            <v>899001</v>
          </cell>
          <cell r="C87" t="str">
            <v>Devoluciones y Reintegros no Provenientes de Impuestos</v>
          </cell>
        </row>
        <row r="88">
          <cell r="A88">
            <v>201943637</v>
          </cell>
          <cell r="B88">
            <v>899003</v>
          </cell>
          <cell r="C88" t="str">
            <v>Fondos en Administracion en Banco Central</v>
          </cell>
        </row>
        <row r="89">
          <cell r="A89">
            <v>201943638</v>
          </cell>
          <cell r="B89">
            <v>899004</v>
          </cell>
          <cell r="C89" t="str">
            <v>ntegros Ley N 19.030</v>
          </cell>
        </row>
        <row r="90">
          <cell r="A90">
            <v>201943639</v>
          </cell>
          <cell r="B90">
            <v>899999</v>
          </cell>
          <cell r="C90" t="str">
            <v>Otros</v>
          </cell>
        </row>
        <row r="91">
          <cell r="A91">
            <v>201943640</v>
          </cell>
          <cell r="B91">
            <v>9</v>
          </cell>
          <cell r="C91" t="str">
            <v>APORTE FISCAL</v>
          </cell>
        </row>
        <row r="92">
          <cell r="A92">
            <v>201943641</v>
          </cell>
          <cell r="B92">
            <v>901</v>
          </cell>
          <cell r="C92" t="str">
            <v>Libre</v>
          </cell>
        </row>
        <row r="93">
          <cell r="A93">
            <v>201944574</v>
          </cell>
          <cell r="B93">
            <v>901001</v>
          </cell>
          <cell r="C93" t="str">
            <v>Remuneraciones</v>
          </cell>
        </row>
        <row r="94">
          <cell r="A94">
            <v>201944575</v>
          </cell>
          <cell r="B94">
            <v>901002</v>
          </cell>
          <cell r="C94" t="str">
            <v>Resto</v>
          </cell>
        </row>
        <row r="95">
          <cell r="A95">
            <v>201943642</v>
          </cell>
          <cell r="B95">
            <v>902</v>
          </cell>
          <cell r="C95" t="str">
            <v>Servicio de la Deuda Interna</v>
          </cell>
        </row>
        <row r="96">
          <cell r="A96">
            <v>201943643</v>
          </cell>
          <cell r="B96">
            <v>902001</v>
          </cell>
          <cell r="C96" t="str">
            <v>Amortizaciones</v>
          </cell>
        </row>
        <row r="97">
          <cell r="A97">
            <v>201943644</v>
          </cell>
          <cell r="B97">
            <v>902002</v>
          </cell>
          <cell r="C97" t="str">
            <v>Intereses</v>
          </cell>
        </row>
        <row r="98">
          <cell r="A98">
            <v>201943645</v>
          </cell>
          <cell r="B98">
            <v>902003</v>
          </cell>
          <cell r="C98" t="str">
            <v>Otros Gastos Financieros</v>
          </cell>
        </row>
        <row r="99">
          <cell r="A99">
            <v>201943646</v>
          </cell>
          <cell r="B99">
            <v>903</v>
          </cell>
          <cell r="C99" t="str">
            <v>Servicio de la Deuda Externa</v>
          </cell>
        </row>
        <row r="100">
          <cell r="A100">
            <v>201943647</v>
          </cell>
          <cell r="B100">
            <v>903001</v>
          </cell>
          <cell r="C100" t="str">
            <v>Amortizaciones</v>
          </cell>
        </row>
        <row r="101">
          <cell r="A101">
            <v>201943648</v>
          </cell>
          <cell r="B101">
            <v>903002</v>
          </cell>
          <cell r="C101" t="str">
            <v>Intereses</v>
          </cell>
        </row>
        <row r="102">
          <cell r="A102">
            <v>201944567</v>
          </cell>
          <cell r="B102">
            <v>903002001</v>
          </cell>
          <cell r="C102" t="str">
            <v>Intereses Servicio a la Deuda</v>
          </cell>
        </row>
        <row r="103">
          <cell r="A103">
            <v>201944566</v>
          </cell>
          <cell r="B103">
            <v>903002002</v>
          </cell>
          <cell r="C103" t="str">
            <v>Comisiones Servicio a la Deuda</v>
          </cell>
        </row>
        <row r="104">
          <cell r="A104">
            <v>201943649</v>
          </cell>
          <cell r="B104">
            <v>903003</v>
          </cell>
          <cell r="C104" t="str">
            <v>Otros Gastos Financieros</v>
          </cell>
        </row>
        <row r="105">
          <cell r="A105">
            <v>201943650</v>
          </cell>
          <cell r="B105">
            <v>10</v>
          </cell>
          <cell r="C105" t="str">
            <v>VENTA DE ACTIVOS NO FINANCIEROS</v>
          </cell>
        </row>
        <row r="106">
          <cell r="A106">
            <v>201943651</v>
          </cell>
          <cell r="B106">
            <v>1001</v>
          </cell>
          <cell r="C106" t="str">
            <v>Terrenos</v>
          </cell>
        </row>
        <row r="107">
          <cell r="A107">
            <v>201943652</v>
          </cell>
          <cell r="B107">
            <v>1002</v>
          </cell>
          <cell r="C107" t="str">
            <v>Edificios</v>
          </cell>
        </row>
        <row r="108">
          <cell r="A108">
            <v>201943653</v>
          </cell>
          <cell r="B108">
            <v>1003</v>
          </cell>
          <cell r="C108" t="str">
            <v>Vehiculos</v>
          </cell>
        </row>
        <row r="109">
          <cell r="A109">
            <v>201943654</v>
          </cell>
          <cell r="B109">
            <v>1004</v>
          </cell>
          <cell r="C109" t="str">
            <v>Mobiliario y Otros</v>
          </cell>
        </row>
        <row r="110">
          <cell r="A110">
            <v>201943655</v>
          </cell>
          <cell r="B110">
            <v>1005</v>
          </cell>
          <cell r="C110" t="str">
            <v>Maquinas y Equipos</v>
          </cell>
        </row>
        <row r="111">
          <cell r="A111">
            <v>201943656</v>
          </cell>
          <cell r="B111">
            <v>1006</v>
          </cell>
          <cell r="C111" t="str">
            <v>Equipos Informaticos</v>
          </cell>
        </row>
        <row r="112">
          <cell r="A112">
            <v>201943657</v>
          </cell>
          <cell r="B112">
            <v>1007</v>
          </cell>
          <cell r="C112" t="str">
            <v>Programas Informaticos</v>
          </cell>
        </row>
        <row r="113">
          <cell r="A113">
            <v>201943658</v>
          </cell>
          <cell r="B113">
            <v>1099</v>
          </cell>
          <cell r="C113" t="str">
            <v>Otros Activos no Financieros</v>
          </cell>
        </row>
        <row r="114">
          <cell r="A114">
            <v>201943659</v>
          </cell>
          <cell r="B114">
            <v>11</v>
          </cell>
          <cell r="C114" t="str">
            <v>VENTA DE ACTIVOS FINANCIEROS</v>
          </cell>
        </row>
        <row r="115">
          <cell r="A115">
            <v>201943660</v>
          </cell>
          <cell r="B115">
            <v>1101</v>
          </cell>
          <cell r="C115" t="str">
            <v>Venta o Rescate de Titulos y Valores</v>
          </cell>
        </row>
        <row r="116">
          <cell r="A116">
            <v>201943661</v>
          </cell>
          <cell r="B116">
            <v>1101001</v>
          </cell>
          <cell r="C116" t="str">
            <v>Depositos a Plazo</v>
          </cell>
        </row>
        <row r="117">
          <cell r="A117">
            <v>201943662</v>
          </cell>
          <cell r="B117">
            <v>1101002</v>
          </cell>
          <cell r="C117" t="str">
            <v>Pactos de Retrocompra</v>
          </cell>
        </row>
        <row r="118">
          <cell r="A118">
            <v>201943663</v>
          </cell>
          <cell r="B118">
            <v>1101003</v>
          </cell>
          <cell r="C118" t="str">
            <v>Cuotas de Fondos Mutuos</v>
          </cell>
        </row>
        <row r="119">
          <cell r="A119">
            <v>201943664</v>
          </cell>
          <cell r="B119">
            <v>1101004</v>
          </cell>
          <cell r="C119" t="str">
            <v>Bonos o Pagares</v>
          </cell>
        </row>
        <row r="120">
          <cell r="A120">
            <v>201943665</v>
          </cell>
          <cell r="B120">
            <v>1101005</v>
          </cell>
          <cell r="C120" t="str">
            <v>Letras Hipotecarias</v>
          </cell>
        </row>
        <row r="121">
          <cell r="A121">
            <v>201943666</v>
          </cell>
          <cell r="B121">
            <v>1101999</v>
          </cell>
          <cell r="C121" t="str">
            <v>Otros</v>
          </cell>
        </row>
        <row r="122">
          <cell r="A122">
            <v>201943667</v>
          </cell>
          <cell r="B122">
            <v>1102</v>
          </cell>
          <cell r="C122" t="str">
            <v>Venta de Acciones y Participaciones de Capital</v>
          </cell>
        </row>
        <row r="123">
          <cell r="A123">
            <v>201943668</v>
          </cell>
          <cell r="B123">
            <v>1103</v>
          </cell>
          <cell r="C123" t="str">
            <v>Operaciones de Cambio</v>
          </cell>
        </row>
        <row r="124">
          <cell r="A124">
            <v>201943669</v>
          </cell>
          <cell r="B124">
            <v>1199</v>
          </cell>
          <cell r="C124" t="str">
            <v>Otros Activos Financieros</v>
          </cell>
        </row>
        <row r="125">
          <cell r="A125">
            <v>201943670</v>
          </cell>
          <cell r="B125">
            <v>12</v>
          </cell>
          <cell r="C125" t="str">
            <v>RECUPERACION DE PRESTAMOS</v>
          </cell>
        </row>
        <row r="126">
          <cell r="A126">
            <v>201943671</v>
          </cell>
          <cell r="B126">
            <v>1201</v>
          </cell>
          <cell r="C126" t="str">
            <v>De Asistencia Social</v>
          </cell>
        </row>
        <row r="127">
          <cell r="A127">
            <v>201943672</v>
          </cell>
          <cell r="B127">
            <v>1202</v>
          </cell>
          <cell r="C127" t="str">
            <v>Hipotecarios</v>
          </cell>
        </row>
        <row r="128">
          <cell r="A128">
            <v>201943673</v>
          </cell>
          <cell r="B128">
            <v>1203</v>
          </cell>
          <cell r="C128" t="str">
            <v>Pignoraticios</v>
          </cell>
        </row>
        <row r="129">
          <cell r="A129">
            <v>201943674</v>
          </cell>
          <cell r="B129">
            <v>1204</v>
          </cell>
          <cell r="C129" t="str">
            <v>De Fomento</v>
          </cell>
        </row>
        <row r="130">
          <cell r="A130">
            <v>201943675</v>
          </cell>
          <cell r="B130">
            <v>1205</v>
          </cell>
          <cell r="C130" t="str">
            <v>Medicos</v>
          </cell>
        </row>
        <row r="131">
          <cell r="A131">
            <v>201943676</v>
          </cell>
          <cell r="B131">
            <v>1206</v>
          </cell>
          <cell r="C131" t="str">
            <v>Por Anticipos a Contratistas</v>
          </cell>
        </row>
        <row r="132">
          <cell r="A132">
            <v>201943677</v>
          </cell>
          <cell r="B132">
            <v>1207</v>
          </cell>
          <cell r="C132" t="str">
            <v>Por Anticipos por Cambio de Residencia</v>
          </cell>
        </row>
        <row r="133">
          <cell r="A133">
            <v>201943678</v>
          </cell>
          <cell r="B133">
            <v>1209</v>
          </cell>
          <cell r="C133" t="str">
            <v>Por Ventas a Plazo</v>
          </cell>
        </row>
        <row r="134">
          <cell r="A134">
            <v>201943679</v>
          </cell>
          <cell r="B134">
            <v>1210</v>
          </cell>
          <cell r="C134" t="str">
            <v>Ingresos por Percibir</v>
          </cell>
        </row>
        <row r="135">
          <cell r="A135">
            <v>201943680</v>
          </cell>
          <cell r="B135">
            <v>13</v>
          </cell>
          <cell r="C135" t="str">
            <v>TRANSFERENCIAS PARA GASTOS DE CAPITAL</v>
          </cell>
        </row>
        <row r="136">
          <cell r="A136">
            <v>201943681</v>
          </cell>
          <cell r="B136">
            <v>1301</v>
          </cell>
          <cell r="C136" t="str">
            <v>Del Sector Privado</v>
          </cell>
        </row>
        <row r="137">
          <cell r="A137">
            <v>201943682</v>
          </cell>
          <cell r="B137">
            <v>1302</v>
          </cell>
          <cell r="C137" t="str">
            <v>Del Gobierno Central</v>
          </cell>
        </row>
        <row r="138">
          <cell r="A138">
            <v>201944576</v>
          </cell>
          <cell r="B138">
            <v>1302006</v>
          </cell>
          <cell r="C138" t="str">
            <v>Subsecretaria de Educacion</v>
          </cell>
        </row>
        <row r="139">
          <cell r="A139">
            <v>201946402</v>
          </cell>
          <cell r="B139">
            <v>1302080</v>
          </cell>
          <cell r="C139" t="str">
            <v>Tesoro Publico Ley N20.378 - Fondo De Apoyo Regional (FAR)</v>
          </cell>
        </row>
        <row r="140">
          <cell r="A140">
            <v>201943683</v>
          </cell>
          <cell r="B140">
            <v>1303</v>
          </cell>
          <cell r="C140" t="str">
            <v>De Otras Entidades Publicas</v>
          </cell>
        </row>
        <row r="141">
          <cell r="A141">
            <v>201943684</v>
          </cell>
          <cell r="B141">
            <v>1304</v>
          </cell>
          <cell r="C141" t="str">
            <v>De Empresas Publicas no Financieras</v>
          </cell>
        </row>
        <row r="142">
          <cell r="A142">
            <v>201943685</v>
          </cell>
          <cell r="B142">
            <v>1305</v>
          </cell>
          <cell r="C142" t="str">
            <v>De Empresas Publicas Financieras</v>
          </cell>
        </row>
        <row r="143">
          <cell r="A143">
            <v>201943686</v>
          </cell>
          <cell r="B143">
            <v>1306</v>
          </cell>
          <cell r="C143" t="str">
            <v>De Gobiernos Extranjeros</v>
          </cell>
        </row>
        <row r="144">
          <cell r="A144">
            <v>201943687</v>
          </cell>
          <cell r="B144">
            <v>1307</v>
          </cell>
          <cell r="C144" t="str">
            <v>De Organismos Internacionales</v>
          </cell>
        </row>
        <row r="145">
          <cell r="A145">
            <v>201943688</v>
          </cell>
          <cell r="B145">
            <v>14</v>
          </cell>
          <cell r="C145" t="str">
            <v>ENDEUDAMIENTO</v>
          </cell>
        </row>
        <row r="146">
          <cell r="A146">
            <v>201943689</v>
          </cell>
          <cell r="B146">
            <v>1401</v>
          </cell>
          <cell r="C146" t="str">
            <v>Endeudamiento Interno</v>
          </cell>
        </row>
        <row r="147">
          <cell r="A147">
            <v>201943690</v>
          </cell>
          <cell r="B147">
            <v>1401001</v>
          </cell>
          <cell r="C147" t="str">
            <v>Colocacion de Valores</v>
          </cell>
        </row>
        <row r="148">
          <cell r="A148">
            <v>201943691</v>
          </cell>
          <cell r="B148">
            <v>1401002</v>
          </cell>
          <cell r="C148" t="str">
            <v>Emprestitos</v>
          </cell>
        </row>
        <row r="149">
          <cell r="A149">
            <v>201943692</v>
          </cell>
          <cell r="B149">
            <v>1401003</v>
          </cell>
          <cell r="C149" t="str">
            <v>Creditos de Proveedores</v>
          </cell>
        </row>
        <row r="150">
          <cell r="A150">
            <v>201943693</v>
          </cell>
          <cell r="B150">
            <v>1402</v>
          </cell>
          <cell r="C150" t="str">
            <v>Endeudamiento Externo</v>
          </cell>
        </row>
        <row r="151">
          <cell r="A151">
            <v>201943694</v>
          </cell>
          <cell r="B151">
            <v>1402001</v>
          </cell>
          <cell r="C151" t="str">
            <v>Colocacion de Valores</v>
          </cell>
        </row>
        <row r="152">
          <cell r="A152">
            <v>201943695</v>
          </cell>
          <cell r="B152">
            <v>1402002</v>
          </cell>
          <cell r="C152" t="str">
            <v>Emprestitos</v>
          </cell>
        </row>
        <row r="153">
          <cell r="A153">
            <v>201943696</v>
          </cell>
          <cell r="B153">
            <v>1402003</v>
          </cell>
          <cell r="C153" t="str">
            <v>Creditos de Proveedores</v>
          </cell>
        </row>
        <row r="154">
          <cell r="A154">
            <v>201943697</v>
          </cell>
          <cell r="B154">
            <v>15</v>
          </cell>
          <cell r="C154" t="str">
            <v>SALDO INICIAL DE CAJA</v>
          </cell>
        </row>
        <row r="155">
          <cell r="A155">
            <v>201943698</v>
          </cell>
          <cell r="B155">
            <v>21</v>
          </cell>
          <cell r="C155" t="str">
            <v>GASTOS EN PERSONAL</v>
          </cell>
        </row>
        <row r="156">
          <cell r="A156">
            <v>201943699</v>
          </cell>
          <cell r="B156">
            <v>2101</v>
          </cell>
          <cell r="C156" t="str">
            <v>Personal de Planta</v>
          </cell>
        </row>
        <row r="157">
          <cell r="A157">
            <v>201943700</v>
          </cell>
          <cell r="B157">
            <v>2101001</v>
          </cell>
          <cell r="C157" t="str">
            <v>Sueldos y Sobresueldos</v>
          </cell>
        </row>
        <row r="158">
          <cell r="A158">
            <v>201943701</v>
          </cell>
          <cell r="B158">
            <v>2101001001</v>
          </cell>
          <cell r="C158" t="str">
            <v>Sueldos Bases</v>
          </cell>
        </row>
        <row r="159">
          <cell r="A159">
            <v>201943702</v>
          </cell>
          <cell r="B159">
            <v>2101001002</v>
          </cell>
          <cell r="C159" t="str">
            <v>Asignacion de Antigedad</v>
          </cell>
        </row>
        <row r="160">
          <cell r="A160">
            <v>201943703</v>
          </cell>
          <cell r="B160">
            <v>2101001003</v>
          </cell>
          <cell r="C160" t="str">
            <v>Asignacion Profesional</v>
          </cell>
        </row>
        <row r="161">
          <cell r="A161">
            <v>201943704</v>
          </cell>
          <cell r="B161">
            <v>2101001004</v>
          </cell>
          <cell r="C161" t="str">
            <v>Asignacion de Zona</v>
          </cell>
        </row>
        <row r="162">
          <cell r="A162">
            <v>201943705</v>
          </cell>
          <cell r="B162">
            <v>2101001005</v>
          </cell>
          <cell r="C162" t="str">
            <v>Asignacion de Rancho</v>
          </cell>
        </row>
        <row r="163">
          <cell r="A163">
            <v>201943706</v>
          </cell>
          <cell r="B163">
            <v>2101001006</v>
          </cell>
          <cell r="C163" t="str">
            <v>Asignaciones del DL N 2.411, de 1978</v>
          </cell>
        </row>
        <row r="164">
          <cell r="A164">
            <v>201943707</v>
          </cell>
          <cell r="B164">
            <v>2101001007</v>
          </cell>
          <cell r="C164" t="str">
            <v>Asignaciones del DL N 3.551, de 1981</v>
          </cell>
        </row>
        <row r="165">
          <cell r="A165">
            <v>201943708</v>
          </cell>
          <cell r="B165">
            <v>2101001008</v>
          </cell>
          <cell r="C165" t="str">
            <v>Asignacion de Nivelacion</v>
          </cell>
        </row>
        <row r="166">
          <cell r="A166">
            <v>201943709</v>
          </cell>
          <cell r="B166">
            <v>2101001009</v>
          </cell>
          <cell r="C166" t="str">
            <v>Asignaciones Especiales</v>
          </cell>
        </row>
        <row r="167">
          <cell r="A167">
            <v>201943710</v>
          </cell>
          <cell r="B167">
            <v>2101001010</v>
          </cell>
          <cell r="C167" t="str">
            <v>Asignacion de Perdida de Caja</v>
          </cell>
        </row>
        <row r="168">
          <cell r="A168">
            <v>201943711</v>
          </cell>
          <cell r="B168">
            <v>2101001011</v>
          </cell>
          <cell r="C168" t="str">
            <v>Asignacion de Movilizacion</v>
          </cell>
        </row>
        <row r="169">
          <cell r="A169">
            <v>201943712</v>
          </cell>
          <cell r="B169">
            <v>2101001012</v>
          </cell>
          <cell r="C169" t="str">
            <v>Gastos de Representacion</v>
          </cell>
        </row>
        <row r="170">
          <cell r="A170">
            <v>201943713</v>
          </cell>
          <cell r="B170">
            <v>2101001013</v>
          </cell>
          <cell r="C170" t="str">
            <v>Asignacion de Direccion Superior</v>
          </cell>
        </row>
        <row r="171">
          <cell r="A171">
            <v>201943714</v>
          </cell>
          <cell r="B171">
            <v>2101001014</v>
          </cell>
          <cell r="C171" t="str">
            <v>Asignaciones Compensatorias</v>
          </cell>
        </row>
        <row r="172">
          <cell r="A172">
            <v>201943715</v>
          </cell>
          <cell r="B172">
            <v>2101001015</v>
          </cell>
          <cell r="C172" t="str">
            <v>Asignaciones Sustitutivas</v>
          </cell>
        </row>
        <row r="173">
          <cell r="A173">
            <v>201943716</v>
          </cell>
          <cell r="B173">
            <v>2101001016</v>
          </cell>
          <cell r="C173" t="str">
            <v>Asignacion de Dedicacion Exclusiva</v>
          </cell>
        </row>
        <row r="174">
          <cell r="A174">
            <v>201943717</v>
          </cell>
          <cell r="B174">
            <v>2101001017</v>
          </cell>
          <cell r="C174" t="str">
            <v>Asignacion para Operador de Maquinaria Pesada</v>
          </cell>
        </row>
        <row r="175">
          <cell r="A175">
            <v>201943718</v>
          </cell>
          <cell r="B175">
            <v>2101001018</v>
          </cell>
          <cell r="C175" t="str">
            <v>Asignacion de Defensa Judicial Estatal</v>
          </cell>
        </row>
        <row r="176">
          <cell r="A176">
            <v>201943719</v>
          </cell>
          <cell r="B176">
            <v>2101001019</v>
          </cell>
          <cell r="C176" t="str">
            <v>Asignacion de Responsabilidad</v>
          </cell>
        </row>
        <row r="177">
          <cell r="A177">
            <v>201943720</v>
          </cell>
          <cell r="B177">
            <v>2101001020</v>
          </cell>
          <cell r="C177" t="str">
            <v>Asignacion por Turno</v>
          </cell>
        </row>
        <row r="178">
          <cell r="A178">
            <v>201943721</v>
          </cell>
          <cell r="B178">
            <v>2101001021</v>
          </cell>
          <cell r="C178" t="str">
            <v>Asignacion Articulo 1 Ley N 19.264</v>
          </cell>
        </row>
        <row r="179">
          <cell r="A179">
            <v>201943722</v>
          </cell>
          <cell r="B179">
            <v>2101001022</v>
          </cell>
          <cell r="C179" t="str">
            <v>Componente Base Asignacion de Desempeno</v>
          </cell>
        </row>
        <row r="180">
          <cell r="A180">
            <v>201943723</v>
          </cell>
          <cell r="B180">
            <v>2101001023</v>
          </cell>
          <cell r="C180" t="str">
            <v>Asignacion de Control</v>
          </cell>
        </row>
        <row r="181">
          <cell r="A181">
            <v>201943724</v>
          </cell>
          <cell r="B181">
            <v>2101001024</v>
          </cell>
          <cell r="C181" t="str">
            <v>Asignacion de Defensa Penal Publica</v>
          </cell>
        </row>
        <row r="182">
          <cell r="A182">
            <v>201943725</v>
          </cell>
          <cell r="B182">
            <v>2101001025</v>
          </cell>
          <cell r="C182" t="str">
            <v>Asignacion Articulo 1 Ley N 19. 112</v>
          </cell>
        </row>
        <row r="183">
          <cell r="A183">
            <v>201943726</v>
          </cell>
          <cell r="B183">
            <v>2101001026</v>
          </cell>
          <cell r="C183" t="str">
            <v>Asignacion Articulo 1 Ley N 19.432</v>
          </cell>
        </row>
        <row r="184">
          <cell r="A184">
            <v>201943727</v>
          </cell>
          <cell r="B184">
            <v>2101001027</v>
          </cell>
          <cell r="C184" t="str">
            <v>Asignacion de Estimulo Personal Medico Diurno</v>
          </cell>
        </row>
        <row r="185">
          <cell r="A185">
            <v>201943728</v>
          </cell>
          <cell r="B185">
            <v>2101001028</v>
          </cell>
          <cell r="C185" t="str">
            <v>Asignacion de Estimulo Personal Medico y Profesores</v>
          </cell>
        </row>
        <row r="186">
          <cell r="A186">
            <v>201943729</v>
          </cell>
          <cell r="B186">
            <v>2101001029</v>
          </cell>
          <cell r="C186" t="str">
            <v>Aplicacion Articulo 7 Ley N 19.112</v>
          </cell>
        </row>
        <row r="187">
          <cell r="A187">
            <v>201943730</v>
          </cell>
          <cell r="B187">
            <v>2101001030</v>
          </cell>
          <cell r="C187" t="str">
            <v>Asignacion de Estimulo por Falencia</v>
          </cell>
        </row>
        <row r="188">
          <cell r="A188">
            <v>201943731</v>
          </cell>
          <cell r="B188">
            <v>2101001031</v>
          </cell>
          <cell r="C188" t="str">
            <v>Asignacion de Experiencia Calificada</v>
          </cell>
        </row>
        <row r="189">
          <cell r="A189">
            <v>201943732</v>
          </cell>
          <cell r="B189">
            <v>2101001032</v>
          </cell>
          <cell r="C189" t="str">
            <v>Asignacion de Reforzamiento Profesional Diurno</v>
          </cell>
        </row>
        <row r="190">
          <cell r="A190">
            <v>201943733</v>
          </cell>
          <cell r="B190">
            <v>2101001033</v>
          </cell>
          <cell r="C190" t="str">
            <v>Asignacion Judicial</v>
          </cell>
        </row>
        <row r="191">
          <cell r="A191">
            <v>201943734</v>
          </cell>
          <cell r="B191">
            <v>2101001034</v>
          </cell>
          <cell r="C191" t="str">
            <v>Asignacion de Casa</v>
          </cell>
        </row>
        <row r="192">
          <cell r="A192">
            <v>201943735</v>
          </cell>
          <cell r="B192">
            <v>2101001035</v>
          </cell>
          <cell r="C192" t="str">
            <v>Asignacion Legislativa</v>
          </cell>
        </row>
        <row r="193">
          <cell r="A193">
            <v>201943736</v>
          </cell>
          <cell r="B193">
            <v>2101001036</v>
          </cell>
          <cell r="C193" t="str">
            <v>Asignacion Articulo 11 Ley N 19.041</v>
          </cell>
        </row>
        <row r="194">
          <cell r="A194">
            <v>201943737</v>
          </cell>
          <cell r="B194">
            <v>2101001037</v>
          </cell>
          <cell r="C194" t="str">
            <v>Asignacion nica</v>
          </cell>
        </row>
        <row r="195">
          <cell r="A195">
            <v>201943738</v>
          </cell>
          <cell r="B195">
            <v>2101001038</v>
          </cell>
          <cell r="C195" t="str">
            <v>Asignacion Zonas Extremas</v>
          </cell>
        </row>
        <row r="196">
          <cell r="A196">
            <v>201943739</v>
          </cell>
          <cell r="B196">
            <v>2101001039</v>
          </cell>
          <cell r="C196" t="str">
            <v>Asignacion de Responsabilidad Superior</v>
          </cell>
        </row>
        <row r="197">
          <cell r="A197">
            <v>201943740</v>
          </cell>
          <cell r="B197">
            <v>2101001040</v>
          </cell>
          <cell r="C197" t="str">
            <v>Asignacion Familiar en el Exterior</v>
          </cell>
        </row>
        <row r="198">
          <cell r="A198">
            <v>201943741</v>
          </cell>
          <cell r="B198">
            <v>2101001041</v>
          </cell>
          <cell r="C198" t="str">
            <v>Asignaciones Exclusivas de las Fuerzas Armadas y de Orden</v>
          </cell>
        </row>
        <row r="199">
          <cell r="A199">
            <v>201943742</v>
          </cell>
          <cell r="B199">
            <v>2101001042</v>
          </cell>
          <cell r="C199" t="str">
            <v>Asignaciones por Desempeno en el Exterior</v>
          </cell>
        </row>
        <row r="200">
          <cell r="A200">
            <v>201943743</v>
          </cell>
          <cell r="B200">
            <v>2101001043</v>
          </cell>
          <cell r="C200" t="str">
            <v>Asignacion Inherente al Cargo Ley N 18.695</v>
          </cell>
        </row>
        <row r="201">
          <cell r="A201">
            <v>201943744</v>
          </cell>
          <cell r="B201">
            <v>2101001999</v>
          </cell>
          <cell r="C201" t="str">
            <v>Otras Asignaciones</v>
          </cell>
        </row>
        <row r="202">
          <cell r="A202">
            <v>201943745</v>
          </cell>
          <cell r="B202">
            <v>2101002</v>
          </cell>
          <cell r="C202" t="str">
            <v>Aportes del Empleador</v>
          </cell>
        </row>
        <row r="203">
          <cell r="A203">
            <v>201943746</v>
          </cell>
          <cell r="B203">
            <v>2101002001</v>
          </cell>
          <cell r="C203" t="str">
            <v>A Servicios de Bienestar</v>
          </cell>
        </row>
        <row r="204">
          <cell r="A204">
            <v>201943747</v>
          </cell>
          <cell r="B204">
            <v>2101002002</v>
          </cell>
          <cell r="C204" t="str">
            <v>Otras Cotizaciones Previsionales</v>
          </cell>
        </row>
        <row r="205">
          <cell r="A205">
            <v>201943748</v>
          </cell>
          <cell r="B205">
            <v>2101002003</v>
          </cell>
          <cell r="C205" t="str">
            <v>Cotizacion Adicional, Articulo 8 Ley N 18.566</v>
          </cell>
        </row>
        <row r="206">
          <cell r="A206">
            <v>201943749</v>
          </cell>
          <cell r="B206">
            <v>2101003</v>
          </cell>
          <cell r="C206" t="str">
            <v>Asignaciones por Desempeno</v>
          </cell>
        </row>
        <row r="207">
          <cell r="A207">
            <v>201943750</v>
          </cell>
          <cell r="B207">
            <v>2101003001</v>
          </cell>
          <cell r="C207" t="str">
            <v>Desempeno Institucional</v>
          </cell>
        </row>
        <row r="208">
          <cell r="A208">
            <v>201943751</v>
          </cell>
          <cell r="B208">
            <v>2101003002</v>
          </cell>
          <cell r="C208" t="str">
            <v>Desempeno Colectivo</v>
          </cell>
        </row>
        <row r="209">
          <cell r="A209">
            <v>201943752</v>
          </cell>
          <cell r="B209">
            <v>2101003003</v>
          </cell>
          <cell r="C209" t="str">
            <v>Desempeno Individual</v>
          </cell>
        </row>
        <row r="210">
          <cell r="A210">
            <v>201947065</v>
          </cell>
          <cell r="B210">
            <v>2101003004</v>
          </cell>
          <cell r="C210" t="str">
            <v>Asignacion por Produccion</v>
          </cell>
        </row>
        <row r="211">
          <cell r="A211">
            <v>201947066</v>
          </cell>
          <cell r="B211">
            <v>2101003005</v>
          </cell>
          <cell r="C211" t="str">
            <v>Asignacion Mejoramiento de Trato a los Usuarios</v>
          </cell>
        </row>
        <row r="212">
          <cell r="A212">
            <v>201943753</v>
          </cell>
          <cell r="B212">
            <v>2101004</v>
          </cell>
          <cell r="C212" t="str">
            <v>Remuneraciones Variables</v>
          </cell>
        </row>
        <row r="213">
          <cell r="A213">
            <v>201943754</v>
          </cell>
          <cell r="B213">
            <v>2101004001</v>
          </cell>
          <cell r="C213" t="str">
            <v>Asignacion Articulo 12 Ley N 19.041</v>
          </cell>
        </row>
        <row r="214">
          <cell r="A214">
            <v>201943755</v>
          </cell>
          <cell r="B214">
            <v>2101004002</v>
          </cell>
          <cell r="C214" t="str">
            <v>Asignacion de Estimulo Jornadas Prioritarias</v>
          </cell>
        </row>
        <row r="215">
          <cell r="A215">
            <v>201943756</v>
          </cell>
          <cell r="B215">
            <v>2101004003</v>
          </cell>
          <cell r="C215" t="str">
            <v>Asignacion Articulo 3 Ley N 19.264</v>
          </cell>
        </row>
        <row r="216">
          <cell r="A216">
            <v>201943757</v>
          </cell>
          <cell r="B216">
            <v>2101004004</v>
          </cell>
          <cell r="C216" t="str">
            <v>Asignacion por Desempeno de Funciones Criticas</v>
          </cell>
        </row>
        <row r="217">
          <cell r="A217">
            <v>201943758</v>
          </cell>
          <cell r="B217">
            <v>2101004005</v>
          </cell>
          <cell r="C217" t="str">
            <v>Trabajos Extraordinarios</v>
          </cell>
        </row>
        <row r="218">
          <cell r="A218">
            <v>201943759</v>
          </cell>
          <cell r="B218">
            <v>2101004006</v>
          </cell>
          <cell r="C218" t="str">
            <v>Comisiones de Servicios en el Pais</v>
          </cell>
        </row>
        <row r="219">
          <cell r="A219">
            <v>201943760</v>
          </cell>
          <cell r="B219">
            <v>2101004007</v>
          </cell>
          <cell r="C219" t="str">
            <v>Comisiones de Servicios en el Exterior</v>
          </cell>
        </row>
        <row r="220">
          <cell r="A220">
            <v>201943761</v>
          </cell>
          <cell r="B220">
            <v>2101005</v>
          </cell>
          <cell r="C220" t="str">
            <v>Aguinaldos y Bonos</v>
          </cell>
        </row>
        <row r="221">
          <cell r="A221">
            <v>201943762</v>
          </cell>
          <cell r="B221">
            <v>2101005001</v>
          </cell>
          <cell r="C221" t="str">
            <v>Aguinaldos</v>
          </cell>
        </row>
        <row r="222">
          <cell r="A222">
            <v>201943763</v>
          </cell>
          <cell r="B222">
            <v>2101005002</v>
          </cell>
          <cell r="C222" t="str">
            <v>Bono de Escolaridad</v>
          </cell>
        </row>
        <row r="223">
          <cell r="A223">
            <v>201943764</v>
          </cell>
          <cell r="B223">
            <v>2101005003</v>
          </cell>
          <cell r="C223" t="str">
            <v>Bonos Especiales</v>
          </cell>
        </row>
        <row r="224">
          <cell r="A224">
            <v>201943765</v>
          </cell>
          <cell r="B224">
            <v>2101005004</v>
          </cell>
          <cell r="C224" t="str">
            <v>Bonificacion Adicional al Bono de Escolaridad</v>
          </cell>
        </row>
        <row r="225">
          <cell r="A225">
            <v>201943766</v>
          </cell>
          <cell r="B225">
            <v>2102</v>
          </cell>
          <cell r="C225" t="str">
            <v>Personal a Contrata</v>
          </cell>
        </row>
        <row r="226">
          <cell r="A226">
            <v>201943767</v>
          </cell>
          <cell r="B226">
            <v>2102001</v>
          </cell>
          <cell r="C226" t="str">
            <v>Sueldos y Sobresueldos</v>
          </cell>
        </row>
        <row r="227">
          <cell r="A227">
            <v>201943768</v>
          </cell>
          <cell r="B227">
            <v>2102001001</v>
          </cell>
          <cell r="C227" t="str">
            <v>Sueldos Bases</v>
          </cell>
        </row>
        <row r="228">
          <cell r="A228">
            <v>201943769</v>
          </cell>
          <cell r="B228">
            <v>2102001002</v>
          </cell>
          <cell r="C228" t="str">
            <v>Asignacion de Antigedad</v>
          </cell>
        </row>
        <row r="229">
          <cell r="A229">
            <v>201943770</v>
          </cell>
          <cell r="B229">
            <v>2102001003</v>
          </cell>
          <cell r="C229" t="str">
            <v>Asignacion Profesional</v>
          </cell>
        </row>
        <row r="230">
          <cell r="A230">
            <v>201943771</v>
          </cell>
          <cell r="B230">
            <v>2102001004</v>
          </cell>
          <cell r="C230" t="str">
            <v>Asignacion de Zona</v>
          </cell>
        </row>
        <row r="231">
          <cell r="A231">
            <v>201943772</v>
          </cell>
          <cell r="B231">
            <v>2102001005</v>
          </cell>
          <cell r="C231" t="str">
            <v>Asignacion de Rancho</v>
          </cell>
        </row>
        <row r="232">
          <cell r="A232">
            <v>201943773</v>
          </cell>
          <cell r="B232">
            <v>2102001006</v>
          </cell>
          <cell r="C232" t="str">
            <v>Asignaciones del DL N 2.411, de 1978</v>
          </cell>
        </row>
        <row r="233">
          <cell r="A233">
            <v>201943774</v>
          </cell>
          <cell r="B233">
            <v>2102001007</v>
          </cell>
          <cell r="C233" t="str">
            <v>Asignaciones del DL N 3.551, de 1981</v>
          </cell>
        </row>
        <row r="234">
          <cell r="A234">
            <v>201943775</v>
          </cell>
          <cell r="B234">
            <v>2102001008</v>
          </cell>
          <cell r="C234" t="str">
            <v>Asignacion de Nivelacion</v>
          </cell>
        </row>
        <row r="235">
          <cell r="A235">
            <v>201943776</v>
          </cell>
          <cell r="B235">
            <v>2102001009</v>
          </cell>
          <cell r="C235" t="str">
            <v>Asignaciones Especiales</v>
          </cell>
        </row>
        <row r="236">
          <cell r="A236">
            <v>201943777</v>
          </cell>
          <cell r="B236">
            <v>2102001010</v>
          </cell>
          <cell r="C236" t="str">
            <v>Asignacion de Perdida de Caja</v>
          </cell>
        </row>
        <row r="237">
          <cell r="A237">
            <v>201943778</v>
          </cell>
          <cell r="B237">
            <v>2102001011</v>
          </cell>
          <cell r="C237" t="str">
            <v>Asignacion de Movilizacion</v>
          </cell>
        </row>
        <row r="238">
          <cell r="A238">
            <v>201943779</v>
          </cell>
          <cell r="B238">
            <v>2102001012</v>
          </cell>
          <cell r="C238" t="str">
            <v>Gastos de Representacion</v>
          </cell>
        </row>
        <row r="239">
          <cell r="A239">
            <v>201943780</v>
          </cell>
          <cell r="B239">
            <v>2102001013</v>
          </cell>
          <cell r="C239" t="str">
            <v>Asignaciones Compensatorias</v>
          </cell>
        </row>
        <row r="240">
          <cell r="A240">
            <v>201943781</v>
          </cell>
          <cell r="B240">
            <v>2102001014</v>
          </cell>
          <cell r="C240" t="str">
            <v>Asignaciones Sustitutivas</v>
          </cell>
        </row>
        <row r="241">
          <cell r="A241">
            <v>201943782</v>
          </cell>
          <cell r="B241">
            <v>2102001015</v>
          </cell>
          <cell r="C241" t="str">
            <v>Asignacion de Dedicacion Exclusiva</v>
          </cell>
        </row>
        <row r="242">
          <cell r="A242">
            <v>201943783</v>
          </cell>
          <cell r="B242">
            <v>2102001016</v>
          </cell>
          <cell r="C242" t="str">
            <v>Asignacion para Operador de Maquinaria Pesada</v>
          </cell>
        </row>
        <row r="243">
          <cell r="A243">
            <v>201943784</v>
          </cell>
          <cell r="B243">
            <v>2102001017</v>
          </cell>
          <cell r="C243" t="str">
            <v>Asignacion de Defensa Judicial Estatal</v>
          </cell>
        </row>
        <row r="244">
          <cell r="A244">
            <v>201943785</v>
          </cell>
          <cell r="B244">
            <v>2102001018</v>
          </cell>
          <cell r="C244" t="str">
            <v>Asignacion de Responsabilidad</v>
          </cell>
        </row>
        <row r="245">
          <cell r="A245">
            <v>201943786</v>
          </cell>
          <cell r="B245">
            <v>2102001019</v>
          </cell>
          <cell r="C245" t="str">
            <v>Asignacion por Turno</v>
          </cell>
        </row>
        <row r="246">
          <cell r="A246">
            <v>201943787</v>
          </cell>
          <cell r="B246">
            <v>2102001020</v>
          </cell>
          <cell r="C246" t="str">
            <v>Asignacion Articulo 1 Ley N 19.264</v>
          </cell>
        </row>
        <row r="247">
          <cell r="A247">
            <v>201943788</v>
          </cell>
          <cell r="B247">
            <v>2102001021</v>
          </cell>
          <cell r="C247" t="str">
            <v>Componente Base Asignacion de Desempeno</v>
          </cell>
        </row>
        <row r="248">
          <cell r="A248">
            <v>201943789</v>
          </cell>
          <cell r="B248">
            <v>2102001022</v>
          </cell>
          <cell r="C248" t="str">
            <v>Asignacion de Control</v>
          </cell>
        </row>
        <row r="249">
          <cell r="A249">
            <v>201943790</v>
          </cell>
          <cell r="B249">
            <v>2102001023</v>
          </cell>
          <cell r="C249" t="str">
            <v>Asignacion de Defensa Penal Publica</v>
          </cell>
        </row>
        <row r="250">
          <cell r="A250">
            <v>201943791</v>
          </cell>
          <cell r="B250">
            <v>2102001024</v>
          </cell>
          <cell r="C250" t="str">
            <v>Asignacion Articulo 1 Ley N 19. 112</v>
          </cell>
        </row>
        <row r="251">
          <cell r="A251">
            <v>201943792</v>
          </cell>
          <cell r="B251">
            <v>2102001025</v>
          </cell>
          <cell r="C251" t="str">
            <v>Asignacion Articulo 1 Ley N 19.432</v>
          </cell>
        </row>
        <row r="252">
          <cell r="A252">
            <v>201943793</v>
          </cell>
          <cell r="B252">
            <v>2102001026</v>
          </cell>
          <cell r="C252" t="str">
            <v>Asignacion de Estimulo Personal Medico Diurno</v>
          </cell>
        </row>
        <row r="253">
          <cell r="A253">
            <v>201943794</v>
          </cell>
          <cell r="B253">
            <v>2102001027</v>
          </cell>
          <cell r="C253" t="str">
            <v>Asignacion de Estimulo Personal Medico y Profesores</v>
          </cell>
        </row>
        <row r="254">
          <cell r="A254">
            <v>201943795</v>
          </cell>
          <cell r="B254">
            <v>2102001028</v>
          </cell>
          <cell r="C254" t="str">
            <v>Aplicacion Articulo 7 Ley N 19.112</v>
          </cell>
        </row>
        <row r="255">
          <cell r="A255">
            <v>201943796</v>
          </cell>
          <cell r="B255">
            <v>2102001029</v>
          </cell>
          <cell r="C255" t="str">
            <v>Asignacion de Estimulo por Falencia</v>
          </cell>
        </row>
        <row r="256">
          <cell r="A256">
            <v>201943797</v>
          </cell>
          <cell r="B256">
            <v>2102001030</v>
          </cell>
          <cell r="C256" t="str">
            <v>Asignacion de Experiencia Calificada</v>
          </cell>
        </row>
        <row r="257">
          <cell r="A257">
            <v>201943798</v>
          </cell>
          <cell r="B257">
            <v>2102001031</v>
          </cell>
          <cell r="C257" t="str">
            <v>Asignacion de Reforzamiento Profesional Diurno</v>
          </cell>
        </row>
        <row r="258">
          <cell r="A258">
            <v>201943799</v>
          </cell>
          <cell r="B258">
            <v>2102001032</v>
          </cell>
          <cell r="C258" t="str">
            <v>Asignacion Judicial</v>
          </cell>
        </row>
        <row r="259">
          <cell r="A259">
            <v>201943800</v>
          </cell>
          <cell r="B259">
            <v>2102001033</v>
          </cell>
          <cell r="C259" t="str">
            <v>Asignacion de Casa</v>
          </cell>
        </row>
        <row r="260">
          <cell r="A260">
            <v>201943801</v>
          </cell>
          <cell r="B260">
            <v>2102001034</v>
          </cell>
          <cell r="C260" t="str">
            <v>Asignacion Legislativa</v>
          </cell>
        </row>
        <row r="261">
          <cell r="A261">
            <v>201943802</v>
          </cell>
          <cell r="B261">
            <v>2102001035</v>
          </cell>
          <cell r="C261" t="str">
            <v>Asignacion Articulo 11 Ley N 19.041</v>
          </cell>
        </row>
        <row r="262">
          <cell r="A262">
            <v>201943803</v>
          </cell>
          <cell r="B262">
            <v>2102001036</v>
          </cell>
          <cell r="C262" t="str">
            <v>Asignacion nica</v>
          </cell>
        </row>
        <row r="263">
          <cell r="A263">
            <v>201943804</v>
          </cell>
          <cell r="B263">
            <v>2102001037</v>
          </cell>
          <cell r="C263" t="str">
            <v>Asignacion Zonas Extremas</v>
          </cell>
        </row>
        <row r="264">
          <cell r="A264">
            <v>201943805</v>
          </cell>
          <cell r="B264">
            <v>2102001038</v>
          </cell>
          <cell r="C264" t="str">
            <v>Asignacion de Responsabilidad Superior</v>
          </cell>
        </row>
        <row r="265">
          <cell r="A265">
            <v>201943806</v>
          </cell>
          <cell r="B265">
            <v>2102001039</v>
          </cell>
          <cell r="C265" t="str">
            <v>Asignacion Familiar en el Exterior</v>
          </cell>
        </row>
        <row r="266">
          <cell r="A266">
            <v>201943807</v>
          </cell>
          <cell r="B266">
            <v>2102001040</v>
          </cell>
          <cell r="C266" t="str">
            <v>Asignaciones Exclusivas de las Fuerzas Armadas y de Orden</v>
          </cell>
        </row>
        <row r="267">
          <cell r="A267">
            <v>201943808</v>
          </cell>
          <cell r="B267">
            <v>2102001041</v>
          </cell>
          <cell r="C267" t="str">
            <v>Asignaciones por Desempeno en el Exterior</v>
          </cell>
        </row>
        <row r="268">
          <cell r="A268">
            <v>201943809</v>
          </cell>
          <cell r="B268">
            <v>2102001999</v>
          </cell>
          <cell r="C268" t="str">
            <v>Otras Asignaciones</v>
          </cell>
        </row>
        <row r="269">
          <cell r="A269">
            <v>201943810</v>
          </cell>
          <cell r="B269">
            <v>2102002</v>
          </cell>
          <cell r="C269" t="str">
            <v>Aportes del Empleador</v>
          </cell>
        </row>
        <row r="270">
          <cell r="A270">
            <v>201943811</v>
          </cell>
          <cell r="B270">
            <v>2102002001</v>
          </cell>
          <cell r="C270" t="str">
            <v>A Servicios de Bienestar</v>
          </cell>
        </row>
        <row r="271">
          <cell r="A271">
            <v>201943812</v>
          </cell>
          <cell r="B271">
            <v>2102002002</v>
          </cell>
          <cell r="C271" t="str">
            <v>Otras Cotizaciones Previsionales</v>
          </cell>
        </row>
        <row r="272">
          <cell r="A272">
            <v>201943813</v>
          </cell>
          <cell r="B272">
            <v>2102002003</v>
          </cell>
          <cell r="C272" t="str">
            <v>Cotizacion Adicional, Articulo 8 Ley N 18.566</v>
          </cell>
        </row>
        <row r="273">
          <cell r="A273">
            <v>201943814</v>
          </cell>
          <cell r="B273">
            <v>2102003</v>
          </cell>
          <cell r="C273" t="str">
            <v>Asignaciones por Desempeno</v>
          </cell>
        </row>
        <row r="274">
          <cell r="A274">
            <v>201943815</v>
          </cell>
          <cell r="B274">
            <v>2102003001</v>
          </cell>
          <cell r="C274" t="str">
            <v>Desempeno Institucional</v>
          </cell>
        </row>
        <row r="275">
          <cell r="A275">
            <v>201943816</v>
          </cell>
          <cell r="B275">
            <v>2102003002</v>
          </cell>
          <cell r="C275" t="str">
            <v>Desempeno Colectivo</v>
          </cell>
        </row>
        <row r="276">
          <cell r="A276">
            <v>201943817</v>
          </cell>
          <cell r="B276">
            <v>2102003003</v>
          </cell>
          <cell r="C276" t="str">
            <v>Desempeno Individual</v>
          </cell>
        </row>
        <row r="277">
          <cell r="A277">
            <v>201947067</v>
          </cell>
          <cell r="B277">
            <v>2102003004</v>
          </cell>
          <cell r="C277" t="str">
            <v>Asignacion por Produccion</v>
          </cell>
        </row>
        <row r="278">
          <cell r="A278">
            <v>201947068</v>
          </cell>
          <cell r="B278">
            <v>2102003005</v>
          </cell>
          <cell r="C278" t="str">
            <v>Asignacion Mejoramiento de Trato a los Usuarios</v>
          </cell>
        </row>
        <row r="279">
          <cell r="A279">
            <v>201943818</v>
          </cell>
          <cell r="B279">
            <v>2102004</v>
          </cell>
          <cell r="C279" t="str">
            <v>Remuneraciones Variables</v>
          </cell>
        </row>
        <row r="280">
          <cell r="A280">
            <v>201943819</v>
          </cell>
          <cell r="B280">
            <v>2102004001</v>
          </cell>
          <cell r="C280" t="str">
            <v>Asignacion Articulo 12 Ley N 19.041</v>
          </cell>
        </row>
        <row r="281">
          <cell r="A281">
            <v>201943820</v>
          </cell>
          <cell r="B281">
            <v>2102004002</v>
          </cell>
          <cell r="C281" t="str">
            <v>Asignacion de Estimulo Jornadas Prioritarias</v>
          </cell>
        </row>
        <row r="282">
          <cell r="A282">
            <v>201943821</v>
          </cell>
          <cell r="B282">
            <v>2102004003</v>
          </cell>
          <cell r="C282" t="str">
            <v>Asignacion Articulo 3 Ley N 19.264</v>
          </cell>
        </row>
        <row r="283">
          <cell r="A283">
            <v>201943822</v>
          </cell>
          <cell r="B283">
            <v>2102004004</v>
          </cell>
          <cell r="C283" t="str">
            <v>Asignacion por Desempeno de Funciones Criticas</v>
          </cell>
        </row>
        <row r="284">
          <cell r="A284">
            <v>201943823</v>
          </cell>
          <cell r="B284">
            <v>2102004005</v>
          </cell>
          <cell r="C284" t="str">
            <v>Trabajos Extraordinarios</v>
          </cell>
        </row>
        <row r="285">
          <cell r="A285">
            <v>201943824</v>
          </cell>
          <cell r="B285">
            <v>2102004006</v>
          </cell>
          <cell r="C285" t="str">
            <v>Comisiones de Servicios en el Pais</v>
          </cell>
        </row>
        <row r="286">
          <cell r="A286">
            <v>201943825</v>
          </cell>
          <cell r="B286">
            <v>2102004007</v>
          </cell>
          <cell r="C286" t="str">
            <v>Comisiones de Servicios en el Exterior</v>
          </cell>
        </row>
        <row r="287">
          <cell r="A287">
            <v>201943826</v>
          </cell>
          <cell r="B287">
            <v>2102005</v>
          </cell>
          <cell r="C287" t="str">
            <v>Aguinaldos y Bonos</v>
          </cell>
        </row>
        <row r="288">
          <cell r="A288">
            <v>201943827</v>
          </cell>
          <cell r="B288">
            <v>2102005001</v>
          </cell>
          <cell r="C288" t="str">
            <v>Aguinaldos</v>
          </cell>
        </row>
        <row r="289">
          <cell r="A289">
            <v>201943828</v>
          </cell>
          <cell r="B289">
            <v>2102005002</v>
          </cell>
          <cell r="C289" t="str">
            <v>Bono de Escolaridad</v>
          </cell>
        </row>
        <row r="290">
          <cell r="A290">
            <v>201943829</v>
          </cell>
          <cell r="B290">
            <v>2102005003</v>
          </cell>
          <cell r="C290" t="str">
            <v>Bonos Especiales</v>
          </cell>
        </row>
        <row r="291">
          <cell r="A291">
            <v>201943830</v>
          </cell>
          <cell r="B291">
            <v>2102005004</v>
          </cell>
          <cell r="C291" t="str">
            <v>Bonificacion Adicional al Bono de Escolaridad</v>
          </cell>
        </row>
        <row r="292">
          <cell r="A292">
            <v>201943831</v>
          </cell>
          <cell r="B292">
            <v>2103</v>
          </cell>
          <cell r="C292" t="str">
            <v>Otras Remuneraciones</v>
          </cell>
        </row>
        <row r="293">
          <cell r="A293">
            <v>201943832</v>
          </cell>
          <cell r="B293">
            <v>2103001</v>
          </cell>
          <cell r="C293" t="str">
            <v>Honorarios a Suma Alzada - Personas Naturales</v>
          </cell>
        </row>
        <row r="294">
          <cell r="A294">
            <v>201944570</v>
          </cell>
          <cell r="B294">
            <v>2103001001</v>
          </cell>
          <cell r="C294" t="str">
            <v>Honorarios a Suma Alzada-Honorarios</v>
          </cell>
        </row>
        <row r="295">
          <cell r="A295">
            <v>201944569</v>
          </cell>
          <cell r="B295">
            <v>2103001002</v>
          </cell>
          <cell r="C295" t="str">
            <v>Honorarios a Suma Alzada-Viaticos</v>
          </cell>
        </row>
        <row r="296">
          <cell r="A296">
            <v>201944561</v>
          </cell>
          <cell r="B296">
            <v>2103001111</v>
          </cell>
          <cell r="C296" t="str">
            <v>Honorarios AGES</v>
          </cell>
        </row>
        <row r="297">
          <cell r="A297">
            <v>201943833</v>
          </cell>
          <cell r="B297">
            <v>2103002</v>
          </cell>
          <cell r="C297" t="str">
            <v>Honorarios Asimilados a Grados</v>
          </cell>
        </row>
        <row r="298">
          <cell r="A298">
            <v>201943834</v>
          </cell>
          <cell r="B298">
            <v>2103003</v>
          </cell>
          <cell r="C298" t="str">
            <v>Jornales</v>
          </cell>
        </row>
        <row r="299">
          <cell r="A299">
            <v>201943835</v>
          </cell>
          <cell r="B299">
            <v>2103004</v>
          </cell>
          <cell r="C299" t="str">
            <v>Remuneraciones Reguladas por el Codigo del Trabajo</v>
          </cell>
        </row>
        <row r="300">
          <cell r="A300">
            <v>201943836</v>
          </cell>
          <cell r="B300">
            <v>2103005</v>
          </cell>
          <cell r="C300" t="str">
            <v>Suplencias y Reemplazos</v>
          </cell>
        </row>
        <row r="301">
          <cell r="A301">
            <v>201943837</v>
          </cell>
          <cell r="B301">
            <v>2103006</v>
          </cell>
          <cell r="C301" t="str">
            <v>Personal a Trato y/o Temporal</v>
          </cell>
        </row>
        <row r="302">
          <cell r="A302">
            <v>201943838</v>
          </cell>
          <cell r="B302">
            <v>2103007</v>
          </cell>
          <cell r="C302" t="str">
            <v>Alumnos en Practica</v>
          </cell>
        </row>
        <row r="303">
          <cell r="A303">
            <v>201943839</v>
          </cell>
          <cell r="B303">
            <v>2103999</v>
          </cell>
          <cell r="C303" t="str">
            <v>Otras</v>
          </cell>
        </row>
        <row r="304">
          <cell r="A304">
            <v>201943840</v>
          </cell>
          <cell r="B304">
            <v>2104</v>
          </cell>
          <cell r="C304" t="str">
            <v>Otros Gastos en Personal</v>
          </cell>
        </row>
        <row r="305">
          <cell r="A305">
            <v>201943841</v>
          </cell>
          <cell r="B305">
            <v>2104001</v>
          </cell>
          <cell r="C305" t="str">
            <v>Asignacion de Traslado</v>
          </cell>
        </row>
        <row r="306">
          <cell r="A306">
            <v>201943842</v>
          </cell>
          <cell r="B306">
            <v>2104002</v>
          </cell>
          <cell r="C306" t="str">
            <v>Dieta Parlamentaria</v>
          </cell>
        </row>
        <row r="307">
          <cell r="A307">
            <v>201943843</v>
          </cell>
          <cell r="B307">
            <v>2104003</v>
          </cell>
          <cell r="C307" t="str">
            <v>Dietas a Juntas, Consejos y Comisiones</v>
          </cell>
        </row>
        <row r="308">
          <cell r="A308">
            <v>201943844</v>
          </cell>
          <cell r="B308">
            <v>22</v>
          </cell>
          <cell r="C308" t="str">
            <v>BIENES Y SERVICIOS DE CONSUMO</v>
          </cell>
        </row>
        <row r="309">
          <cell r="A309">
            <v>201943845</v>
          </cell>
          <cell r="B309">
            <v>2201</v>
          </cell>
          <cell r="C309" t="str">
            <v>Alimentos y Bebidas</v>
          </cell>
        </row>
        <row r="310">
          <cell r="A310">
            <v>201943846</v>
          </cell>
          <cell r="B310">
            <v>2201001</v>
          </cell>
          <cell r="C310" t="str">
            <v>Para Personas</v>
          </cell>
        </row>
        <row r="311">
          <cell r="A311">
            <v>201943847</v>
          </cell>
          <cell r="B311">
            <v>2201002</v>
          </cell>
          <cell r="C311" t="str">
            <v>Para Animales</v>
          </cell>
        </row>
        <row r="312">
          <cell r="A312">
            <v>201943848</v>
          </cell>
          <cell r="B312">
            <v>2202</v>
          </cell>
          <cell r="C312" t="str">
            <v>Textiles, Vestuario y Calzado</v>
          </cell>
        </row>
        <row r="313">
          <cell r="A313">
            <v>201943849</v>
          </cell>
          <cell r="B313">
            <v>2202001</v>
          </cell>
          <cell r="C313" t="str">
            <v>Textiles y Acabados Textiles</v>
          </cell>
        </row>
        <row r="314">
          <cell r="A314">
            <v>201943850</v>
          </cell>
          <cell r="B314">
            <v>2202002</v>
          </cell>
          <cell r="C314" t="str">
            <v>Vestuario, Accesorios y Prendas Diversas</v>
          </cell>
        </row>
        <row r="315">
          <cell r="A315">
            <v>201943851</v>
          </cell>
          <cell r="B315">
            <v>2202003</v>
          </cell>
          <cell r="C315" t="str">
            <v>Calzado</v>
          </cell>
        </row>
        <row r="316">
          <cell r="A316">
            <v>201943852</v>
          </cell>
          <cell r="B316">
            <v>2203</v>
          </cell>
          <cell r="C316" t="str">
            <v>Combustibles y Lubricantes</v>
          </cell>
        </row>
        <row r="317">
          <cell r="A317">
            <v>201943853</v>
          </cell>
          <cell r="B317">
            <v>2203001</v>
          </cell>
          <cell r="C317" t="str">
            <v>Para Vehiculos</v>
          </cell>
        </row>
        <row r="318">
          <cell r="A318">
            <v>201943854</v>
          </cell>
          <cell r="B318">
            <v>2203002</v>
          </cell>
          <cell r="C318" t="str">
            <v>Para Maquinarias, Equipos de Produccion, Traccion y Elevacion</v>
          </cell>
        </row>
        <row r="319">
          <cell r="A319">
            <v>201943855</v>
          </cell>
          <cell r="B319">
            <v>2203003</v>
          </cell>
          <cell r="C319" t="str">
            <v>Para Calefaccion</v>
          </cell>
        </row>
        <row r="320">
          <cell r="A320">
            <v>201943856</v>
          </cell>
          <cell r="B320">
            <v>2203999</v>
          </cell>
          <cell r="C320" t="str">
            <v>Para Otros</v>
          </cell>
        </row>
        <row r="321">
          <cell r="A321">
            <v>201943952</v>
          </cell>
          <cell r="B321">
            <v>2204</v>
          </cell>
          <cell r="C321" t="str">
            <v>Materiales de Uso o Consumo</v>
          </cell>
        </row>
        <row r="322">
          <cell r="A322">
            <v>201943953</v>
          </cell>
          <cell r="B322">
            <v>2204001</v>
          </cell>
          <cell r="C322" t="str">
            <v>Materiales de Oficina</v>
          </cell>
        </row>
        <row r="323">
          <cell r="A323">
            <v>201943954</v>
          </cell>
          <cell r="B323">
            <v>2204002</v>
          </cell>
          <cell r="C323" t="str">
            <v>Textos y Otros Materiales de Ensenanza</v>
          </cell>
        </row>
        <row r="324">
          <cell r="A324">
            <v>201943955</v>
          </cell>
          <cell r="B324">
            <v>2204003</v>
          </cell>
          <cell r="C324" t="str">
            <v>Productos Quimicos</v>
          </cell>
        </row>
        <row r="325">
          <cell r="A325">
            <v>201943956</v>
          </cell>
          <cell r="B325">
            <v>2204004</v>
          </cell>
          <cell r="C325" t="str">
            <v>Productos Farmaceuticos</v>
          </cell>
        </row>
        <row r="326">
          <cell r="A326">
            <v>201943957</v>
          </cell>
          <cell r="B326">
            <v>2204005</v>
          </cell>
          <cell r="C326" t="str">
            <v>Materiales y tiles Quirurgicos</v>
          </cell>
        </row>
        <row r="327">
          <cell r="A327">
            <v>201943958</v>
          </cell>
          <cell r="B327">
            <v>2204006</v>
          </cell>
          <cell r="C327" t="str">
            <v>Fertilizantes, Insecticidas, Fungicidas y Otros</v>
          </cell>
        </row>
        <row r="328">
          <cell r="A328">
            <v>201943959</v>
          </cell>
          <cell r="B328">
            <v>2204007</v>
          </cell>
          <cell r="C328" t="str">
            <v>Materiales y tiles de Aseo</v>
          </cell>
        </row>
        <row r="329">
          <cell r="A329">
            <v>201943960</v>
          </cell>
          <cell r="B329">
            <v>2204008</v>
          </cell>
          <cell r="C329" t="str">
            <v>Menaje para Oficina, Casino y Otros</v>
          </cell>
        </row>
        <row r="330">
          <cell r="A330">
            <v>201943961</v>
          </cell>
          <cell r="B330">
            <v>2204009</v>
          </cell>
          <cell r="C330" t="str">
            <v>Insumos, Repuestos y Accesorios Computacionales</v>
          </cell>
        </row>
        <row r="331">
          <cell r="A331">
            <v>201943962</v>
          </cell>
          <cell r="B331">
            <v>2204010</v>
          </cell>
          <cell r="C331" t="str">
            <v>Materiales para Mantenimiento y Reparaciones de Inmuebles</v>
          </cell>
        </row>
        <row r="332">
          <cell r="A332">
            <v>201943963</v>
          </cell>
          <cell r="B332">
            <v>2204011</v>
          </cell>
          <cell r="C332" t="str">
            <v>Repuestos y Accesorios para Mantenimiento y Reparaciones de Vehiculos</v>
          </cell>
        </row>
        <row r="333">
          <cell r="A333">
            <v>201943964</v>
          </cell>
          <cell r="B333">
            <v>2204012</v>
          </cell>
          <cell r="C333" t="str">
            <v>Otros Materiales, Repuestos y tiles Diversos para Mantenimiento y Reparaciones</v>
          </cell>
        </row>
        <row r="334">
          <cell r="A334">
            <v>201943965</v>
          </cell>
          <cell r="B334">
            <v>2204013</v>
          </cell>
          <cell r="C334" t="str">
            <v>Equipos Menores</v>
          </cell>
        </row>
        <row r="335">
          <cell r="A335">
            <v>201943966</v>
          </cell>
          <cell r="B335">
            <v>2204014</v>
          </cell>
          <cell r="C335" t="str">
            <v>Productos Elaborados de Cuero, Caucho y Plasticos</v>
          </cell>
        </row>
        <row r="336">
          <cell r="A336">
            <v>201943967</v>
          </cell>
          <cell r="B336">
            <v>2204015</v>
          </cell>
          <cell r="C336" t="str">
            <v>Productos Agropecuarios y Forestales</v>
          </cell>
        </row>
        <row r="337">
          <cell r="A337">
            <v>201943968</v>
          </cell>
          <cell r="B337">
            <v>2204016</v>
          </cell>
          <cell r="C337" t="str">
            <v>Materias Primas y Semielaboradas</v>
          </cell>
        </row>
        <row r="338">
          <cell r="A338">
            <v>201943969</v>
          </cell>
          <cell r="B338">
            <v>2204999</v>
          </cell>
          <cell r="C338" t="str">
            <v>Otros</v>
          </cell>
        </row>
        <row r="339">
          <cell r="A339">
            <v>201943970</v>
          </cell>
          <cell r="B339">
            <v>2205</v>
          </cell>
          <cell r="C339" t="str">
            <v>Servicios Basicos</v>
          </cell>
        </row>
        <row r="340">
          <cell r="A340">
            <v>201943971</v>
          </cell>
          <cell r="B340">
            <v>2205001</v>
          </cell>
          <cell r="C340" t="str">
            <v>Electricidad</v>
          </cell>
        </row>
        <row r="341">
          <cell r="A341">
            <v>201943972</v>
          </cell>
          <cell r="B341">
            <v>2205002</v>
          </cell>
          <cell r="C341" t="str">
            <v>Agua</v>
          </cell>
        </row>
        <row r="342">
          <cell r="A342">
            <v>201943973</v>
          </cell>
          <cell r="B342">
            <v>2205003</v>
          </cell>
          <cell r="C342" t="str">
            <v>Gas</v>
          </cell>
        </row>
        <row r="343">
          <cell r="A343">
            <v>201943974</v>
          </cell>
          <cell r="B343">
            <v>2205004</v>
          </cell>
          <cell r="C343" t="str">
            <v>Correo</v>
          </cell>
        </row>
        <row r="344">
          <cell r="A344">
            <v>201943975</v>
          </cell>
          <cell r="B344">
            <v>2205005</v>
          </cell>
          <cell r="C344" t="str">
            <v>Telefonia Fija</v>
          </cell>
        </row>
        <row r="345">
          <cell r="A345">
            <v>201943976</v>
          </cell>
          <cell r="B345">
            <v>2205006</v>
          </cell>
          <cell r="C345" t="str">
            <v>Telefonia Celular</v>
          </cell>
        </row>
        <row r="346">
          <cell r="A346">
            <v>201943977</v>
          </cell>
          <cell r="B346">
            <v>2205007</v>
          </cell>
          <cell r="C346" t="str">
            <v>Acceso a Internet</v>
          </cell>
        </row>
        <row r="347">
          <cell r="A347">
            <v>201943978</v>
          </cell>
          <cell r="B347">
            <v>2205008</v>
          </cell>
          <cell r="C347" t="str">
            <v>Enlaces de Telecomunicaciones</v>
          </cell>
        </row>
        <row r="348">
          <cell r="A348">
            <v>201943979</v>
          </cell>
          <cell r="B348">
            <v>2205999</v>
          </cell>
          <cell r="C348" t="str">
            <v>Otros</v>
          </cell>
        </row>
        <row r="349">
          <cell r="A349">
            <v>201943980</v>
          </cell>
          <cell r="B349">
            <v>2206</v>
          </cell>
          <cell r="C349" t="str">
            <v>Mantenimiento y Reparaciones</v>
          </cell>
        </row>
        <row r="350">
          <cell r="A350">
            <v>201943981</v>
          </cell>
          <cell r="B350">
            <v>2206001</v>
          </cell>
          <cell r="C350" t="str">
            <v>Mantenimiento y Reparacion de Edificaciones</v>
          </cell>
        </row>
        <row r="351">
          <cell r="A351">
            <v>201943982</v>
          </cell>
          <cell r="B351">
            <v>2206002</v>
          </cell>
          <cell r="C351" t="str">
            <v>Mantenimiento y Reparacion de Vehiculos</v>
          </cell>
        </row>
        <row r="352">
          <cell r="A352">
            <v>201943983</v>
          </cell>
          <cell r="B352">
            <v>2206003</v>
          </cell>
          <cell r="C352" t="str">
            <v>Mantenimiento y Reparacion de Mobiliarios y Otros</v>
          </cell>
        </row>
        <row r="353">
          <cell r="A353">
            <v>201943984</v>
          </cell>
          <cell r="B353">
            <v>2206004</v>
          </cell>
          <cell r="C353" t="str">
            <v>Mantenimiento y Reparacion de Maquinas y Equipos de Oficina</v>
          </cell>
        </row>
        <row r="354">
          <cell r="A354">
            <v>201943985</v>
          </cell>
          <cell r="B354">
            <v>2206005</v>
          </cell>
          <cell r="C354" t="str">
            <v>Mantenimiento y Reparaciones de Maquinarias y Equipos de Produccion</v>
          </cell>
        </row>
        <row r="355">
          <cell r="A355">
            <v>201943986</v>
          </cell>
          <cell r="B355">
            <v>2206006</v>
          </cell>
          <cell r="C355" t="str">
            <v>Mantenimiento y Reparacion de Otras Maquinarias y Equipos</v>
          </cell>
        </row>
        <row r="356">
          <cell r="A356">
            <v>201943987</v>
          </cell>
          <cell r="B356">
            <v>2206007</v>
          </cell>
          <cell r="C356" t="str">
            <v>Mantenimiento y Reparacion de Equipos Informaticos</v>
          </cell>
        </row>
        <row r="357">
          <cell r="A357">
            <v>201943988</v>
          </cell>
          <cell r="B357">
            <v>2206999</v>
          </cell>
          <cell r="C357" t="str">
            <v>Otros</v>
          </cell>
        </row>
        <row r="358">
          <cell r="A358">
            <v>201943989</v>
          </cell>
          <cell r="B358">
            <v>2207</v>
          </cell>
          <cell r="C358" t="str">
            <v>Publicidad y Difusion</v>
          </cell>
        </row>
        <row r="359">
          <cell r="A359">
            <v>201943990</v>
          </cell>
          <cell r="B359">
            <v>2207001</v>
          </cell>
          <cell r="C359" t="str">
            <v>Servicios de Publicidad</v>
          </cell>
        </row>
        <row r="360">
          <cell r="A360">
            <v>201943991</v>
          </cell>
          <cell r="B360">
            <v>2207002</v>
          </cell>
          <cell r="C360" t="str">
            <v>Servicios de Impresion</v>
          </cell>
        </row>
        <row r="361">
          <cell r="A361">
            <v>201943992</v>
          </cell>
          <cell r="B361">
            <v>2207003</v>
          </cell>
          <cell r="C361" t="str">
            <v>Servicios de Encuadernacion y Empaste</v>
          </cell>
        </row>
        <row r="362">
          <cell r="A362">
            <v>201943993</v>
          </cell>
          <cell r="B362">
            <v>2207999</v>
          </cell>
          <cell r="C362" t="str">
            <v>Otros</v>
          </cell>
        </row>
        <row r="363">
          <cell r="A363">
            <v>201943994</v>
          </cell>
          <cell r="B363">
            <v>2208</v>
          </cell>
          <cell r="C363" t="str">
            <v>Servicios Generales</v>
          </cell>
        </row>
        <row r="364">
          <cell r="A364">
            <v>201943995</v>
          </cell>
          <cell r="B364">
            <v>2208001</v>
          </cell>
          <cell r="C364" t="str">
            <v>Servicios de Aseo</v>
          </cell>
        </row>
        <row r="365">
          <cell r="A365">
            <v>201943996</v>
          </cell>
          <cell r="B365">
            <v>2208002</v>
          </cell>
          <cell r="C365" t="str">
            <v>Servicios de Vigilancia</v>
          </cell>
        </row>
        <row r="366">
          <cell r="A366">
            <v>201943997</v>
          </cell>
          <cell r="B366">
            <v>2208003</v>
          </cell>
          <cell r="C366" t="str">
            <v>Servicios de Mantencion de Jardines</v>
          </cell>
        </row>
        <row r="367">
          <cell r="A367">
            <v>201943998</v>
          </cell>
          <cell r="B367">
            <v>2208007</v>
          </cell>
          <cell r="C367" t="str">
            <v>Pasajes, Fletes y Bodegajes</v>
          </cell>
        </row>
        <row r="368">
          <cell r="A368">
            <v>201943999</v>
          </cell>
          <cell r="B368">
            <v>2208008</v>
          </cell>
          <cell r="C368" t="str">
            <v>Salas Cunas y/o Jardines Infantiles</v>
          </cell>
        </row>
        <row r="369">
          <cell r="A369">
            <v>201944000</v>
          </cell>
          <cell r="B369">
            <v>2208009</v>
          </cell>
          <cell r="C369" t="str">
            <v>Servicios de Pago y Cobranza</v>
          </cell>
        </row>
        <row r="370">
          <cell r="A370">
            <v>201944001</v>
          </cell>
          <cell r="B370">
            <v>2208010</v>
          </cell>
          <cell r="C370" t="str">
            <v>Servicios de Suscripcion y Similares</v>
          </cell>
        </row>
        <row r="371">
          <cell r="A371">
            <v>201944002</v>
          </cell>
          <cell r="B371">
            <v>2208011</v>
          </cell>
          <cell r="C371" t="str">
            <v>Servicios de Produccion y Desarrollo de Eventos</v>
          </cell>
        </row>
        <row r="372">
          <cell r="A372">
            <v>201944003</v>
          </cell>
          <cell r="B372">
            <v>2208999</v>
          </cell>
          <cell r="C372" t="str">
            <v>Otros</v>
          </cell>
        </row>
        <row r="373">
          <cell r="A373">
            <v>201944004</v>
          </cell>
          <cell r="B373">
            <v>2209</v>
          </cell>
          <cell r="C373" t="str">
            <v>Arriendos</v>
          </cell>
        </row>
        <row r="374">
          <cell r="A374">
            <v>201944005</v>
          </cell>
          <cell r="B374">
            <v>2209001</v>
          </cell>
          <cell r="C374" t="str">
            <v>Arriendo de Terrenos</v>
          </cell>
        </row>
        <row r="375">
          <cell r="A375">
            <v>201944006</v>
          </cell>
          <cell r="B375">
            <v>2209002</v>
          </cell>
          <cell r="C375" t="str">
            <v>Arriendo de Edificios</v>
          </cell>
        </row>
        <row r="376">
          <cell r="A376">
            <v>201944007</v>
          </cell>
          <cell r="B376">
            <v>2209003</v>
          </cell>
          <cell r="C376" t="str">
            <v>Arriendo de Vehiculos</v>
          </cell>
        </row>
        <row r="377">
          <cell r="A377">
            <v>201944008</v>
          </cell>
          <cell r="B377">
            <v>2209004</v>
          </cell>
          <cell r="C377" t="str">
            <v>Arriendo de Mobiliario y Otros</v>
          </cell>
        </row>
        <row r="378">
          <cell r="A378">
            <v>201944009</v>
          </cell>
          <cell r="B378">
            <v>2209005</v>
          </cell>
          <cell r="C378" t="str">
            <v>Arriendo de Maquinas y Equipos</v>
          </cell>
        </row>
        <row r="379">
          <cell r="A379">
            <v>201944010</v>
          </cell>
          <cell r="B379">
            <v>2209006</v>
          </cell>
          <cell r="C379" t="str">
            <v>Arriendo de Equipos Informaticos</v>
          </cell>
        </row>
        <row r="380">
          <cell r="A380">
            <v>201944011</v>
          </cell>
          <cell r="B380">
            <v>2209999</v>
          </cell>
          <cell r="C380" t="str">
            <v>Otros</v>
          </cell>
        </row>
        <row r="381">
          <cell r="A381">
            <v>201944012</v>
          </cell>
          <cell r="B381">
            <v>2210</v>
          </cell>
          <cell r="C381" t="str">
            <v>Servicios Financieros y de Seguros</v>
          </cell>
        </row>
        <row r="382">
          <cell r="A382">
            <v>201944013</v>
          </cell>
          <cell r="B382">
            <v>2210001</v>
          </cell>
          <cell r="C382" t="str">
            <v>Gastos Financieros por Compra y Venta de Titulos y Valores</v>
          </cell>
        </row>
        <row r="383">
          <cell r="A383">
            <v>201944014</v>
          </cell>
          <cell r="B383">
            <v>2210002</v>
          </cell>
          <cell r="C383" t="str">
            <v>Primas y Gastos de Seguros</v>
          </cell>
        </row>
        <row r="384">
          <cell r="A384">
            <v>201944015</v>
          </cell>
          <cell r="B384">
            <v>2210003</v>
          </cell>
          <cell r="C384" t="str">
            <v>Servicios de Giros y Remesas</v>
          </cell>
        </row>
        <row r="385">
          <cell r="A385">
            <v>201944016</v>
          </cell>
          <cell r="B385">
            <v>2210004</v>
          </cell>
          <cell r="C385" t="str">
            <v>Gastos Bancarios</v>
          </cell>
        </row>
        <row r="386">
          <cell r="A386">
            <v>201944017</v>
          </cell>
          <cell r="B386">
            <v>2210999</v>
          </cell>
          <cell r="C386" t="str">
            <v>Otros</v>
          </cell>
        </row>
        <row r="387">
          <cell r="A387">
            <v>201944018</v>
          </cell>
          <cell r="B387">
            <v>2211</v>
          </cell>
          <cell r="C387" t="str">
            <v>Servicios Tecnicos y Profesionales</v>
          </cell>
        </row>
        <row r="388">
          <cell r="A388">
            <v>201944019</v>
          </cell>
          <cell r="B388">
            <v>2211001</v>
          </cell>
          <cell r="C388" t="str">
            <v>Estudios e Investigaciones</v>
          </cell>
        </row>
        <row r="389">
          <cell r="A389">
            <v>201944020</v>
          </cell>
          <cell r="B389">
            <v>2211002</v>
          </cell>
          <cell r="C389" t="str">
            <v>Cursos de Capacitacion</v>
          </cell>
        </row>
        <row r="390">
          <cell r="A390">
            <v>201944021</v>
          </cell>
          <cell r="B390">
            <v>2211003</v>
          </cell>
          <cell r="C390" t="str">
            <v>Servicios Informaticos</v>
          </cell>
        </row>
        <row r="391">
          <cell r="A391">
            <v>201944022</v>
          </cell>
          <cell r="B391">
            <v>2211999</v>
          </cell>
          <cell r="C391" t="str">
            <v>Otros</v>
          </cell>
        </row>
        <row r="392">
          <cell r="A392">
            <v>201944023</v>
          </cell>
          <cell r="B392">
            <v>2212</v>
          </cell>
          <cell r="C392" t="str">
            <v>Otros Gastos en Bienes y Servicios de Consumo</v>
          </cell>
        </row>
        <row r="393">
          <cell r="A393">
            <v>201944024</v>
          </cell>
          <cell r="B393">
            <v>2212001</v>
          </cell>
          <cell r="C393" t="str">
            <v>Gastos Reservados</v>
          </cell>
        </row>
        <row r="394">
          <cell r="A394">
            <v>201944025</v>
          </cell>
          <cell r="B394">
            <v>2212002</v>
          </cell>
          <cell r="C394" t="str">
            <v>Gastos Menores</v>
          </cell>
        </row>
        <row r="395">
          <cell r="A395">
            <v>201944026</v>
          </cell>
          <cell r="B395">
            <v>2212003</v>
          </cell>
          <cell r="C395" t="str">
            <v>Gastos de Representacion, Protocolo y Ceremonial</v>
          </cell>
        </row>
        <row r="396">
          <cell r="A396">
            <v>201944027</v>
          </cell>
          <cell r="B396">
            <v>2212004</v>
          </cell>
          <cell r="C396" t="str">
            <v>Intereses, Multas y Recargos</v>
          </cell>
        </row>
        <row r="397">
          <cell r="A397">
            <v>201944028</v>
          </cell>
          <cell r="B397">
            <v>2212005</v>
          </cell>
          <cell r="C397" t="str">
            <v>Derechos y Tasas</v>
          </cell>
        </row>
        <row r="398">
          <cell r="A398">
            <v>201944029</v>
          </cell>
          <cell r="B398">
            <v>2212006</v>
          </cell>
          <cell r="C398" t="str">
            <v>Contribuciones</v>
          </cell>
        </row>
        <row r="399">
          <cell r="A399">
            <v>201944030</v>
          </cell>
          <cell r="B399">
            <v>2212999</v>
          </cell>
          <cell r="C399" t="str">
            <v>Otros</v>
          </cell>
        </row>
        <row r="400">
          <cell r="A400">
            <v>201944031</v>
          </cell>
          <cell r="B400">
            <v>2215</v>
          </cell>
          <cell r="C400" t="str">
            <v>Material Policial y Militar</v>
          </cell>
        </row>
        <row r="401">
          <cell r="A401">
            <v>201944032</v>
          </cell>
          <cell r="B401">
            <v>23</v>
          </cell>
          <cell r="C401" t="str">
            <v>PRESTACIONES DE SEGURIDAD SOCIAL</v>
          </cell>
        </row>
        <row r="402">
          <cell r="A402">
            <v>201944033</v>
          </cell>
          <cell r="B402">
            <v>2301</v>
          </cell>
          <cell r="C402" t="str">
            <v>Prestaciones Previsionales</v>
          </cell>
        </row>
        <row r="403">
          <cell r="A403">
            <v>201944034</v>
          </cell>
          <cell r="B403">
            <v>2301001</v>
          </cell>
          <cell r="C403" t="str">
            <v>Jubilaciones, Pensiones y Montepios</v>
          </cell>
        </row>
        <row r="404">
          <cell r="A404">
            <v>201944035</v>
          </cell>
          <cell r="B404">
            <v>2301002</v>
          </cell>
          <cell r="C404" t="str">
            <v>Bonificaciones</v>
          </cell>
        </row>
        <row r="405">
          <cell r="A405">
            <v>201944036</v>
          </cell>
          <cell r="B405">
            <v>2301003</v>
          </cell>
          <cell r="C405" t="str">
            <v>Bono de Reconocimiento</v>
          </cell>
        </row>
        <row r="406">
          <cell r="A406">
            <v>201944037</v>
          </cell>
          <cell r="B406">
            <v>2301004</v>
          </cell>
          <cell r="C406" t="str">
            <v>Desahucios e Indemnizaciones</v>
          </cell>
        </row>
        <row r="407">
          <cell r="A407">
            <v>201944038</v>
          </cell>
          <cell r="B407">
            <v>2301005</v>
          </cell>
          <cell r="C407" t="str">
            <v>Fondo de Seguro Social de los Empleados Publicos</v>
          </cell>
        </row>
        <row r="408">
          <cell r="A408">
            <v>201944039</v>
          </cell>
          <cell r="B408">
            <v>2301006</v>
          </cell>
          <cell r="C408" t="str">
            <v>Asignacion por Muerte</v>
          </cell>
        </row>
        <row r="409">
          <cell r="A409">
            <v>201944040</v>
          </cell>
          <cell r="B409">
            <v>2301007</v>
          </cell>
          <cell r="C409" t="str">
            <v>Seguro de Vida</v>
          </cell>
        </row>
        <row r="410">
          <cell r="A410">
            <v>201944041</v>
          </cell>
          <cell r="B410">
            <v>2301008</v>
          </cell>
          <cell r="C410" t="str">
            <v>Devolucion de Imposiciones</v>
          </cell>
        </row>
        <row r="411">
          <cell r="A411">
            <v>201944042</v>
          </cell>
          <cell r="B411">
            <v>2301009</v>
          </cell>
          <cell r="C411" t="str">
            <v>Bonificaciones de Salud</v>
          </cell>
        </row>
        <row r="412">
          <cell r="A412">
            <v>201944043</v>
          </cell>
          <cell r="B412">
            <v>2301010</v>
          </cell>
          <cell r="C412" t="str">
            <v>Subsidios de Reposo Preventivo</v>
          </cell>
        </row>
        <row r="413">
          <cell r="A413">
            <v>201944044</v>
          </cell>
          <cell r="B413">
            <v>2301011</v>
          </cell>
          <cell r="C413" t="str">
            <v>Subsidio de Enfermedad y Medicina Curativa</v>
          </cell>
        </row>
        <row r="414">
          <cell r="A414">
            <v>201944045</v>
          </cell>
          <cell r="B414">
            <v>2301012</v>
          </cell>
          <cell r="C414" t="str">
            <v>Subsidios por Accidentes del Trabajo</v>
          </cell>
        </row>
        <row r="415">
          <cell r="A415">
            <v>201944046</v>
          </cell>
          <cell r="B415">
            <v>2301013</v>
          </cell>
          <cell r="C415" t="str">
            <v>Subsidios de Reposo Maternal, Articulo 196 Codigo del Trabajo</v>
          </cell>
        </row>
        <row r="416">
          <cell r="A416">
            <v>201944047</v>
          </cell>
          <cell r="B416">
            <v>2301014</v>
          </cell>
          <cell r="C416" t="str">
            <v>Subsidio Cajas de Compensacion de Asignacion Familiar</v>
          </cell>
        </row>
        <row r="417">
          <cell r="A417">
            <v>201944048</v>
          </cell>
          <cell r="B417">
            <v>2301015</v>
          </cell>
          <cell r="C417" t="str">
            <v>Aporte Fondo de Cesantia Solidario Ley N 19.728</v>
          </cell>
        </row>
        <row r="418">
          <cell r="A418">
            <v>201944150</v>
          </cell>
          <cell r="B418">
            <v>2301016</v>
          </cell>
          <cell r="C418" t="str">
            <v>Bonificacion por Hijo para las Mujeres</v>
          </cell>
        </row>
        <row r="419">
          <cell r="A419">
            <v>201944151</v>
          </cell>
          <cell r="B419">
            <v>2301017</v>
          </cell>
          <cell r="C419" t="str">
            <v>Fondo Bono Laboral Ley N 20.305</v>
          </cell>
        </row>
        <row r="420">
          <cell r="A420">
            <v>201944152</v>
          </cell>
          <cell r="B420">
            <v>2302</v>
          </cell>
          <cell r="C420" t="str">
            <v>Prestaciones de Asistencia Social</v>
          </cell>
        </row>
        <row r="421">
          <cell r="A421">
            <v>201944153</v>
          </cell>
          <cell r="B421">
            <v>2302001</v>
          </cell>
          <cell r="C421" t="str">
            <v>Asignacion Familiar</v>
          </cell>
        </row>
        <row r="422">
          <cell r="A422">
            <v>201944154</v>
          </cell>
          <cell r="B422">
            <v>2302002</v>
          </cell>
          <cell r="C422" t="str">
            <v>Pensiones Asistenciales</v>
          </cell>
        </row>
        <row r="423">
          <cell r="A423">
            <v>201944155</v>
          </cell>
          <cell r="B423">
            <v>2302003</v>
          </cell>
          <cell r="C423" t="str">
            <v>Garantia Estatal Pensiones Minimas</v>
          </cell>
        </row>
        <row r="424">
          <cell r="A424">
            <v>201944156</v>
          </cell>
          <cell r="B424">
            <v>2302004</v>
          </cell>
          <cell r="C424" t="str">
            <v>Ayudas Economicas y Otros Pagos Preventivos</v>
          </cell>
        </row>
        <row r="425">
          <cell r="A425">
            <v>201944157</v>
          </cell>
          <cell r="B425">
            <v>2302005</v>
          </cell>
          <cell r="C425" t="str">
            <v>Subsidios de Reposo Maternal y Cuidado del Nino</v>
          </cell>
        </row>
        <row r="426">
          <cell r="A426">
            <v>201944158</v>
          </cell>
          <cell r="B426">
            <v>2302006</v>
          </cell>
          <cell r="C426" t="str">
            <v>Subsidio de Cesantia</v>
          </cell>
        </row>
        <row r="427">
          <cell r="A427">
            <v>201944159</v>
          </cell>
          <cell r="B427">
            <v>2302007</v>
          </cell>
          <cell r="C427" t="str">
            <v>Pensiones Basicas Solidarias de Vejez</v>
          </cell>
        </row>
        <row r="428">
          <cell r="A428">
            <v>201944160</v>
          </cell>
          <cell r="B428">
            <v>2302008</v>
          </cell>
          <cell r="C428" t="str">
            <v>Pensiones Basicas Solidarias de Invalidez</v>
          </cell>
        </row>
        <row r="429">
          <cell r="A429">
            <v>201944161</v>
          </cell>
          <cell r="B429">
            <v>2302009</v>
          </cell>
          <cell r="C429" t="str">
            <v>Subsidio de Discapacidad Mental</v>
          </cell>
        </row>
        <row r="430">
          <cell r="A430">
            <v>201944162</v>
          </cell>
          <cell r="B430">
            <v>2302010</v>
          </cell>
          <cell r="C430" t="str">
            <v>Bono para Conyuges que cumplan Cincuenta Anos de Matrimonio</v>
          </cell>
        </row>
        <row r="431">
          <cell r="A431">
            <v>201944163</v>
          </cell>
          <cell r="B431">
            <v>2302011</v>
          </cell>
          <cell r="C431" t="str">
            <v>Bonificacion Ley N20.531</v>
          </cell>
        </row>
        <row r="432">
          <cell r="A432">
            <v>201944164</v>
          </cell>
          <cell r="B432">
            <v>2303</v>
          </cell>
          <cell r="C432" t="str">
            <v>Prestaciones Sociales del Empleador</v>
          </cell>
        </row>
        <row r="433">
          <cell r="A433">
            <v>201944165</v>
          </cell>
          <cell r="B433">
            <v>2303001</v>
          </cell>
          <cell r="C433" t="str">
            <v>Indemnizacion de Cargo Fiscal</v>
          </cell>
        </row>
        <row r="434">
          <cell r="A434">
            <v>201944166</v>
          </cell>
          <cell r="B434">
            <v>2303002</v>
          </cell>
          <cell r="C434" t="str">
            <v>Beneficios Medicos</v>
          </cell>
        </row>
        <row r="435">
          <cell r="A435">
            <v>201944167</v>
          </cell>
          <cell r="B435">
            <v>2303003</v>
          </cell>
          <cell r="C435" t="str">
            <v>Fondo Retiro Funcionarios Publicos Ley N 19.882</v>
          </cell>
        </row>
        <row r="436">
          <cell r="A436">
            <v>201944168</v>
          </cell>
          <cell r="B436">
            <v>2303004</v>
          </cell>
          <cell r="C436" t="str">
            <v>Otras Indemnizaciones</v>
          </cell>
        </row>
        <row r="437">
          <cell r="A437">
            <v>201944169</v>
          </cell>
          <cell r="B437">
            <v>24</v>
          </cell>
          <cell r="C437" t="str">
            <v>TRANSFERENCIAS CORRIENTES</v>
          </cell>
        </row>
        <row r="438">
          <cell r="A438">
            <v>201944170</v>
          </cell>
          <cell r="B438">
            <v>2401</v>
          </cell>
          <cell r="C438" t="str">
            <v>Al Sector Privado</v>
          </cell>
        </row>
        <row r="439">
          <cell r="A439">
            <v>201944171</v>
          </cell>
          <cell r="B439">
            <v>2402</v>
          </cell>
          <cell r="C439" t="str">
            <v>Al Gobierno Central</v>
          </cell>
        </row>
        <row r="440">
          <cell r="A440">
            <v>201944663</v>
          </cell>
          <cell r="B440">
            <v>2402005</v>
          </cell>
          <cell r="C440" t="str">
            <v>A la Direccion de Bibliotecas Archivos y Museos</v>
          </cell>
        </row>
        <row r="441">
          <cell r="A441">
            <v>201944172</v>
          </cell>
          <cell r="B441">
            <v>2403</v>
          </cell>
          <cell r="C441" t="str">
            <v>A Otras Entidades Publicas</v>
          </cell>
        </row>
        <row r="442">
          <cell r="A442">
            <v>201944560</v>
          </cell>
          <cell r="B442">
            <v>2403024</v>
          </cell>
          <cell r="C442" t="str">
            <v>Capacitacion en Desarrollo Regional y Comunal</v>
          </cell>
        </row>
        <row r="443">
          <cell r="A443">
            <v>201944664</v>
          </cell>
          <cell r="B443">
            <v>2403026</v>
          </cell>
          <cell r="C443" t="str">
            <v>Programa Academia Capacitacion Municipal y Regional</v>
          </cell>
        </row>
        <row r="444">
          <cell r="A444">
            <v>201944577</v>
          </cell>
          <cell r="B444">
            <v>2403029</v>
          </cell>
          <cell r="C444" t="str">
            <v>Municipalidades</v>
          </cell>
        </row>
        <row r="445">
          <cell r="A445">
            <v>201944573</v>
          </cell>
          <cell r="B445">
            <v>2403031</v>
          </cell>
          <cell r="C445" t="str">
            <v>Programa de Apoyo a la Acreditacion de Calidad de Servicios Municipales</v>
          </cell>
        </row>
        <row r="446">
          <cell r="A446">
            <v>201944559</v>
          </cell>
          <cell r="B446">
            <v>2403032</v>
          </cell>
          <cell r="C446" t="str">
            <v>Programa de Mejoramiento de la Gestion Municipal</v>
          </cell>
        </row>
        <row r="447">
          <cell r="A447">
            <v>201944665</v>
          </cell>
          <cell r="B447">
            <v>2403112</v>
          </cell>
          <cell r="C447" t="str">
            <v>Oficina Fondo Recuperacion de Ciudades</v>
          </cell>
        </row>
        <row r="448">
          <cell r="A448">
            <v>201944653</v>
          </cell>
          <cell r="B448">
            <v>2403399</v>
          </cell>
          <cell r="C448" t="str">
            <v>Oficina Credito de Apoyo a la Gestion Subnacional</v>
          </cell>
        </row>
        <row r="449">
          <cell r="A449">
            <v>201944568</v>
          </cell>
          <cell r="B449">
            <v>2403403</v>
          </cell>
          <cell r="C449" t="str">
            <v>Municipalidades (Compensacion por Predios Exentos)</v>
          </cell>
        </row>
        <row r="450">
          <cell r="A450">
            <v>201944572</v>
          </cell>
          <cell r="B450">
            <v>2403405</v>
          </cell>
          <cell r="C450" t="str">
            <v>Oficina Credito Puesta en Valor del Patrimonio</v>
          </cell>
        </row>
        <row r="451">
          <cell r="A451">
            <v>201944173</v>
          </cell>
          <cell r="B451">
            <v>2404</v>
          </cell>
          <cell r="C451" t="str">
            <v>A Empresas Publicas no Financieras</v>
          </cell>
        </row>
        <row r="452">
          <cell r="A452">
            <v>201944174</v>
          </cell>
          <cell r="B452">
            <v>2405</v>
          </cell>
          <cell r="C452" t="str">
            <v>A Empresas Publicas Financieras</v>
          </cell>
        </row>
        <row r="453">
          <cell r="A453">
            <v>201944175</v>
          </cell>
          <cell r="B453">
            <v>2406</v>
          </cell>
          <cell r="C453" t="str">
            <v>A Gobiernos Extranjeros</v>
          </cell>
        </row>
        <row r="454">
          <cell r="A454">
            <v>201944176</v>
          </cell>
          <cell r="B454">
            <v>2407</v>
          </cell>
          <cell r="C454" t="str">
            <v>A Organismos Internacionales</v>
          </cell>
        </row>
        <row r="455">
          <cell r="A455">
            <v>201944177</v>
          </cell>
          <cell r="B455">
            <v>25</v>
          </cell>
          <cell r="C455" t="str">
            <v>INTEGROS AL FISCO</v>
          </cell>
        </row>
        <row r="456">
          <cell r="A456">
            <v>201944178</v>
          </cell>
          <cell r="B456">
            <v>2501</v>
          </cell>
          <cell r="C456" t="str">
            <v>Impuestos</v>
          </cell>
        </row>
        <row r="457">
          <cell r="A457">
            <v>201944179</v>
          </cell>
          <cell r="B457">
            <v>2502</v>
          </cell>
          <cell r="C457" t="str">
            <v>Anticipos y/o Utilidades</v>
          </cell>
        </row>
        <row r="458">
          <cell r="A458">
            <v>201944180</v>
          </cell>
          <cell r="B458">
            <v>2503</v>
          </cell>
          <cell r="C458" t="str">
            <v>Excedentes de Caja</v>
          </cell>
        </row>
        <row r="459">
          <cell r="A459">
            <v>201944181</v>
          </cell>
          <cell r="B459">
            <v>2599</v>
          </cell>
          <cell r="C459" t="str">
            <v>Otros ntegros al Fisco</v>
          </cell>
        </row>
        <row r="460">
          <cell r="A460">
            <v>201944182</v>
          </cell>
          <cell r="B460">
            <v>26</v>
          </cell>
          <cell r="C460" t="str">
            <v>OTROS GASTOS CORRIENTES</v>
          </cell>
        </row>
        <row r="461">
          <cell r="A461">
            <v>201944183</v>
          </cell>
          <cell r="B461">
            <v>2601</v>
          </cell>
          <cell r="C461" t="str">
            <v>Devoluciones</v>
          </cell>
        </row>
        <row r="462">
          <cell r="A462">
            <v>201944184</v>
          </cell>
          <cell r="B462">
            <v>2602</v>
          </cell>
          <cell r="C462" t="str">
            <v>Compensaciones por Danos a Terceros y/o a la Propiedad</v>
          </cell>
        </row>
        <row r="463">
          <cell r="A463">
            <v>201944185</v>
          </cell>
          <cell r="B463">
            <v>2603</v>
          </cell>
          <cell r="C463" t="str">
            <v>2% Constitucional</v>
          </cell>
        </row>
        <row r="464">
          <cell r="A464">
            <v>201944186</v>
          </cell>
          <cell r="B464">
            <v>2604</v>
          </cell>
          <cell r="C464" t="str">
            <v>Aplicacion Fondos de Terceros</v>
          </cell>
        </row>
        <row r="465">
          <cell r="A465">
            <v>201944187</v>
          </cell>
          <cell r="B465">
            <v>27</v>
          </cell>
          <cell r="C465" t="str">
            <v>APORTE FISCAL LIBRE</v>
          </cell>
        </row>
        <row r="466">
          <cell r="A466">
            <v>201944188</v>
          </cell>
          <cell r="B466">
            <v>28</v>
          </cell>
          <cell r="C466" t="str">
            <v>APORTE FISCAL PARA SERVICIO DE LA DEUDA</v>
          </cell>
        </row>
        <row r="467">
          <cell r="A467">
            <v>201944189</v>
          </cell>
          <cell r="B467">
            <v>29</v>
          </cell>
          <cell r="C467" t="str">
            <v>ADQUISICION DE ACTIVOS NO FINANCIEROS</v>
          </cell>
        </row>
        <row r="468">
          <cell r="A468">
            <v>201944190</v>
          </cell>
          <cell r="B468">
            <v>2901</v>
          </cell>
          <cell r="C468" t="str">
            <v>Terrenos</v>
          </cell>
        </row>
        <row r="469">
          <cell r="A469">
            <v>201944191</v>
          </cell>
          <cell r="B469">
            <v>2902</v>
          </cell>
          <cell r="C469" t="str">
            <v>Edificios</v>
          </cell>
        </row>
        <row r="470">
          <cell r="A470">
            <v>201944192</v>
          </cell>
          <cell r="B470">
            <v>2903</v>
          </cell>
          <cell r="C470" t="str">
            <v>Vehiculos</v>
          </cell>
        </row>
        <row r="471">
          <cell r="A471">
            <v>201944193</v>
          </cell>
          <cell r="B471">
            <v>2904</v>
          </cell>
          <cell r="C471" t="str">
            <v>Mobiliario y Otros</v>
          </cell>
        </row>
        <row r="472">
          <cell r="A472">
            <v>201944194</v>
          </cell>
          <cell r="B472">
            <v>2905</v>
          </cell>
          <cell r="C472" t="str">
            <v>Maquinas y Equipos</v>
          </cell>
        </row>
        <row r="473">
          <cell r="A473">
            <v>201944195</v>
          </cell>
          <cell r="B473">
            <v>2905001</v>
          </cell>
          <cell r="C473" t="str">
            <v>Maquinas y Equipos de Oficina</v>
          </cell>
        </row>
        <row r="474">
          <cell r="A474">
            <v>201944196</v>
          </cell>
          <cell r="B474">
            <v>2905002</v>
          </cell>
          <cell r="C474" t="str">
            <v>Maquinarias y Equipos para la Produccion</v>
          </cell>
        </row>
        <row r="475">
          <cell r="A475">
            <v>201944197</v>
          </cell>
          <cell r="B475">
            <v>2905999</v>
          </cell>
          <cell r="C475" t="str">
            <v>Otras</v>
          </cell>
        </row>
        <row r="476">
          <cell r="A476">
            <v>201944198</v>
          </cell>
          <cell r="B476">
            <v>2906</v>
          </cell>
          <cell r="C476" t="str">
            <v>Equipos Informaticos</v>
          </cell>
        </row>
        <row r="477">
          <cell r="A477">
            <v>201944199</v>
          </cell>
          <cell r="B477">
            <v>2906001</v>
          </cell>
          <cell r="C477" t="str">
            <v>Equipos Computacionales y Perifericos</v>
          </cell>
        </row>
        <row r="478">
          <cell r="A478">
            <v>201944441</v>
          </cell>
          <cell r="B478">
            <v>2906002</v>
          </cell>
          <cell r="C478" t="str">
            <v>Equipos de Comunicaciones para Redes Informaticas</v>
          </cell>
        </row>
        <row r="479">
          <cell r="A479">
            <v>201944442</v>
          </cell>
          <cell r="B479">
            <v>2907</v>
          </cell>
          <cell r="C479" t="str">
            <v>Programas Informaticos</v>
          </cell>
        </row>
        <row r="480">
          <cell r="A480">
            <v>201944443</v>
          </cell>
          <cell r="B480">
            <v>2907001</v>
          </cell>
          <cell r="C480" t="str">
            <v>Programas Computacionales</v>
          </cell>
        </row>
        <row r="481">
          <cell r="A481">
            <v>201944444</v>
          </cell>
          <cell r="B481">
            <v>2907002</v>
          </cell>
          <cell r="C481" t="str">
            <v>Sistemas de Informacion</v>
          </cell>
        </row>
        <row r="482">
          <cell r="A482">
            <v>201944445</v>
          </cell>
          <cell r="B482">
            <v>2999</v>
          </cell>
          <cell r="C482" t="str">
            <v>Otros Activos no Financieros</v>
          </cell>
        </row>
        <row r="483">
          <cell r="A483">
            <v>201944446</v>
          </cell>
          <cell r="B483">
            <v>30</v>
          </cell>
          <cell r="C483" t="str">
            <v>ADQUISICION DE ACTIVOS FINANCIEROS</v>
          </cell>
        </row>
        <row r="484">
          <cell r="A484">
            <v>201944447</v>
          </cell>
          <cell r="B484">
            <v>3001</v>
          </cell>
          <cell r="C484" t="str">
            <v>Compra de Titulos y Valores</v>
          </cell>
        </row>
        <row r="485">
          <cell r="A485">
            <v>201944448</v>
          </cell>
          <cell r="B485">
            <v>3001001</v>
          </cell>
          <cell r="C485" t="str">
            <v>Depositos a Plazo</v>
          </cell>
        </row>
        <row r="486">
          <cell r="A486">
            <v>201944449</v>
          </cell>
          <cell r="B486">
            <v>3001002</v>
          </cell>
          <cell r="C486" t="str">
            <v>Pactos de Retrocompra</v>
          </cell>
        </row>
        <row r="487">
          <cell r="A487">
            <v>201944450</v>
          </cell>
          <cell r="B487">
            <v>3001003</v>
          </cell>
          <cell r="C487" t="str">
            <v>Cuotas de Fondos Mutuos</v>
          </cell>
        </row>
        <row r="488">
          <cell r="A488">
            <v>201944451</v>
          </cell>
          <cell r="B488">
            <v>3001004</v>
          </cell>
          <cell r="C488" t="str">
            <v>Bonos o Pagares</v>
          </cell>
        </row>
        <row r="489">
          <cell r="A489">
            <v>201944452</v>
          </cell>
          <cell r="B489">
            <v>3001005</v>
          </cell>
          <cell r="C489" t="str">
            <v>Letras Hipotecarias</v>
          </cell>
        </row>
        <row r="490">
          <cell r="A490">
            <v>201944453</v>
          </cell>
          <cell r="B490">
            <v>3001999</v>
          </cell>
          <cell r="C490" t="str">
            <v>Otros</v>
          </cell>
        </row>
        <row r="491">
          <cell r="A491">
            <v>201944454</v>
          </cell>
          <cell r="B491">
            <v>3002</v>
          </cell>
          <cell r="C491" t="str">
            <v>Compra de Acciones y Participaciones de Capital</v>
          </cell>
        </row>
        <row r="492">
          <cell r="A492">
            <v>201944455</v>
          </cell>
          <cell r="B492">
            <v>3003</v>
          </cell>
          <cell r="C492" t="str">
            <v>Operaciones de Cambio</v>
          </cell>
        </row>
        <row r="493">
          <cell r="A493">
            <v>201944456</v>
          </cell>
          <cell r="B493">
            <v>3099</v>
          </cell>
          <cell r="C493" t="str">
            <v>Otros Activos Financieros</v>
          </cell>
        </row>
        <row r="494">
          <cell r="A494">
            <v>201944457</v>
          </cell>
          <cell r="B494">
            <v>31</v>
          </cell>
          <cell r="C494" t="str">
            <v>INICIATIVAS DE INVERSION</v>
          </cell>
        </row>
        <row r="495">
          <cell r="A495">
            <v>201944458</v>
          </cell>
          <cell r="B495">
            <v>3101</v>
          </cell>
          <cell r="C495" t="str">
            <v>Estudios Basicos</v>
          </cell>
        </row>
        <row r="496">
          <cell r="A496">
            <v>201944459</v>
          </cell>
          <cell r="B496">
            <v>3101001</v>
          </cell>
          <cell r="C496" t="str">
            <v>Gastos Administrativos</v>
          </cell>
        </row>
        <row r="497">
          <cell r="A497">
            <v>201944460</v>
          </cell>
          <cell r="B497">
            <v>3101002</v>
          </cell>
          <cell r="C497" t="str">
            <v>Consultorias</v>
          </cell>
        </row>
        <row r="498">
          <cell r="A498">
            <v>201944461</v>
          </cell>
          <cell r="B498">
            <v>3102</v>
          </cell>
          <cell r="C498" t="str">
            <v>Proyectos</v>
          </cell>
        </row>
        <row r="499">
          <cell r="A499">
            <v>201944462</v>
          </cell>
          <cell r="B499">
            <v>3102001</v>
          </cell>
          <cell r="C499" t="str">
            <v>Gastos Administrativos</v>
          </cell>
        </row>
        <row r="500">
          <cell r="A500">
            <v>201944463</v>
          </cell>
          <cell r="B500">
            <v>3102002</v>
          </cell>
          <cell r="C500" t="str">
            <v>Consultorias</v>
          </cell>
        </row>
        <row r="501">
          <cell r="A501">
            <v>201944464</v>
          </cell>
          <cell r="B501">
            <v>3102003</v>
          </cell>
          <cell r="C501" t="str">
            <v>Terrenos</v>
          </cell>
        </row>
        <row r="502">
          <cell r="A502">
            <v>201944465</v>
          </cell>
          <cell r="B502">
            <v>3102004</v>
          </cell>
          <cell r="C502" t="str">
            <v>Obras Civiles</v>
          </cell>
        </row>
        <row r="503">
          <cell r="A503">
            <v>201944466</v>
          </cell>
          <cell r="B503">
            <v>3102005</v>
          </cell>
          <cell r="C503" t="str">
            <v>Equipamiento</v>
          </cell>
        </row>
        <row r="504">
          <cell r="A504">
            <v>201944467</v>
          </cell>
          <cell r="B504">
            <v>3102006</v>
          </cell>
          <cell r="C504" t="str">
            <v>Equipos</v>
          </cell>
        </row>
        <row r="505">
          <cell r="A505">
            <v>201944468</v>
          </cell>
          <cell r="B505">
            <v>3102007</v>
          </cell>
          <cell r="C505" t="str">
            <v>Vehiculos</v>
          </cell>
        </row>
        <row r="506">
          <cell r="A506">
            <v>201944469</v>
          </cell>
          <cell r="B506">
            <v>3102999</v>
          </cell>
          <cell r="C506" t="str">
            <v>Otros Gastos</v>
          </cell>
        </row>
        <row r="507">
          <cell r="A507">
            <v>201944470</v>
          </cell>
          <cell r="B507">
            <v>3103</v>
          </cell>
          <cell r="C507" t="str">
            <v>Programas de Inversion</v>
          </cell>
        </row>
        <row r="508">
          <cell r="A508">
            <v>201944471</v>
          </cell>
          <cell r="B508">
            <v>3103001</v>
          </cell>
          <cell r="C508" t="str">
            <v>Gastos Administrativos</v>
          </cell>
        </row>
        <row r="509">
          <cell r="A509">
            <v>201944472</v>
          </cell>
          <cell r="B509">
            <v>3103002</v>
          </cell>
          <cell r="C509" t="str">
            <v>Consultorias</v>
          </cell>
        </row>
        <row r="510">
          <cell r="A510">
            <v>201944473</v>
          </cell>
          <cell r="B510">
            <v>3103003</v>
          </cell>
          <cell r="C510" t="str">
            <v>Contratacion del Programa</v>
          </cell>
        </row>
        <row r="511">
          <cell r="A511">
            <v>201944474</v>
          </cell>
          <cell r="B511">
            <v>32</v>
          </cell>
          <cell r="C511" t="str">
            <v>PRESTAMOS</v>
          </cell>
        </row>
        <row r="512">
          <cell r="A512">
            <v>201944475</v>
          </cell>
          <cell r="B512">
            <v>3201</v>
          </cell>
          <cell r="C512" t="str">
            <v>De Asistencia Social</v>
          </cell>
        </row>
        <row r="513">
          <cell r="A513">
            <v>201944476</v>
          </cell>
          <cell r="B513">
            <v>3202</v>
          </cell>
          <cell r="C513" t="str">
            <v>Hipotecarios</v>
          </cell>
        </row>
        <row r="514">
          <cell r="A514">
            <v>201944477</v>
          </cell>
          <cell r="B514">
            <v>3203</v>
          </cell>
          <cell r="C514" t="str">
            <v>Pignoraticios</v>
          </cell>
        </row>
        <row r="515">
          <cell r="A515">
            <v>201944478</v>
          </cell>
          <cell r="B515">
            <v>3204</v>
          </cell>
          <cell r="C515" t="str">
            <v>De Fomento</v>
          </cell>
        </row>
        <row r="516">
          <cell r="A516">
            <v>201944667</v>
          </cell>
          <cell r="B516">
            <v>3204002</v>
          </cell>
          <cell r="C516" t="str">
            <v>Municipalidades</v>
          </cell>
        </row>
        <row r="517">
          <cell r="A517">
            <v>201944479</v>
          </cell>
          <cell r="B517">
            <v>3205</v>
          </cell>
          <cell r="C517" t="str">
            <v>Medicos</v>
          </cell>
        </row>
        <row r="518">
          <cell r="A518">
            <v>201944480</v>
          </cell>
          <cell r="B518">
            <v>3206</v>
          </cell>
          <cell r="C518" t="str">
            <v>Por Anticipos a Contratistas</v>
          </cell>
        </row>
        <row r="519">
          <cell r="A519">
            <v>201944481</v>
          </cell>
          <cell r="B519">
            <v>3207</v>
          </cell>
          <cell r="C519" t="str">
            <v>Por Anticipos por Cambio de Residencia</v>
          </cell>
        </row>
        <row r="520">
          <cell r="A520">
            <v>201944482</v>
          </cell>
          <cell r="B520">
            <v>3209</v>
          </cell>
          <cell r="C520" t="str">
            <v>Por Ventas a Plazo</v>
          </cell>
        </row>
        <row r="521">
          <cell r="A521">
            <v>201944483</v>
          </cell>
          <cell r="B521">
            <v>33</v>
          </cell>
          <cell r="C521" t="str">
            <v>TRANSFERENCIAS DE CAPITAL</v>
          </cell>
        </row>
        <row r="522">
          <cell r="A522">
            <v>201944484</v>
          </cell>
          <cell r="B522">
            <v>3301</v>
          </cell>
          <cell r="C522" t="str">
            <v>Al Sector Privado</v>
          </cell>
        </row>
        <row r="523">
          <cell r="A523">
            <v>201944485</v>
          </cell>
          <cell r="B523">
            <v>3302</v>
          </cell>
          <cell r="C523" t="str">
            <v>Al Gobierno Central</v>
          </cell>
        </row>
        <row r="524">
          <cell r="A524">
            <v>201944578</v>
          </cell>
          <cell r="B524">
            <v>3302001</v>
          </cell>
          <cell r="C524" t="str">
            <v>Programa Inversion Regional Region I</v>
          </cell>
        </row>
        <row r="525">
          <cell r="A525">
            <v>201944579</v>
          </cell>
          <cell r="B525">
            <v>3302002</v>
          </cell>
          <cell r="C525" t="str">
            <v>Programa Inversion Regional Region II</v>
          </cell>
        </row>
        <row r="526">
          <cell r="A526">
            <v>201944580</v>
          </cell>
          <cell r="B526">
            <v>3302003</v>
          </cell>
          <cell r="C526" t="str">
            <v>Programa Inversion Regional Region III</v>
          </cell>
        </row>
        <row r="527">
          <cell r="A527">
            <v>201944581</v>
          </cell>
          <cell r="B527">
            <v>3302004</v>
          </cell>
          <cell r="C527" t="str">
            <v>Programa Inversion Regional Region IV</v>
          </cell>
        </row>
        <row r="528">
          <cell r="A528">
            <v>201944582</v>
          </cell>
          <cell r="B528">
            <v>3302005</v>
          </cell>
          <cell r="C528" t="str">
            <v>Programa Inversion Regional Region V</v>
          </cell>
        </row>
        <row r="529">
          <cell r="A529">
            <v>201944583</v>
          </cell>
          <cell r="B529">
            <v>3302006</v>
          </cell>
          <cell r="C529" t="str">
            <v>Programa Inversion Regional Region VI</v>
          </cell>
        </row>
        <row r="530">
          <cell r="A530">
            <v>201944584</v>
          </cell>
          <cell r="B530">
            <v>3302007</v>
          </cell>
          <cell r="C530" t="str">
            <v>Programa Inversion Regional Region VII</v>
          </cell>
        </row>
        <row r="531">
          <cell r="A531">
            <v>201944585</v>
          </cell>
          <cell r="B531">
            <v>3302008</v>
          </cell>
          <cell r="C531" t="str">
            <v>Programa Inversion Regional Region VIII</v>
          </cell>
        </row>
        <row r="532">
          <cell r="A532">
            <v>201944586</v>
          </cell>
          <cell r="B532">
            <v>3302009</v>
          </cell>
          <cell r="C532" t="str">
            <v>Programa Inversion Regional Region IX</v>
          </cell>
        </row>
        <row r="533">
          <cell r="A533">
            <v>201944587</v>
          </cell>
          <cell r="B533">
            <v>3302010</v>
          </cell>
          <cell r="C533" t="str">
            <v>Programa Inversion Regional Region X</v>
          </cell>
        </row>
        <row r="534">
          <cell r="A534">
            <v>201944658</v>
          </cell>
          <cell r="B534">
            <v>3302011</v>
          </cell>
          <cell r="C534" t="str">
            <v>Programa Inversion Regional Region XI</v>
          </cell>
        </row>
        <row r="535">
          <cell r="A535">
            <v>201944588</v>
          </cell>
          <cell r="B535">
            <v>3302012</v>
          </cell>
          <cell r="C535" t="str">
            <v>Programa Inversion Regional Region XII</v>
          </cell>
        </row>
        <row r="536">
          <cell r="A536">
            <v>201944642</v>
          </cell>
          <cell r="B536">
            <v>3302013</v>
          </cell>
          <cell r="C536" t="str">
            <v>Programa Inversion Regional Region Metropolitana</v>
          </cell>
        </row>
        <row r="537">
          <cell r="A537">
            <v>201944656</v>
          </cell>
          <cell r="B537">
            <v>3302014</v>
          </cell>
          <cell r="C537" t="str">
            <v>Programa Inversion Regional Region XIV</v>
          </cell>
        </row>
        <row r="538">
          <cell r="A538">
            <v>201944657</v>
          </cell>
          <cell r="B538">
            <v>3302015</v>
          </cell>
          <cell r="C538" t="str">
            <v>Programa Inversion Regional Region XV</v>
          </cell>
        </row>
        <row r="539">
          <cell r="A539">
            <v>201946403</v>
          </cell>
          <cell r="B539">
            <v>3302016</v>
          </cell>
          <cell r="C539" t="str">
            <v>Al Consejo Nacional De La Cultura Y Las Artes</v>
          </cell>
        </row>
        <row r="540">
          <cell r="A540">
            <v>201944486</v>
          </cell>
          <cell r="B540">
            <v>3303</v>
          </cell>
          <cell r="C540" t="str">
            <v>A Otras Entidades Publicas</v>
          </cell>
        </row>
        <row r="541">
          <cell r="A541">
            <v>201944643</v>
          </cell>
          <cell r="B541">
            <v>3303001</v>
          </cell>
          <cell r="C541" t="str">
            <v>Provision Fondo Nacional de Desarrollo Regional</v>
          </cell>
        </row>
        <row r="542">
          <cell r="A542">
            <v>201944644</v>
          </cell>
          <cell r="B542">
            <v>3303003</v>
          </cell>
          <cell r="C542" t="str">
            <v>Provision Infraestructura Educacional</v>
          </cell>
        </row>
        <row r="543">
          <cell r="A543">
            <v>201944645</v>
          </cell>
          <cell r="B543">
            <v>3303005</v>
          </cell>
          <cell r="C543" t="str">
            <v>Municipalidades (Programa Mejoramiento Urbano y Equipamiento Comunal)</v>
          </cell>
        </row>
        <row r="544">
          <cell r="A544">
            <v>201944650</v>
          </cell>
          <cell r="B544">
            <v>3303005001</v>
          </cell>
          <cell r="C544" t="str">
            <v>Emergencia</v>
          </cell>
        </row>
        <row r="545">
          <cell r="A545">
            <v>201944651</v>
          </cell>
          <cell r="B545">
            <v>3303005002</v>
          </cell>
          <cell r="C545" t="str">
            <v>Tradicional</v>
          </cell>
        </row>
        <row r="546">
          <cell r="A546">
            <v>201944652</v>
          </cell>
          <cell r="B546">
            <v>3303005003</v>
          </cell>
          <cell r="C546" t="str">
            <v>Emergencia FIE</v>
          </cell>
        </row>
        <row r="547">
          <cell r="A547">
            <v>201944646</v>
          </cell>
          <cell r="B547">
            <v>3303006</v>
          </cell>
          <cell r="C547" t="str">
            <v>Municipalidades (Programa Mejoramiento de Barrios)</v>
          </cell>
        </row>
        <row r="548">
          <cell r="A548">
            <v>201944571</v>
          </cell>
          <cell r="B548">
            <v>3303016</v>
          </cell>
          <cell r="C548" t="str">
            <v>Municipalidades - Sistema Informacion Financiera Municipal</v>
          </cell>
        </row>
        <row r="549">
          <cell r="A549">
            <v>201944647</v>
          </cell>
          <cell r="B549">
            <v>3303017</v>
          </cell>
          <cell r="C549" t="str">
            <v>Provision Programa Infraestructura Rural</v>
          </cell>
        </row>
        <row r="550">
          <cell r="A550">
            <v>201944659</v>
          </cell>
          <cell r="B550">
            <v>3303021</v>
          </cell>
          <cell r="C550" t="str">
            <v>Provision Puesta en Valor del Patrimonio</v>
          </cell>
        </row>
        <row r="551">
          <cell r="A551">
            <v>201944654</v>
          </cell>
          <cell r="B551">
            <v>3303024</v>
          </cell>
          <cell r="C551" t="str">
            <v>Provision Programa Fondo de Innovacion para la Competitividad</v>
          </cell>
        </row>
        <row r="552">
          <cell r="A552">
            <v>201944655</v>
          </cell>
          <cell r="B552">
            <v>3303025</v>
          </cell>
          <cell r="C552" t="str">
            <v>Provision de Apoyo a la Gestion Subnacional</v>
          </cell>
        </row>
        <row r="553">
          <cell r="A553">
            <v>201944565</v>
          </cell>
          <cell r="B553">
            <v>3303100</v>
          </cell>
          <cell r="C553" t="str">
            <v>Municipalidades (Fondo Recuperacion de Ciudades)</v>
          </cell>
        </row>
        <row r="554">
          <cell r="A554">
            <v>201944666</v>
          </cell>
          <cell r="B554">
            <v>3303110</v>
          </cell>
          <cell r="C554" t="str">
            <v>Municipalidades (Fondo de Incentivo al Mejoramiento de la Gestion Municipal)</v>
          </cell>
        </row>
        <row r="555">
          <cell r="A555">
            <v>201944648</v>
          </cell>
          <cell r="B555">
            <v>3303130</v>
          </cell>
          <cell r="C555" t="str">
            <v>Provision Programa Saneamiento Sanitario</v>
          </cell>
        </row>
        <row r="556">
          <cell r="A556">
            <v>201944649</v>
          </cell>
          <cell r="B556">
            <v>3303190</v>
          </cell>
          <cell r="C556" t="str">
            <v>Provision Programa Residuos Solidos</v>
          </cell>
        </row>
        <row r="557">
          <cell r="A557">
            <v>201944660</v>
          </cell>
          <cell r="B557">
            <v>3303418</v>
          </cell>
          <cell r="C557" t="str">
            <v>Provision Ley N 20.378 - Fondo de Apoyo Regional (FAR)</v>
          </cell>
        </row>
        <row r="558">
          <cell r="A558">
            <v>201944564</v>
          </cell>
          <cell r="B558">
            <v>3303421</v>
          </cell>
          <cell r="C558" t="str">
            <v>Provision Incorporacion Mayores Ingresos Propios</v>
          </cell>
        </row>
        <row r="559">
          <cell r="A559">
            <v>201944563</v>
          </cell>
          <cell r="B559">
            <v>3303423</v>
          </cell>
          <cell r="C559" t="str">
            <v>Provision Recuperacion Infraestructura Local Zona Centro Sur</v>
          </cell>
        </row>
        <row r="560">
          <cell r="A560">
            <v>201944562</v>
          </cell>
          <cell r="B560">
            <v>3303426</v>
          </cell>
          <cell r="C560" t="str">
            <v>Provision Energizacion</v>
          </cell>
        </row>
        <row r="561">
          <cell r="A561">
            <v>201944487</v>
          </cell>
          <cell r="B561">
            <v>3304</v>
          </cell>
          <cell r="C561" t="str">
            <v>A Empresas Publicas no Financieras</v>
          </cell>
        </row>
        <row r="562">
          <cell r="A562">
            <v>201944488</v>
          </cell>
          <cell r="B562">
            <v>3305</v>
          </cell>
          <cell r="C562" t="str">
            <v>A Empresas Publicas Financieras</v>
          </cell>
        </row>
        <row r="563">
          <cell r="A563">
            <v>201944489</v>
          </cell>
          <cell r="B563">
            <v>3306</v>
          </cell>
          <cell r="C563" t="str">
            <v>A Gobiernos Extranjeros</v>
          </cell>
        </row>
        <row r="564">
          <cell r="A564">
            <v>201944490</v>
          </cell>
          <cell r="B564">
            <v>3307</v>
          </cell>
          <cell r="C564" t="str">
            <v>A Organismos Internacionales</v>
          </cell>
        </row>
        <row r="565">
          <cell r="A565">
            <v>201944491</v>
          </cell>
          <cell r="B565">
            <v>34</v>
          </cell>
          <cell r="C565" t="str">
            <v>SERVICIO DE LA DEUDA</v>
          </cell>
        </row>
        <row r="566">
          <cell r="A566">
            <v>201944492</v>
          </cell>
          <cell r="B566">
            <v>3401</v>
          </cell>
          <cell r="C566" t="str">
            <v>Amortizacion Deuda Interna</v>
          </cell>
        </row>
        <row r="567">
          <cell r="A567">
            <v>201944589</v>
          </cell>
          <cell r="B567">
            <v>3401001</v>
          </cell>
          <cell r="C567" t="str">
            <v>Rescate de Valores</v>
          </cell>
        </row>
        <row r="568">
          <cell r="A568">
            <v>201944590</v>
          </cell>
          <cell r="B568">
            <v>3401002</v>
          </cell>
          <cell r="C568" t="str">
            <v>Emprestitos</v>
          </cell>
        </row>
        <row r="569">
          <cell r="A569">
            <v>201944591</v>
          </cell>
          <cell r="B569">
            <v>3401003</v>
          </cell>
          <cell r="C569" t="str">
            <v>Creditos de Proveedores</v>
          </cell>
        </row>
        <row r="570">
          <cell r="A570">
            <v>201944592</v>
          </cell>
          <cell r="B570">
            <v>3402</v>
          </cell>
          <cell r="C570" t="str">
            <v>Amortizacion Deuda Externa</v>
          </cell>
        </row>
        <row r="571">
          <cell r="A571">
            <v>201944593</v>
          </cell>
          <cell r="B571">
            <v>3402001</v>
          </cell>
          <cell r="C571" t="str">
            <v>Rescate de Valores</v>
          </cell>
        </row>
        <row r="572">
          <cell r="A572">
            <v>201944594</v>
          </cell>
          <cell r="B572">
            <v>3402002</v>
          </cell>
          <cell r="C572" t="str">
            <v>Emprestitos</v>
          </cell>
        </row>
        <row r="573">
          <cell r="A573">
            <v>201944595</v>
          </cell>
          <cell r="B573">
            <v>3402003</v>
          </cell>
          <cell r="C573" t="str">
            <v>Creditos de Proveedores</v>
          </cell>
        </row>
        <row r="574">
          <cell r="A574">
            <v>201944596</v>
          </cell>
          <cell r="B574">
            <v>3403</v>
          </cell>
          <cell r="C574" t="str">
            <v>Intereses Deuda Interna</v>
          </cell>
        </row>
        <row r="575">
          <cell r="A575">
            <v>201944597</v>
          </cell>
          <cell r="B575">
            <v>3403001</v>
          </cell>
          <cell r="C575" t="str">
            <v>Por Emision de Valores</v>
          </cell>
        </row>
        <row r="576">
          <cell r="A576">
            <v>201944598</v>
          </cell>
          <cell r="B576">
            <v>3403002</v>
          </cell>
          <cell r="C576" t="str">
            <v>Emprestitos</v>
          </cell>
        </row>
        <row r="577">
          <cell r="A577">
            <v>201944599</v>
          </cell>
          <cell r="B577">
            <v>3403003</v>
          </cell>
          <cell r="C577" t="str">
            <v>Creditos de Proveedores</v>
          </cell>
        </row>
        <row r="578">
          <cell r="A578">
            <v>201944600</v>
          </cell>
          <cell r="B578">
            <v>3404</v>
          </cell>
          <cell r="C578" t="str">
            <v>Intereses Deuda Externa</v>
          </cell>
        </row>
        <row r="579">
          <cell r="A579">
            <v>201944601</v>
          </cell>
          <cell r="B579">
            <v>3404001</v>
          </cell>
          <cell r="C579" t="str">
            <v>Por Emision de Valores</v>
          </cell>
        </row>
        <row r="580">
          <cell r="A580">
            <v>201944602</v>
          </cell>
          <cell r="B580">
            <v>3404002</v>
          </cell>
          <cell r="C580" t="str">
            <v>Emprestitos</v>
          </cell>
        </row>
        <row r="581">
          <cell r="A581">
            <v>201944661</v>
          </cell>
          <cell r="B581">
            <v>3404002001</v>
          </cell>
          <cell r="C581" t="str">
            <v>Intereses Deuda Publica</v>
          </cell>
        </row>
        <row r="582">
          <cell r="A582">
            <v>201944662</v>
          </cell>
          <cell r="B582">
            <v>3404002002</v>
          </cell>
          <cell r="C582" t="str">
            <v>Comisiones Deuda Publica</v>
          </cell>
        </row>
        <row r="583">
          <cell r="A583">
            <v>201944603</v>
          </cell>
          <cell r="B583">
            <v>3404003</v>
          </cell>
          <cell r="C583" t="str">
            <v>Creditos de Proveedores</v>
          </cell>
        </row>
        <row r="584">
          <cell r="A584">
            <v>201944604</v>
          </cell>
          <cell r="B584">
            <v>3405</v>
          </cell>
          <cell r="C584" t="str">
            <v>Otros Gastos Financieros Deuda Interna</v>
          </cell>
        </row>
        <row r="585">
          <cell r="A585">
            <v>201944605</v>
          </cell>
          <cell r="B585">
            <v>3405001</v>
          </cell>
          <cell r="C585" t="str">
            <v>Por Emision de Valores</v>
          </cell>
        </row>
        <row r="586">
          <cell r="A586">
            <v>201944606</v>
          </cell>
          <cell r="B586">
            <v>3405002</v>
          </cell>
          <cell r="C586" t="str">
            <v>Emprestitos</v>
          </cell>
        </row>
        <row r="587">
          <cell r="A587">
            <v>201944607</v>
          </cell>
          <cell r="B587">
            <v>3405003</v>
          </cell>
          <cell r="C587" t="str">
            <v>Creditos de Proveedores</v>
          </cell>
        </row>
        <row r="588">
          <cell r="A588">
            <v>201944608</v>
          </cell>
          <cell r="B588">
            <v>3406</v>
          </cell>
          <cell r="C588" t="str">
            <v>Otros Gastos Financieros Deuda Externa</v>
          </cell>
        </row>
        <row r="589">
          <cell r="A589">
            <v>201944609</v>
          </cell>
          <cell r="B589">
            <v>3406001</v>
          </cell>
          <cell r="C589" t="str">
            <v>Por Emision de Valores</v>
          </cell>
        </row>
        <row r="590">
          <cell r="A590">
            <v>201944610</v>
          </cell>
          <cell r="B590">
            <v>3406002</v>
          </cell>
          <cell r="C590" t="str">
            <v>Emprestitos</v>
          </cell>
        </row>
        <row r="591">
          <cell r="A591">
            <v>201944611</v>
          </cell>
          <cell r="B591">
            <v>3406003</v>
          </cell>
          <cell r="C591" t="str">
            <v>Creditos de Proveedores</v>
          </cell>
        </row>
        <row r="592">
          <cell r="A592">
            <v>201944612</v>
          </cell>
          <cell r="B592">
            <v>3407</v>
          </cell>
          <cell r="C592" t="str">
            <v>Deuda Flotante</v>
          </cell>
        </row>
        <row r="593">
          <cell r="A593">
            <v>201944613</v>
          </cell>
          <cell r="B593">
            <v>35</v>
          </cell>
          <cell r="C593" t="str">
            <v>SALDO FINAL DE CAJA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6 (2)"/>
      <sheetName val="Hoja6"/>
      <sheetName val="Analisis 21"/>
      <sheetName val="Compromisos Arrastre 2015"/>
      <sheetName val="Informatica"/>
      <sheetName val="Modificacion Sifim"/>
      <sheetName val="Academia 26"/>
      <sheetName val="Municipalidades 029"/>
      <sheetName val="Acreditación 031"/>
      <sheetName val="Mejoramiento 032"/>
      <sheetName val="Sifim 016"/>
      <sheetName val="Clasificador Presupuestario"/>
    </sheetNames>
    <sheetDataSet>
      <sheetData sheetId="0"/>
      <sheetData sheetId="1"/>
      <sheetData sheetId="2"/>
      <sheetData sheetId="3"/>
      <sheetData sheetId="4"/>
      <sheetData sheetId="5"/>
      <sheetData sheetId="6"/>
      <sheetData sheetId="7"/>
      <sheetData sheetId="8"/>
      <sheetData sheetId="9"/>
      <sheetData sheetId="10"/>
      <sheetData sheetId="11">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201947082</v>
          </cell>
          <cell r="B66">
            <v>502112</v>
          </cell>
          <cell r="C66" t="str">
            <v>Subsecretaria de Desarrollo Regional y Administrativo - Programa 05</v>
          </cell>
        </row>
        <row r="67">
          <cell r="A67">
            <v>201947142</v>
          </cell>
          <cell r="B67">
            <v>502113</v>
          </cell>
          <cell r="C67" t="str">
            <v>Subsecretaria de Desarrollo Regional y Administrativo - Programa 03</v>
          </cell>
        </row>
        <row r="68">
          <cell r="A68">
            <v>201944543</v>
          </cell>
          <cell r="B68">
            <v>503</v>
          </cell>
          <cell r="C68" t="str">
            <v>De Otras Entidades Publicas</v>
          </cell>
        </row>
        <row r="69">
          <cell r="A69">
            <v>201944544</v>
          </cell>
          <cell r="B69">
            <v>504</v>
          </cell>
          <cell r="C69" t="str">
            <v>De Empresas Publicas no Financieras</v>
          </cell>
        </row>
        <row r="70">
          <cell r="A70">
            <v>201944545</v>
          </cell>
          <cell r="B70">
            <v>505</v>
          </cell>
          <cell r="C70" t="str">
            <v>De Empresas Publicas Financieras</v>
          </cell>
        </row>
        <row r="71">
          <cell r="A71">
            <v>201944546</v>
          </cell>
          <cell r="B71">
            <v>506</v>
          </cell>
          <cell r="C71" t="str">
            <v>De Gobiernos Extranjeros</v>
          </cell>
        </row>
        <row r="72">
          <cell r="A72">
            <v>201944547</v>
          </cell>
          <cell r="B72">
            <v>507</v>
          </cell>
          <cell r="C72" t="str">
            <v>De Organismos Internacionales</v>
          </cell>
        </row>
        <row r="73">
          <cell r="A73">
            <v>201944548</v>
          </cell>
          <cell r="B73">
            <v>6</v>
          </cell>
          <cell r="C73" t="str">
            <v>RENTAS DE LA PROPIEDAD</v>
          </cell>
        </row>
        <row r="74">
          <cell r="A74">
            <v>201944549</v>
          </cell>
          <cell r="B74">
            <v>601</v>
          </cell>
          <cell r="C74" t="str">
            <v>Arriendo de Activos No Financieros</v>
          </cell>
        </row>
        <row r="75">
          <cell r="A75">
            <v>201944550</v>
          </cell>
          <cell r="B75">
            <v>602</v>
          </cell>
          <cell r="C75" t="str">
            <v>Dividendos</v>
          </cell>
        </row>
        <row r="76">
          <cell r="A76">
            <v>201944551</v>
          </cell>
          <cell r="B76">
            <v>603</v>
          </cell>
          <cell r="C76" t="str">
            <v>Intereses</v>
          </cell>
        </row>
        <row r="77">
          <cell r="A77">
            <v>201944552</v>
          </cell>
          <cell r="B77">
            <v>604</v>
          </cell>
          <cell r="C77" t="str">
            <v>Participacion de Utilidades</v>
          </cell>
        </row>
        <row r="78">
          <cell r="A78">
            <v>201944553</v>
          </cell>
          <cell r="B78">
            <v>699</v>
          </cell>
          <cell r="C78" t="str">
            <v>Otras Rentas de la Propiedad</v>
          </cell>
        </row>
        <row r="79">
          <cell r="A79">
            <v>201944554</v>
          </cell>
          <cell r="B79">
            <v>7</v>
          </cell>
          <cell r="C79" t="str">
            <v>INGRESOS DE OPERACIN</v>
          </cell>
        </row>
        <row r="80">
          <cell r="A80">
            <v>201944555</v>
          </cell>
          <cell r="B80">
            <v>701</v>
          </cell>
          <cell r="C80" t="str">
            <v>Venta de Bienes</v>
          </cell>
        </row>
        <row r="81">
          <cell r="A81">
            <v>201944556</v>
          </cell>
          <cell r="B81">
            <v>702</v>
          </cell>
          <cell r="C81" t="str">
            <v>Venta de Servicios</v>
          </cell>
        </row>
        <row r="82">
          <cell r="A82">
            <v>201944557</v>
          </cell>
          <cell r="B82">
            <v>8</v>
          </cell>
          <cell r="C82" t="str">
            <v>OTROS INGRESOS CORRIENTES</v>
          </cell>
        </row>
        <row r="83">
          <cell r="A83">
            <v>201944558</v>
          </cell>
          <cell r="B83">
            <v>801</v>
          </cell>
          <cell r="C83" t="str">
            <v>Recuperaciones y Reembolsos por Licencias Medicas</v>
          </cell>
        </row>
        <row r="84">
          <cell r="A84">
            <v>201943631</v>
          </cell>
          <cell r="B84">
            <v>801001</v>
          </cell>
          <cell r="C84" t="str">
            <v>Reembolsos Art. 4 Ley N 19.345 y Ley N 19.117 Art. nico</v>
          </cell>
        </row>
        <row r="85">
          <cell r="A85">
            <v>201943632</v>
          </cell>
          <cell r="B85">
            <v>801002</v>
          </cell>
          <cell r="C85" t="str">
            <v>Recuperaciones Art. 12 Ley N 18.196 y Ley N 19.117 Art. nico</v>
          </cell>
        </row>
        <row r="86">
          <cell r="A86">
            <v>201943633</v>
          </cell>
          <cell r="B86">
            <v>802</v>
          </cell>
          <cell r="C86" t="str">
            <v>Multas y Sanciones Pecuniarias</v>
          </cell>
        </row>
        <row r="87">
          <cell r="A87">
            <v>201943634</v>
          </cell>
          <cell r="B87">
            <v>804</v>
          </cell>
          <cell r="C87" t="str">
            <v>Fondos de Terceros</v>
          </cell>
        </row>
        <row r="88">
          <cell r="A88">
            <v>201943635</v>
          </cell>
          <cell r="B88">
            <v>899</v>
          </cell>
          <cell r="C88" t="str">
            <v>Otros</v>
          </cell>
        </row>
        <row r="89">
          <cell r="A89">
            <v>201943636</v>
          </cell>
          <cell r="B89">
            <v>899001</v>
          </cell>
          <cell r="C89" t="str">
            <v>Devoluciones y Reintegros no Provenientes de Impuestos</v>
          </cell>
        </row>
        <row r="90">
          <cell r="A90">
            <v>201943637</v>
          </cell>
          <cell r="B90">
            <v>899003</v>
          </cell>
          <cell r="C90" t="str">
            <v>Fondos en Administracion en Banco Central</v>
          </cell>
        </row>
        <row r="91">
          <cell r="A91">
            <v>201943638</v>
          </cell>
          <cell r="B91">
            <v>899004</v>
          </cell>
          <cell r="C91" t="str">
            <v>ntegros Ley N 19.030</v>
          </cell>
        </row>
        <row r="92">
          <cell r="A92">
            <v>201943639</v>
          </cell>
          <cell r="B92">
            <v>899999</v>
          </cell>
          <cell r="C92" t="str">
            <v>Otros</v>
          </cell>
        </row>
        <row r="93">
          <cell r="A93">
            <v>201943640</v>
          </cell>
          <cell r="B93">
            <v>9</v>
          </cell>
          <cell r="C93" t="str">
            <v>APORTE FISCAL</v>
          </cell>
        </row>
        <row r="94">
          <cell r="A94">
            <v>201943641</v>
          </cell>
          <cell r="B94">
            <v>901</v>
          </cell>
          <cell r="C94" t="str">
            <v>Libre</v>
          </cell>
        </row>
        <row r="95">
          <cell r="A95">
            <v>201944574</v>
          </cell>
          <cell r="B95">
            <v>901001</v>
          </cell>
          <cell r="C95" t="str">
            <v>Remuneraciones</v>
          </cell>
        </row>
        <row r="96">
          <cell r="A96">
            <v>201944575</v>
          </cell>
          <cell r="B96">
            <v>901002</v>
          </cell>
          <cell r="C96" t="str">
            <v>Resto</v>
          </cell>
        </row>
        <row r="97">
          <cell r="A97">
            <v>201943642</v>
          </cell>
          <cell r="B97">
            <v>902</v>
          </cell>
          <cell r="C97" t="str">
            <v>Servicio de la Deuda Interna</v>
          </cell>
        </row>
        <row r="98">
          <cell r="A98">
            <v>201943643</v>
          </cell>
          <cell r="B98">
            <v>902001</v>
          </cell>
          <cell r="C98" t="str">
            <v>Amortizaciones</v>
          </cell>
        </row>
        <row r="99">
          <cell r="A99">
            <v>201943644</v>
          </cell>
          <cell r="B99">
            <v>902002</v>
          </cell>
          <cell r="C99" t="str">
            <v>Intereses</v>
          </cell>
        </row>
        <row r="100">
          <cell r="A100">
            <v>201943645</v>
          </cell>
          <cell r="B100">
            <v>902003</v>
          </cell>
          <cell r="C100" t="str">
            <v>Otros Gastos Financieros</v>
          </cell>
        </row>
        <row r="101">
          <cell r="A101">
            <v>201943646</v>
          </cell>
          <cell r="B101">
            <v>903</v>
          </cell>
          <cell r="C101" t="str">
            <v>Servicio de la Deuda Externa</v>
          </cell>
        </row>
        <row r="102">
          <cell r="A102">
            <v>201943647</v>
          </cell>
          <cell r="B102">
            <v>903001</v>
          </cell>
          <cell r="C102" t="str">
            <v>Amortizaciones</v>
          </cell>
        </row>
        <row r="103">
          <cell r="A103">
            <v>201943648</v>
          </cell>
          <cell r="B103">
            <v>903002</v>
          </cell>
          <cell r="C103" t="str">
            <v>Intereses</v>
          </cell>
        </row>
        <row r="104">
          <cell r="A104">
            <v>201944567</v>
          </cell>
          <cell r="B104">
            <v>903002001</v>
          </cell>
          <cell r="C104" t="str">
            <v>Intereses Servicio a la Deuda</v>
          </cell>
        </row>
        <row r="105">
          <cell r="A105">
            <v>201944566</v>
          </cell>
          <cell r="B105">
            <v>903002002</v>
          </cell>
          <cell r="C105" t="str">
            <v>Comisiones Servicio a la Deuda</v>
          </cell>
        </row>
        <row r="106">
          <cell r="A106">
            <v>201943649</v>
          </cell>
          <cell r="B106">
            <v>903003</v>
          </cell>
          <cell r="C106" t="str">
            <v>Otros Gastos Financieros</v>
          </cell>
        </row>
        <row r="107">
          <cell r="A107">
            <v>201943650</v>
          </cell>
          <cell r="B107">
            <v>10</v>
          </cell>
          <cell r="C107" t="str">
            <v>VENTA DE ACTIVOS NO FINANCIEROS</v>
          </cell>
        </row>
        <row r="108">
          <cell r="A108">
            <v>201943651</v>
          </cell>
          <cell r="B108">
            <v>1001</v>
          </cell>
          <cell r="C108" t="str">
            <v>Terrenos</v>
          </cell>
        </row>
        <row r="109">
          <cell r="A109">
            <v>201943652</v>
          </cell>
          <cell r="B109">
            <v>1002</v>
          </cell>
          <cell r="C109" t="str">
            <v>Edificios</v>
          </cell>
        </row>
        <row r="110">
          <cell r="A110">
            <v>201943653</v>
          </cell>
          <cell r="B110">
            <v>1003</v>
          </cell>
          <cell r="C110" t="str">
            <v>Vehiculos</v>
          </cell>
        </row>
        <row r="111">
          <cell r="A111">
            <v>201943654</v>
          </cell>
          <cell r="B111">
            <v>1004</v>
          </cell>
          <cell r="C111" t="str">
            <v>Mobiliario y Otros</v>
          </cell>
        </row>
        <row r="112">
          <cell r="A112">
            <v>201943655</v>
          </cell>
          <cell r="B112">
            <v>1005</v>
          </cell>
          <cell r="C112" t="str">
            <v>Maquinas y Equipos</v>
          </cell>
        </row>
        <row r="113">
          <cell r="A113">
            <v>201943656</v>
          </cell>
          <cell r="B113">
            <v>1006</v>
          </cell>
          <cell r="C113" t="str">
            <v>Equipos Informaticos</v>
          </cell>
        </row>
        <row r="114">
          <cell r="A114">
            <v>201943657</v>
          </cell>
          <cell r="B114">
            <v>1007</v>
          </cell>
          <cell r="C114" t="str">
            <v>Programas Informaticos</v>
          </cell>
        </row>
        <row r="115">
          <cell r="A115">
            <v>201943658</v>
          </cell>
          <cell r="B115">
            <v>1099</v>
          </cell>
          <cell r="C115" t="str">
            <v>Otros Activos no Financieros</v>
          </cell>
        </row>
        <row r="116">
          <cell r="A116">
            <v>201943659</v>
          </cell>
          <cell r="B116">
            <v>11</v>
          </cell>
          <cell r="C116" t="str">
            <v>VENTA DE ACTIVOS FINANCIEROS</v>
          </cell>
        </row>
        <row r="117">
          <cell r="A117">
            <v>201943660</v>
          </cell>
          <cell r="B117">
            <v>1101</v>
          </cell>
          <cell r="C117" t="str">
            <v>Venta o Rescate de Titulos y Valores</v>
          </cell>
        </row>
        <row r="118">
          <cell r="A118">
            <v>201943661</v>
          </cell>
          <cell r="B118">
            <v>1101001</v>
          </cell>
          <cell r="C118" t="str">
            <v>Depositos a Plazo</v>
          </cell>
        </row>
        <row r="119">
          <cell r="A119">
            <v>201943662</v>
          </cell>
          <cell r="B119">
            <v>1101002</v>
          </cell>
          <cell r="C119" t="str">
            <v>Pactos de Retrocompra</v>
          </cell>
        </row>
        <row r="120">
          <cell r="A120">
            <v>201943663</v>
          </cell>
          <cell r="B120">
            <v>1101003</v>
          </cell>
          <cell r="C120" t="str">
            <v>Cuotas de Fondos Mutuos</v>
          </cell>
        </row>
        <row r="121">
          <cell r="A121">
            <v>201943664</v>
          </cell>
          <cell r="B121">
            <v>1101004</v>
          </cell>
          <cell r="C121" t="str">
            <v>Bonos o Pagares</v>
          </cell>
        </row>
        <row r="122">
          <cell r="A122">
            <v>201943665</v>
          </cell>
          <cell r="B122">
            <v>1101005</v>
          </cell>
          <cell r="C122" t="str">
            <v>Letras Hipotecarias</v>
          </cell>
        </row>
        <row r="123">
          <cell r="A123">
            <v>201943666</v>
          </cell>
          <cell r="B123">
            <v>1101999</v>
          </cell>
          <cell r="C123" t="str">
            <v>Otros</v>
          </cell>
        </row>
        <row r="124">
          <cell r="A124">
            <v>201943667</v>
          </cell>
          <cell r="B124">
            <v>1102</v>
          </cell>
          <cell r="C124" t="str">
            <v>Venta de Acciones y Participaciones de Capital</v>
          </cell>
        </row>
        <row r="125">
          <cell r="A125">
            <v>201943668</v>
          </cell>
          <cell r="B125">
            <v>1103</v>
          </cell>
          <cell r="C125" t="str">
            <v>Operaciones de Cambio</v>
          </cell>
        </row>
        <row r="126">
          <cell r="A126">
            <v>201943669</v>
          </cell>
          <cell r="B126">
            <v>1199</v>
          </cell>
          <cell r="C126" t="str">
            <v>Otros Activos Financieros</v>
          </cell>
        </row>
        <row r="127">
          <cell r="A127">
            <v>201943670</v>
          </cell>
          <cell r="B127">
            <v>12</v>
          </cell>
          <cell r="C127" t="str">
            <v>RECUPERACION DE PRESTAMOS</v>
          </cell>
        </row>
        <row r="128">
          <cell r="A128">
            <v>201943671</v>
          </cell>
          <cell r="B128">
            <v>1201</v>
          </cell>
          <cell r="C128" t="str">
            <v>De Asistencia Social</v>
          </cell>
        </row>
        <row r="129">
          <cell r="A129">
            <v>201943672</v>
          </cell>
          <cell r="B129">
            <v>1202</v>
          </cell>
          <cell r="C129" t="str">
            <v>Hipotecarios</v>
          </cell>
        </row>
        <row r="130">
          <cell r="A130">
            <v>201943673</v>
          </cell>
          <cell r="B130">
            <v>1203</v>
          </cell>
          <cell r="C130" t="str">
            <v>Pignoraticios</v>
          </cell>
        </row>
        <row r="131">
          <cell r="A131">
            <v>201943674</v>
          </cell>
          <cell r="B131">
            <v>1204</v>
          </cell>
          <cell r="C131" t="str">
            <v>De Fomento</v>
          </cell>
        </row>
        <row r="132">
          <cell r="A132">
            <v>201943675</v>
          </cell>
          <cell r="B132">
            <v>1205</v>
          </cell>
          <cell r="C132" t="str">
            <v>Medicos</v>
          </cell>
        </row>
        <row r="133">
          <cell r="A133">
            <v>201943676</v>
          </cell>
          <cell r="B133">
            <v>1206</v>
          </cell>
          <cell r="C133" t="str">
            <v>Por Anticipos a Contratistas</v>
          </cell>
        </row>
        <row r="134">
          <cell r="A134">
            <v>201943677</v>
          </cell>
          <cell r="B134">
            <v>1207</v>
          </cell>
          <cell r="C134" t="str">
            <v>Por Anticipos por Cambio de Residencia</v>
          </cell>
        </row>
        <row r="135">
          <cell r="A135">
            <v>201943678</v>
          </cell>
          <cell r="B135">
            <v>1209</v>
          </cell>
          <cell r="C135" t="str">
            <v>Por Ventas a Plazo</v>
          </cell>
        </row>
        <row r="136">
          <cell r="A136">
            <v>201943679</v>
          </cell>
          <cell r="B136">
            <v>1210</v>
          </cell>
          <cell r="C136" t="str">
            <v>Ingresos por Percibir</v>
          </cell>
        </row>
        <row r="137">
          <cell r="A137">
            <v>201943680</v>
          </cell>
          <cell r="B137">
            <v>13</v>
          </cell>
          <cell r="C137" t="str">
            <v>TRANSFERENCIAS PARA GASTOS DE CAPITAL</v>
          </cell>
        </row>
        <row r="138">
          <cell r="A138">
            <v>201943681</v>
          </cell>
          <cell r="B138">
            <v>1301</v>
          </cell>
          <cell r="C138" t="str">
            <v>Del Sector Privado</v>
          </cell>
        </row>
        <row r="139">
          <cell r="A139">
            <v>201943682</v>
          </cell>
          <cell r="B139">
            <v>1302</v>
          </cell>
          <cell r="C139" t="str">
            <v>Del Gobierno Central</v>
          </cell>
        </row>
        <row r="140">
          <cell r="A140">
            <v>201944576</v>
          </cell>
          <cell r="B140">
            <v>1302006</v>
          </cell>
          <cell r="C140" t="str">
            <v>Subsecretaria de Educacion</v>
          </cell>
        </row>
        <row r="141">
          <cell r="A141">
            <v>201946402</v>
          </cell>
          <cell r="B141">
            <v>1302080</v>
          </cell>
          <cell r="C141" t="str">
            <v>Tesoro Publico Ley N20.378 - Fondo De Apoyo Regional (FAR)</v>
          </cell>
        </row>
        <row r="142">
          <cell r="A142">
            <v>201947078</v>
          </cell>
          <cell r="B142">
            <v>1302113</v>
          </cell>
          <cell r="C142" t="str">
            <v>Subsecretaria de Desarrollo Regional y Administrativo - Programa 05</v>
          </cell>
        </row>
        <row r="143">
          <cell r="A143">
            <v>201947128</v>
          </cell>
          <cell r="B143">
            <v>1302114</v>
          </cell>
          <cell r="C143" t="str">
            <v>Gobierno Regional del Bio Bio - Programa 02</v>
          </cell>
        </row>
        <row r="144">
          <cell r="A144">
            <v>201947133</v>
          </cell>
          <cell r="B144">
            <v>1302115</v>
          </cell>
          <cell r="C144" t="str">
            <v>Gobierno Regional Region IX Araucania - Programa 02</v>
          </cell>
        </row>
        <row r="145">
          <cell r="A145">
            <v>201943683</v>
          </cell>
          <cell r="B145">
            <v>1303</v>
          </cell>
          <cell r="C145" t="str">
            <v>De Otras Entidades Publicas</v>
          </cell>
        </row>
        <row r="146">
          <cell r="A146">
            <v>201943684</v>
          </cell>
          <cell r="B146">
            <v>1304</v>
          </cell>
          <cell r="C146" t="str">
            <v>De Empresas Publicas no Financieras</v>
          </cell>
        </row>
        <row r="147">
          <cell r="A147">
            <v>201943685</v>
          </cell>
          <cell r="B147">
            <v>1305</v>
          </cell>
          <cell r="C147" t="str">
            <v>De Empresas Publicas Financieras</v>
          </cell>
        </row>
        <row r="148">
          <cell r="A148">
            <v>201943686</v>
          </cell>
          <cell r="B148">
            <v>1306</v>
          </cell>
          <cell r="C148" t="str">
            <v>De Gobiernos Extranjeros</v>
          </cell>
        </row>
        <row r="149">
          <cell r="A149">
            <v>201947162</v>
          </cell>
          <cell r="B149">
            <v>1306001</v>
          </cell>
          <cell r="C149" t="str">
            <v>Del Gobierno Espanol - Instituto de Credito Oficial de Espana</v>
          </cell>
        </row>
        <row r="150">
          <cell r="A150">
            <v>201943687</v>
          </cell>
          <cell r="B150">
            <v>1307</v>
          </cell>
          <cell r="C150" t="str">
            <v>De Organismos Internacionales</v>
          </cell>
        </row>
        <row r="151">
          <cell r="A151">
            <v>201943688</v>
          </cell>
          <cell r="B151">
            <v>14</v>
          </cell>
          <cell r="C151" t="str">
            <v>ENDEUDAMIENTO</v>
          </cell>
        </row>
        <row r="152">
          <cell r="A152">
            <v>201943689</v>
          </cell>
          <cell r="B152">
            <v>1401</v>
          </cell>
          <cell r="C152" t="str">
            <v>Endeudamiento Interno</v>
          </cell>
        </row>
        <row r="153">
          <cell r="A153">
            <v>201943690</v>
          </cell>
          <cell r="B153">
            <v>1401001</v>
          </cell>
          <cell r="C153" t="str">
            <v>Colocacion de Valores</v>
          </cell>
        </row>
        <row r="154">
          <cell r="A154">
            <v>201943691</v>
          </cell>
          <cell r="B154">
            <v>1401002</v>
          </cell>
          <cell r="C154" t="str">
            <v>Emprestitos</v>
          </cell>
        </row>
        <row r="155">
          <cell r="A155">
            <v>201943692</v>
          </cell>
          <cell r="B155">
            <v>1401003</v>
          </cell>
          <cell r="C155" t="str">
            <v>Creditos de Proveedores</v>
          </cell>
        </row>
        <row r="156">
          <cell r="A156">
            <v>201943693</v>
          </cell>
          <cell r="B156">
            <v>1402</v>
          </cell>
          <cell r="C156" t="str">
            <v>Endeudamiento Externo</v>
          </cell>
        </row>
        <row r="157">
          <cell r="A157">
            <v>201943694</v>
          </cell>
          <cell r="B157">
            <v>1402001</v>
          </cell>
          <cell r="C157" t="str">
            <v>Colocacion de Valores</v>
          </cell>
        </row>
        <row r="158">
          <cell r="A158">
            <v>201943695</v>
          </cell>
          <cell r="B158">
            <v>1402002</v>
          </cell>
          <cell r="C158" t="str">
            <v>Emprestitos</v>
          </cell>
        </row>
        <row r="159">
          <cell r="A159">
            <v>201943696</v>
          </cell>
          <cell r="B159">
            <v>1402003</v>
          </cell>
          <cell r="C159" t="str">
            <v>Creditos de Proveedores</v>
          </cell>
        </row>
        <row r="160">
          <cell r="A160">
            <v>201943697</v>
          </cell>
          <cell r="B160">
            <v>15</v>
          </cell>
          <cell r="C160" t="str">
            <v>SALDO INICIAL DE CAJA</v>
          </cell>
        </row>
        <row r="161">
          <cell r="A161">
            <v>201943698</v>
          </cell>
          <cell r="B161">
            <v>21</v>
          </cell>
          <cell r="C161" t="str">
            <v>GASTOS EN PERSONAL</v>
          </cell>
        </row>
        <row r="162">
          <cell r="A162">
            <v>201943699</v>
          </cell>
          <cell r="B162">
            <v>2101</v>
          </cell>
          <cell r="C162" t="str">
            <v>Personal de Planta</v>
          </cell>
        </row>
        <row r="163">
          <cell r="A163">
            <v>201943700</v>
          </cell>
          <cell r="B163">
            <v>2101001</v>
          </cell>
          <cell r="C163" t="str">
            <v>Sueldos y Sobresueldos</v>
          </cell>
        </row>
        <row r="164">
          <cell r="A164">
            <v>201943701</v>
          </cell>
          <cell r="B164">
            <v>2101001001</v>
          </cell>
          <cell r="C164" t="str">
            <v>Sueldos Bases</v>
          </cell>
        </row>
        <row r="165">
          <cell r="A165">
            <v>201943702</v>
          </cell>
          <cell r="B165">
            <v>2101001002</v>
          </cell>
          <cell r="C165" t="str">
            <v>Asignacion de Antigedad</v>
          </cell>
        </row>
        <row r="166">
          <cell r="A166">
            <v>201943703</v>
          </cell>
          <cell r="B166">
            <v>2101001003</v>
          </cell>
          <cell r="C166" t="str">
            <v>Asignacion Profesional</v>
          </cell>
        </row>
        <row r="167">
          <cell r="A167">
            <v>201943704</v>
          </cell>
          <cell r="B167">
            <v>2101001004</v>
          </cell>
          <cell r="C167" t="str">
            <v>Asignacion de Zona</v>
          </cell>
        </row>
        <row r="168">
          <cell r="A168">
            <v>201943705</v>
          </cell>
          <cell r="B168">
            <v>2101001005</v>
          </cell>
          <cell r="C168" t="str">
            <v>Asignacion de Rancho</v>
          </cell>
        </row>
        <row r="169">
          <cell r="A169">
            <v>201943706</v>
          </cell>
          <cell r="B169">
            <v>2101001006</v>
          </cell>
          <cell r="C169" t="str">
            <v>Asignaciones del DL N 2.411, de 1978</v>
          </cell>
        </row>
        <row r="170">
          <cell r="A170">
            <v>201943707</v>
          </cell>
          <cell r="B170">
            <v>2101001007</v>
          </cell>
          <cell r="C170" t="str">
            <v>Asignaciones del DL N 3.551, de 1981</v>
          </cell>
        </row>
        <row r="171">
          <cell r="A171">
            <v>201943708</v>
          </cell>
          <cell r="B171">
            <v>2101001008</v>
          </cell>
          <cell r="C171" t="str">
            <v>Asignacion de Nivelacion</v>
          </cell>
        </row>
        <row r="172">
          <cell r="A172">
            <v>201943709</v>
          </cell>
          <cell r="B172">
            <v>2101001009</v>
          </cell>
          <cell r="C172" t="str">
            <v>Asignaciones Especiales</v>
          </cell>
        </row>
        <row r="173">
          <cell r="A173">
            <v>201943710</v>
          </cell>
          <cell r="B173">
            <v>2101001010</v>
          </cell>
          <cell r="C173" t="str">
            <v>Asignacion de Perdida de Caja</v>
          </cell>
        </row>
        <row r="174">
          <cell r="A174">
            <v>201943711</v>
          </cell>
          <cell r="B174">
            <v>2101001011</v>
          </cell>
          <cell r="C174" t="str">
            <v>Asignacion de Movilizacion</v>
          </cell>
        </row>
        <row r="175">
          <cell r="A175">
            <v>201943712</v>
          </cell>
          <cell r="B175">
            <v>2101001012</v>
          </cell>
          <cell r="C175" t="str">
            <v>Gastos de Representacion</v>
          </cell>
        </row>
        <row r="176">
          <cell r="A176">
            <v>201943713</v>
          </cell>
          <cell r="B176">
            <v>2101001013</v>
          </cell>
          <cell r="C176" t="str">
            <v>Asignacion de Direccion Superior</v>
          </cell>
        </row>
        <row r="177">
          <cell r="A177">
            <v>201943714</v>
          </cell>
          <cell r="B177">
            <v>2101001014</v>
          </cell>
          <cell r="C177" t="str">
            <v>Asignaciones Compensatorias</v>
          </cell>
        </row>
        <row r="178">
          <cell r="A178">
            <v>201943715</v>
          </cell>
          <cell r="B178">
            <v>2101001015</v>
          </cell>
          <cell r="C178" t="str">
            <v>Asignaciones Sustitutivas</v>
          </cell>
        </row>
        <row r="179">
          <cell r="A179">
            <v>201943716</v>
          </cell>
          <cell r="B179">
            <v>2101001016</v>
          </cell>
          <cell r="C179" t="str">
            <v>Asignacion de Dedicacion Exclusiva</v>
          </cell>
        </row>
        <row r="180">
          <cell r="A180">
            <v>201943717</v>
          </cell>
          <cell r="B180">
            <v>2101001017</v>
          </cell>
          <cell r="C180" t="str">
            <v>Asignacion para Operador de Maquinaria Pesada</v>
          </cell>
        </row>
        <row r="181">
          <cell r="A181">
            <v>201943718</v>
          </cell>
          <cell r="B181">
            <v>2101001018</v>
          </cell>
          <cell r="C181" t="str">
            <v>Asignacion de Defensa Judicial Estatal</v>
          </cell>
        </row>
        <row r="182">
          <cell r="A182">
            <v>201943719</v>
          </cell>
          <cell r="B182">
            <v>2101001019</v>
          </cell>
          <cell r="C182" t="str">
            <v>Asignacion de Responsabilidad</v>
          </cell>
        </row>
        <row r="183">
          <cell r="A183">
            <v>201943720</v>
          </cell>
          <cell r="B183">
            <v>2101001020</v>
          </cell>
          <cell r="C183" t="str">
            <v>Asignacion por Turno</v>
          </cell>
        </row>
        <row r="184">
          <cell r="A184">
            <v>201943721</v>
          </cell>
          <cell r="B184">
            <v>2101001021</v>
          </cell>
          <cell r="C184" t="str">
            <v>Asignacion Articulo 1 Ley N 19.264</v>
          </cell>
        </row>
        <row r="185">
          <cell r="A185">
            <v>201943722</v>
          </cell>
          <cell r="B185">
            <v>2101001022</v>
          </cell>
          <cell r="C185" t="str">
            <v>Componente Base Asignacion de Desempeno</v>
          </cell>
        </row>
        <row r="186">
          <cell r="A186">
            <v>201943723</v>
          </cell>
          <cell r="B186">
            <v>2101001023</v>
          </cell>
          <cell r="C186" t="str">
            <v>Asignacion de Control</v>
          </cell>
        </row>
        <row r="187">
          <cell r="A187">
            <v>201943724</v>
          </cell>
          <cell r="B187">
            <v>2101001024</v>
          </cell>
          <cell r="C187" t="str">
            <v>Asignacion de Defensa Penal Publica</v>
          </cell>
        </row>
        <row r="188">
          <cell r="A188">
            <v>201943725</v>
          </cell>
          <cell r="B188">
            <v>2101001025</v>
          </cell>
          <cell r="C188" t="str">
            <v>Asignacion Articulo 1 Ley N 19. 112</v>
          </cell>
        </row>
        <row r="189">
          <cell r="A189">
            <v>201943726</v>
          </cell>
          <cell r="B189">
            <v>2101001026</v>
          </cell>
          <cell r="C189" t="str">
            <v>Asignacion Articulo 1 Ley N 19.432</v>
          </cell>
        </row>
        <row r="190">
          <cell r="A190">
            <v>201943727</v>
          </cell>
          <cell r="B190">
            <v>2101001027</v>
          </cell>
          <cell r="C190" t="str">
            <v>Asignacion de Estimulo Personal Medico Diurno</v>
          </cell>
        </row>
        <row r="191">
          <cell r="A191">
            <v>201943728</v>
          </cell>
          <cell r="B191">
            <v>2101001028</v>
          </cell>
          <cell r="C191" t="str">
            <v>Asignacion de Estimulo Personal Medico y Profesores</v>
          </cell>
        </row>
        <row r="192">
          <cell r="A192">
            <v>201943729</v>
          </cell>
          <cell r="B192">
            <v>2101001029</v>
          </cell>
          <cell r="C192" t="str">
            <v>Aplicacion Articulo 7 Ley N 19.112</v>
          </cell>
        </row>
        <row r="193">
          <cell r="A193">
            <v>201943730</v>
          </cell>
          <cell r="B193">
            <v>2101001030</v>
          </cell>
          <cell r="C193" t="str">
            <v>Asignacion de Estimulo por Falencia</v>
          </cell>
        </row>
        <row r="194">
          <cell r="A194">
            <v>201943731</v>
          </cell>
          <cell r="B194">
            <v>2101001031</v>
          </cell>
          <cell r="C194" t="str">
            <v>Asignacion de Experiencia Calificada</v>
          </cell>
        </row>
        <row r="195">
          <cell r="A195">
            <v>201943732</v>
          </cell>
          <cell r="B195">
            <v>2101001032</v>
          </cell>
          <cell r="C195" t="str">
            <v>Asignacion de Reforzamiento Profesional Diurno</v>
          </cell>
        </row>
        <row r="196">
          <cell r="A196">
            <v>201943733</v>
          </cell>
          <cell r="B196">
            <v>2101001033</v>
          </cell>
          <cell r="C196" t="str">
            <v>Asignacion Judicial</v>
          </cell>
        </row>
        <row r="197">
          <cell r="A197">
            <v>201943734</v>
          </cell>
          <cell r="B197">
            <v>2101001034</v>
          </cell>
          <cell r="C197" t="str">
            <v>Asignacion de Casa</v>
          </cell>
        </row>
        <row r="198">
          <cell r="A198">
            <v>201943735</v>
          </cell>
          <cell r="B198">
            <v>2101001035</v>
          </cell>
          <cell r="C198" t="str">
            <v>Asignacion Legislativa</v>
          </cell>
        </row>
        <row r="199">
          <cell r="A199">
            <v>201943736</v>
          </cell>
          <cell r="B199">
            <v>2101001036</v>
          </cell>
          <cell r="C199" t="str">
            <v>Asignacion Articulo 11 Ley N 19.041</v>
          </cell>
        </row>
        <row r="200">
          <cell r="A200">
            <v>201943737</v>
          </cell>
          <cell r="B200">
            <v>2101001037</v>
          </cell>
          <cell r="C200" t="str">
            <v>Asignacion nica</v>
          </cell>
        </row>
        <row r="201">
          <cell r="A201">
            <v>201943738</v>
          </cell>
          <cell r="B201">
            <v>2101001038</v>
          </cell>
          <cell r="C201" t="str">
            <v>Asignacion Zonas Extremas</v>
          </cell>
        </row>
        <row r="202">
          <cell r="A202">
            <v>201943739</v>
          </cell>
          <cell r="B202">
            <v>2101001039</v>
          </cell>
          <cell r="C202" t="str">
            <v>Asignacion de Responsabilidad Superior</v>
          </cell>
        </row>
        <row r="203">
          <cell r="A203">
            <v>201943740</v>
          </cell>
          <cell r="B203">
            <v>2101001040</v>
          </cell>
          <cell r="C203" t="str">
            <v>Asignacion Familiar en el Exterior</v>
          </cell>
        </row>
        <row r="204">
          <cell r="A204">
            <v>201943741</v>
          </cell>
          <cell r="B204">
            <v>2101001041</v>
          </cell>
          <cell r="C204" t="str">
            <v>Asignaciones Exclusivas de las Fuerzas Armadas y de Orden</v>
          </cell>
        </row>
        <row r="205">
          <cell r="A205">
            <v>201943742</v>
          </cell>
          <cell r="B205">
            <v>2101001042</v>
          </cell>
          <cell r="C205" t="str">
            <v>Asignaciones por Desempeno en el Exterior</v>
          </cell>
        </row>
        <row r="206">
          <cell r="A206">
            <v>201943743</v>
          </cell>
          <cell r="B206">
            <v>2101001043</v>
          </cell>
          <cell r="C206" t="str">
            <v>Asignacion Inherente al Cargo Ley N 18.695</v>
          </cell>
        </row>
        <row r="207">
          <cell r="A207">
            <v>201943744</v>
          </cell>
          <cell r="B207">
            <v>2101001999</v>
          </cell>
          <cell r="C207" t="str">
            <v>Otras Asignaciones</v>
          </cell>
        </row>
        <row r="208">
          <cell r="A208">
            <v>201943745</v>
          </cell>
          <cell r="B208">
            <v>2101002</v>
          </cell>
          <cell r="C208" t="str">
            <v>Aportes del Empleador</v>
          </cell>
        </row>
        <row r="209">
          <cell r="A209">
            <v>201943746</v>
          </cell>
          <cell r="B209">
            <v>2101002001</v>
          </cell>
          <cell r="C209" t="str">
            <v>A Servicios de Bienestar</v>
          </cell>
        </row>
        <row r="210">
          <cell r="A210">
            <v>201943747</v>
          </cell>
          <cell r="B210">
            <v>2101002002</v>
          </cell>
          <cell r="C210" t="str">
            <v>Otras Cotizaciones Previsionales</v>
          </cell>
        </row>
        <row r="211">
          <cell r="A211">
            <v>201943748</v>
          </cell>
          <cell r="B211">
            <v>2101002003</v>
          </cell>
          <cell r="C211" t="str">
            <v>Cotizacion Adicional, Articulo 8 Ley N 18.566</v>
          </cell>
        </row>
        <row r="212">
          <cell r="A212">
            <v>201943749</v>
          </cell>
          <cell r="B212">
            <v>2101003</v>
          </cell>
          <cell r="C212" t="str">
            <v>Asignaciones por Desempeno</v>
          </cell>
        </row>
        <row r="213">
          <cell r="A213">
            <v>201943750</v>
          </cell>
          <cell r="B213">
            <v>2101003001</v>
          </cell>
          <cell r="C213" t="str">
            <v>Desempeno Institucional</v>
          </cell>
        </row>
        <row r="214">
          <cell r="A214">
            <v>201943751</v>
          </cell>
          <cell r="B214">
            <v>2101003002</v>
          </cell>
          <cell r="C214" t="str">
            <v>Desempeno Colectivo</v>
          </cell>
        </row>
        <row r="215">
          <cell r="A215">
            <v>201943752</v>
          </cell>
          <cell r="B215">
            <v>2101003003</v>
          </cell>
          <cell r="C215" t="str">
            <v>Desempeno Individual</v>
          </cell>
        </row>
        <row r="216">
          <cell r="A216">
            <v>201947065</v>
          </cell>
          <cell r="B216">
            <v>2101003004</v>
          </cell>
          <cell r="C216" t="str">
            <v>Asignacion por Produccion</v>
          </cell>
        </row>
        <row r="217">
          <cell r="A217">
            <v>201947066</v>
          </cell>
          <cell r="B217">
            <v>2101003005</v>
          </cell>
          <cell r="C217" t="str">
            <v>Asignacion Mejoramiento de Trato a los Usuarios</v>
          </cell>
        </row>
        <row r="218">
          <cell r="A218">
            <v>201943753</v>
          </cell>
          <cell r="B218">
            <v>2101004</v>
          </cell>
          <cell r="C218" t="str">
            <v>Remuneraciones Variables</v>
          </cell>
        </row>
        <row r="219">
          <cell r="A219">
            <v>201943754</v>
          </cell>
          <cell r="B219">
            <v>2101004001</v>
          </cell>
          <cell r="C219" t="str">
            <v>Asignacion Articulo 12 Ley N 19.041</v>
          </cell>
        </row>
        <row r="220">
          <cell r="A220">
            <v>201943755</v>
          </cell>
          <cell r="B220">
            <v>2101004002</v>
          </cell>
          <cell r="C220" t="str">
            <v>Asignacion de Estimulo Jornadas Prioritarias</v>
          </cell>
        </row>
        <row r="221">
          <cell r="A221">
            <v>201943756</v>
          </cell>
          <cell r="B221">
            <v>2101004003</v>
          </cell>
          <cell r="C221" t="str">
            <v>Asignacion Articulo 3 Ley N 19.264</v>
          </cell>
        </row>
        <row r="222">
          <cell r="A222">
            <v>201943757</v>
          </cell>
          <cell r="B222">
            <v>2101004004</v>
          </cell>
          <cell r="C222" t="str">
            <v>Asignacion por Desempeno de Funciones Criticas</v>
          </cell>
        </row>
        <row r="223">
          <cell r="A223">
            <v>201943758</v>
          </cell>
          <cell r="B223">
            <v>2101004005</v>
          </cell>
          <cell r="C223" t="str">
            <v>Trabajos Extraordinarios</v>
          </cell>
        </row>
        <row r="224">
          <cell r="A224">
            <v>201943759</v>
          </cell>
          <cell r="B224">
            <v>2101004006</v>
          </cell>
          <cell r="C224" t="str">
            <v>Comisiones de Servicios en el Pais</v>
          </cell>
        </row>
        <row r="225">
          <cell r="A225">
            <v>201943760</v>
          </cell>
          <cell r="B225">
            <v>2101004007</v>
          </cell>
          <cell r="C225" t="str">
            <v>Comisiones de Servicios en el Exterior</v>
          </cell>
        </row>
        <row r="226">
          <cell r="A226">
            <v>201943761</v>
          </cell>
          <cell r="B226">
            <v>2101005</v>
          </cell>
          <cell r="C226" t="str">
            <v>Aguinaldos y Bonos</v>
          </cell>
        </row>
        <row r="227">
          <cell r="A227">
            <v>201943762</v>
          </cell>
          <cell r="B227">
            <v>2101005001</v>
          </cell>
          <cell r="C227" t="str">
            <v>Aguinaldos</v>
          </cell>
        </row>
        <row r="228">
          <cell r="A228">
            <v>201943763</v>
          </cell>
          <cell r="B228">
            <v>2101005002</v>
          </cell>
          <cell r="C228" t="str">
            <v>Bono de Escolaridad</v>
          </cell>
        </row>
        <row r="229">
          <cell r="A229">
            <v>201943764</v>
          </cell>
          <cell r="B229">
            <v>2101005003</v>
          </cell>
          <cell r="C229" t="str">
            <v>Bonos Especiales</v>
          </cell>
        </row>
        <row r="230">
          <cell r="A230">
            <v>201943765</v>
          </cell>
          <cell r="B230">
            <v>2101005004</v>
          </cell>
          <cell r="C230" t="str">
            <v>Bonificacion Adicional al Bono de Escolaridad</v>
          </cell>
        </row>
        <row r="231">
          <cell r="A231">
            <v>201943766</v>
          </cell>
          <cell r="B231">
            <v>2102</v>
          </cell>
          <cell r="C231" t="str">
            <v>Personal a Contrata</v>
          </cell>
        </row>
        <row r="232">
          <cell r="A232">
            <v>201943767</v>
          </cell>
          <cell r="B232">
            <v>2102001</v>
          </cell>
          <cell r="C232" t="str">
            <v>Sueldos y Sobresueldos</v>
          </cell>
        </row>
        <row r="233">
          <cell r="A233">
            <v>201943768</v>
          </cell>
          <cell r="B233">
            <v>2102001001</v>
          </cell>
          <cell r="C233" t="str">
            <v>Sueldos Bases</v>
          </cell>
        </row>
        <row r="234">
          <cell r="A234">
            <v>201943769</v>
          </cell>
          <cell r="B234">
            <v>2102001002</v>
          </cell>
          <cell r="C234" t="str">
            <v>Asignacion de Antigedad</v>
          </cell>
        </row>
        <row r="235">
          <cell r="A235">
            <v>201943770</v>
          </cell>
          <cell r="B235">
            <v>2102001003</v>
          </cell>
          <cell r="C235" t="str">
            <v>Asignacion Profesional</v>
          </cell>
        </row>
        <row r="236">
          <cell r="A236">
            <v>201943771</v>
          </cell>
          <cell r="B236">
            <v>2102001004</v>
          </cell>
          <cell r="C236" t="str">
            <v>Asignacion de Zona</v>
          </cell>
        </row>
        <row r="237">
          <cell r="A237">
            <v>201943772</v>
          </cell>
          <cell r="B237">
            <v>2102001005</v>
          </cell>
          <cell r="C237" t="str">
            <v>Asignacion de Rancho</v>
          </cell>
        </row>
        <row r="238">
          <cell r="A238">
            <v>201943773</v>
          </cell>
          <cell r="B238">
            <v>2102001006</v>
          </cell>
          <cell r="C238" t="str">
            <v>Asignaciones del DL N 2.411, de 1978</v>
          </cell>
        </row>
        <row r="239">
          <cell r="A239">
            <v>201943774</v>
          </cell>
          <cell r="B239">
            <v>2102001007</v>
          </cell>
          <cell r="C239" t="str">
            <v>Asignaciones del DL N 3.551, de 1981</v>
          </cell>
        </row>
        <row r="240">
          <cell r="A240">
            <v>201943775</v>
          </cell>
          <cell r="B240">
            <v>2102001008</v>
          </cell>
          <cell r="C240" t="str">
            <v>Asignacion de Nivelacion</v>
          </cell>
        </row>
        <row r="241">
          <cell r="A241">
            <v>201943776</v>
          </cell>
          <cell r="B241">
            <v>2102001009</v>
          </cell>
          <cell r="C241" t="str">
            <v>Asignaciones Especiales</v>
          </cell>
        </row>
        <row r="242">
          <cell r="A242">
            <v>201943777</v>
          </cell>
          <cell r="B242">
            <v>2102001010</v>
          </cell>
          <cell r="C242" t="str">
            <v>Asignacion de Perdida de Caja</v>
          </cell>
        </row>
        <row r="243">
          <cell r="A243">
            <v>201943778</v>
          </cell>
          <cell r="B243">
            <v>2102001011</v>
          </cell>
          <cell r="C243" t="str">
            <v>Asignacion de Movilizacion</v>
          </cell>
        </row>
        <row r="244">
          <cell r="A244">
            <v>201943779</v>
          </cell>
          <cell r="B244">
            <v>2102001012</v>
          </cell>
          <cell r="C244" t="str">
            <v>Gastos de Representacion</v>
          </cell>
        </row>
        <row r="245">
          <cell r="A245">
            <v>201943780</v>
          </cell>
          <cell r="B245">
            <v>2102001013</v>
          </cell>
          <cell r="C245" t="str">
            <v>Asignaciones Compensatorias</v>
          </cell>
        </row>
        <row r="246">
          <cell r="A246">
            <v>201943781</v>
          </cell>
          <cell r="B246">
            <v>2102001014</v>
          </cell>
          <cell r="C246" t="str">
            <v>Asignaciones Sustitutivas</v>
          </cell>
        </row>
        <row r="247">
          <cell r="A247">
            <v>201943782</v>
          </cell>
          <cell r="B247">
            <v>2102001015</v>
          </cell>
          <cell r="C247" t="str">
            <v>Asignacion de Dedicacion Exclusiva</v>
          </cell>
        </row>
        <row r="248">
          <cell r="A248">
            <v>201943783</v>
          </cell>
          <cell r="B248">
            <v>2102001016</v>
          </cell>
          <cell r="C248" t="str">
            <v>Asignacion para Operador de Maquinaria Pesada</v>
          </cell>
        </row>
        <row r="249">
          <cell r="A249">
            <v>201943784</v>
          </cell>
          <cell r="B249">
            <v>2102001017</v>
          </cell>
          <cell r="C249" t="str">
            <v>Asignacion de Defensa Judicial Estatal</v>
          </cell>
        </row>
        <row r="250">
          <cell r="A250">
            <v>201943785</v>
          </cell>
          <cell r="B250">
            <v>2102001018</v>
          </cell>
          <cell r="C250" t="str">
            <v>Asignacion de Responsabilidad</v>
          </cell>
        </row>
        <row r="251">
          <cell r="A251">
            <v>201943786</v>
          </cell>
          <cell r="B251">
            <v>2102001019</v>
          </cell>
          <cell r="C251" t="str">
            <v>Asignacion por Turno</v>
          </cell>
        </row>
        <row r="252">
          <cell r="A252">
            <v>201943787</v>
          </cell>
          <cell r="B252">
            <v>2102001020</v>
          </cell>
          <cell r="C252" t="str">
            <v>Asignacion Articulo 1 Ley N 19.264</v>
          </cell>
        </row>
        <row r="253">
          <cell r="A253">
            <v>201943788</v>
          </cell>
          <cell r="B253">
            <v>2102001021</v>
          </cell>
          <cell r="C253" t="str">
            <v>Componente Base Asignacion de Desempeno</v>
          </cell>
        </row>
        <row r="254">
          <cell r="A254">
            <v>201943789</v>
          </cell>
          <cell r="B254">
            <v>2102001022</v>
          </cell>
          <cell r="C254" t="str">
            <v>Asignacion de Control</v>
          </cell>
        </row>
        <row r="255">
          <cell r="A255">
            <v>201943790</v>
          </cell>
          <cell r="B255">
            <v>2102001023</v>
          </cell>
          <cell r="C255" t="str">
            <v>Asignacion de Defensa Penal Publica</v>
          </cell>
        </row>
        <row r="256">
          <cell r="A256">
            <v>201943791</v>
          </cell>
          <cell r="B256">
            <v>2102001024</v>
          </cell>
          <cell r="C256" t="str">
            <v>Asignacion Articulo 1 Ley N 19. 112</v>
          </cell>
        </row>
        <row r="257">
          <cell r="A257">
            <v>201943792</v>
          </cell>
          <cell r="B257">
            <v>2102001025</v>
          </cell>
          <cell r="C257" t="str">
            <v>Asignacion Articulo 1 Ley N 19.432</v>
          </cell>
        </row>
        <row r="258">
          <cell r="A258">
            <v>201943793</v>
          </cell>
          <cell r="B258">
            <v>2102001026</v>
          </cell>
          <cell r="C258" t="str">
            <v>Asignacion de Estimulo Personal Medico Diurno</v>
          </cell>
        </row>
        <row r="259">
          <cell r="A259">
            <v>201943794</v>
          </cell>
          <cell r="B259">
            <v>2102001027</v>
          </cell>
          <cell r="C259" t="str">
            <v>Asignacion de Estimulo Personal Medico y Profesores</v>
          </cell>
        </row>
        <row r="260">
          <cell r="A260">
            <v>201943795</v>
          </cell>
          <cell r="B260">
            <v>2102001028</v>
          </cell>
          <cell r="C260" t="str">
            <v>Aplicacion Articulo 7 Ley N 19.112</v>
          </cell>
        </row>
        <row r="261">
          <cell r="A261">
            <v>201943796</v>
          </cell>
          <cell r="B261">
            <v>2102001029</v>
          </cell>
          <cell r="C261" t="str">
            <v>Asignacion de Estimulo por Falencia</v>
          </cell>
        </row>
        <row r="262">
          <cell r="A262">
            <v>201943797</v>
          </cell>
          <cell r="B262">
            <v>2102001030</v>
          </cell>
          <cell r="C262" t="str">
            <v>Asignacion de Experiencia Calificada</v>
          </cell>
        </row>
        <row r="263">
          <cell r="A263">
            <v>201943798</v>
          </cell>
          <cell r="B263">
            <v>2102001031</v>
          </cell>
          <cell r="C263" t="str">
            <v>Asignacion de Reforzamiento Profesional Diurno</v>
          </cell>
        </row>
        <row r="264">
          <cell r="A264">
            <v>201943799</v>
          </cell>
          <cell r="B264">
            <v>2102001032</v>
          </cell>
          <cell r="C264" t="str">
            <v>Asignacion Judicial</v>
          </cell>
        </row>
        <row r="265">
          <cell r="A265">
            <v>201943800</v>
          </cell>
          <cell r="B265">
            <v>2102001033</v>
          </cell>
          <cell r="C265" t="str">
            <v>Asignacion de Casa</v>
          </cell>
        </row>
        <row r="266">
          <cell r="A266">
            <v>201943801</v>
          </cell>
          <cell r="B266">
            <v>2102001034</v>
          </cell>
          <cell r="C266" t="str">
            <v>Asignacion Legislativa</v>
          </cell>
        </row>
        <row r="267">
          <cell r="A267">
            <v>201943802</v>
          </cell>
          <cell r="B267">
            <v>2102001035</v>
          </cell>
          <cell r="C267" t="str">
            <v>Asignacion Articulo 11 Ley N 19.041</v>
          </cell>
        </row>
        <row r="268">
          <cell r="A268">
            <v>201943803</v>
          </cell>
          <cell r="B268">
            <v>2102001036</v>
          </cell>
          <cell r="C268" t="str">
            <v>Asignacion nica</v>
          </cell>
        </row>
        <row r="269">
          <cell r="A269">
            <v>201943804</v>
          </cell>
          <cell r="B269">
            <v>2102001037</v>
          </cell>
          <cell r="C269" t="str">
            <v>Asignacion Zonas Extremas</v>
          </cell>
        </row>
        <row r="270">
          <cell r="A270">
            <v>201943805</v>
          </cell>
          <cell r="B270">
            <v>2102001038</v>
          </cell>
          <cell r="C270" t="str">
            <v>Asignacion de Responsabilidad Superior</v>
          </cell>
        </row>
        <row r="271">
          <cell r="A271">
            <v>201943806</v>
          </cell>
          <cell r="B271">
            <v>2102001039</v>
          </cell>
          <cell r="C271" t="str">
            <v>Asignacion Familiar en el Exterior</v>
          </cell>
        </row>
        <row r="272">
          <cell r="A272">
            <v>201943807</v>
          </cell>
          <cell r="B272">
            <v>2102001040</v>
          </cell>
          <cell r="C272" t="str">
            <v>Asignaciones Exclusivas de las Fuerzas Armadas y de Orden</v>
          </cell>
        </row>
        <row r="273">
          <cell r="A273">
            <v>201943808</v>
          </cell>
          <cell r="B273">
            <v>2102001041</v>
          </cell>
          <cell r="C273" t="str">
            <v>Asignaciones por Desempeno en el Exterior</v>
          </cell>
        </row>
        <row r="274">
          <cell r="A274">
            <v>201943809</v>
          </cell>
          <cell r="B274">
            <v>2102001999</v>
          </cell>
          <cell r="C274" t="str">
            <v>Otras Asignaciones</v>
          </cell>
        </row>
        <row r="275">
          <cell r="A275">
            <v>201943810</v>
          </cell>
          <cell r="B275">
            <v>2102002</v>
          </cell>
          <cell r="C275" t="str">
            <v>Aportes del Empleador</v>
          </cell>
        </row>
        <row r="276">
          <cell r="A276">
            <v>201943811</v>
          </cell>
          <cell r="B276">
            <v>2102002001</v>
          </cell>
          <cell r="C276" t="str">
            <v>A Servicios de Bienestar</v>
          </cell>
        </row>
        <row r="277">
          <cell r="A277">
            <v>201943812</v>
          </cell>
          <cell r="B277">
            <v>2102002002</v>
          </cell>
          <cell r="C277" t="str">
            <v>Otras Cotizaciones Previsionales</v>
          </cell>
        </row>
        <row r="278">
          <cell r="A278">
            <v>201943813</v>
          </cell>
          <cell r="B278">
            <v>2102002003</v>
          </cell>
          <cell r="C278" t="str">
            <v>Cotizacion Adicional, Articulo 8 Ley N 18.566</v>
          </cell>
        </row>
        <row r="279">
          <cell r="A279">
            <v>201943814</v>
          </cell>
          <cell r="B279">
            <v>2102003</v>
          </cell>
          <cell r="C279" t="str">
            <v>Asignaciones por Desempeno</v>
          </cell>
        </row>
        <row r="280">
          <cell r="A280">
            <v>201943815</v>
          </cell>
          <cell r="B280">
            <v>2102003001</v>
          </cell>
          <cell r="C280" t="str">
            <v>Desempeno Institucional</v>
          </cell>
        </row>
        <row r="281">
          <cell r="A281">
            <v>201943816</v>
          </cell>
          <cell r="B281">
            <v>2102003002</v>
          </cell>
          <cell r="C281" t="str">
            <v>Desempeno Colectivo</v>
          </cell>
        </row>
        <row r="282">
          <cell r="A282">
            <v>201943817</v>
          </cell>
          <cell r="B282">
            <v>2102003003</v>
          </cell>
          <cell r="C282" t="str">
            <v>Desempeno Individual</v>
          </cell>
        </row>
        <row r="283">
          <cell r="A283">
            <v>201947067</v>
          </cell>
          <cell r="B283">
            <v>2102003004</v>
          </cell>
          <cell r="C283" t="str">
            <v>Asignacion por Produccion</v>
          </cell>
        </row>
        <row r="284">
          <cell r="A284">
            <v>201947068</v>
          </cell>
          <cell r="B284">
            <v>2102003005</v>
          </cell>
          <cell r="C284" t="str">
            <v>Asignacion Mejoramiento de Trato a los Usuarios</v>
          </cell>
        </row>
        <row r="285">
          <cell r="A285">
            <v>201943818</v>
          </cell>
          <cell r="B285">
            <v>2102004</v>
          </cell>
          <cell r="C285" t="str">
            <v>Remuneraciones Variables</v>
          </cell>
        </row>
        <row r="286">
          <cell r="A286">
            <v>201943819</v>
          </cell>
          <cell r="B286">
            <v>2102004001</v>
          </cell>
          <cell r="C286" t="str">
            <v>Asignacion Articulo 12 Ley N 19.041</v>
          </cell>
        </row>
        <row r="287">
          <cell r="A287">
            <v>201943820</v>
          </cell>
          <cell r="B287">
            <v>2102004002</v>
          </cell>
          <cell r="C287" t="str">
            <v>Asignacion de Estimulo Jornadas Prioritarias</v>
          </cell>
        </row>
        <row r="288">
          <cell r="A288">
            <v>201943821</v>
          </cell>
          <cell r="B288">
            <v>2102004003</v>
          </cell>
          <cell r="C288" t="str">
            <v>Asignacion Articulo 3 Ley N 19.264</v>
          </cell>
        </row>
        <row r="289">
          <cell r="A289">
            <v>201943822</v>
          </cell>
          <cell r="B289">
            <v>2102004004</v>
          </cell>
          <cell r="C289" t="str">
            <v>Asignacion por Desempeno de Funciones Criticas</v>
          </cell>
        </row>
        <row r="290">
          <cell r="A290">
            <v>201943823</v>
          </cell>
          <cell r="B290">
            <v>2102004005</v>
          </cell>
          <cell r="C290" t="str">
            <v>Trabajos Extraordinarios</v>
          </cell>
        </row>
        <row r="291">
          <cell r="A291">
            <v>201943824</v>
          </cell>
          <cell r="B291">
            <v>2102004006</v>
          </cell>
          <cell r="C291" t="str">
            <v>Comisiones de Servicios en el Pais</v>
          </cell>
        </row>
        <row r="292">
          <cell r="A292">
            <v>201943825</v>
          </cell>
          <cell r="B292">
            <v>2102004007</v>
          </cell>
          <cell r="C292" t="str">
            <v>Comisiones de Servicios en el Exterior</v>
          </cell>
        </row>
        <row r="293">
          <cell r="A293">
            <v>201943826</v>
          </cell>
          <cell r="B293">
            <v>2102005</v>
          </cell>
          <cell r="C293" t="str">
            <v>Aguinaldos y Bonos</v>
          </cell>
        </row>
        <row r="294">
          <cell r="A294">
            <v>201943827</v>
          </cell>
          <cell r="B294">
            <v>2102005001</v>
          </cell>
          <cell r="C294" t="str">
            <v>Aguinaldos</v>
          </cell>
        </row>
        <row r="295">
          <cell r="A295">
            <v>201943828</v>
          </cell>
          <cell r="B295">
            <v>2102005002</v>
          </cell>
          <cell r="C295" t="str">
            <v>Bono de Escolaridad</v>
          </cell>
        </row>
        <row r="296">
          <cell r="A296">
            <v>201943829</v>
          </cell>
          <cell r="B296">
            <v>2102005003</v>
          </cell>
          <cell r="C296" t="str">
            <v>Bonos Especiales</v>
          </cell>
        </row>
        <row r="297">
          <cell r="A297">
            <v>201943830</v>
          </cell>
          <cell r="B297">
            <v>2102005004</v>
          </cell>
          <cell r="C297" t="str">
            <v>Bonificacion Adicional al Bono de Escolaridad</v>
          </cell>
        </row>
        <row r="298">
          <cell r="A298">
            <v>201943831</v>
          </cell>
          <cell r="B298">
            <v>2103</v>
          </cell>
          <cell r="C298" t="str">
            <v>Otras Remuneraciones</v>
          </cell>
        </row>
        <row r="299">
          <cell r="A299">
            <v>201943832</v>
          </cell>
          <cell r="B299">
            <v>2103001</v>
          </cell>
          <cell r="C299" t="str">
            <v>Honorarios a Suma Alzada - Personas Naturales</v>
          </cell>
        </row>
        <row r="300">
          <cell r="A300">
            <v>201944570</v>
          </cell>
          <cell r="B300">
            <v>2103001001</v>
          </cell>
          <cell r="C300" t="str">
            <v>Honorarios a Suma Alzada-Honorarios</v>
          </cell>
        </row>
        <row r="301">
          <cell r="A301">
            <v>201944569</v>
          </cell>
          <cell r="B301">
            <v>2103001002</v>
          </cell>
          <cell r="C301" t="str">
            <v>Honorarios a Suma Alzada-Viaticos</v>
          </cell>
        </row>
        <row r="302">
          <cell r="A302">
            <v>201944561</v>
          </cell>
          <cell r="B302">
            <v>2103001111</v>
          </cell>
          <cell r="C302" t="str">
            <v>Honorarios AGES</v>
          </cell>
        </row>
        <row r="303">
          <cell r="A303">
            <v>201943833</v>
          </cell>
          <cell r="B303">
            <v>2103002</v>
          </cell>
          <cell r="C303" t="str">
            <v>Honorarios Asimilados a Grados</v>
          </cell>
        </row>
        <row r="304">
          <cell r="A304">
            <v>201943834</v>
          </cell>
          <cell r="B304">
            <v>2103003</v>
          </cell>
          <cell r="C304" t="str">
            <v>Jornales</v>
          </cell>
        </row>
        <row r="305">
          <cell r="A305">
            <v>201943835</v>
          </cell>
          <cell r="B305">
            <v>2103004</v>
          </cell>
          <cell r="C305" t="str">
            <v>Remuneraciones Reguladas por el Codigo del Trabajo</v>
          </cell>
        </row>
        <row r="306">
          <cell r="A306">
            <v>201943836</v>
          </cell>
          <cell r="B306">
            <v>2103005</v>
          </cell>
          <cell r="C306" t="str">
            <v>Suplencias y Reemplazos</v>
          </cell>
        </row>
        <row r="307">
          <cell r="A307">
            <v>201943837</v>
          </cell>
          <cell r="B307">
            <v>2103006</v>
          </cell>
          <cell r="C307" t="str">
            <v>Personal a Trato y/o Temporal</v>
          </cell>
        </row>
        <row r="308">
          <cell r="A308">
            <v>201943838</v>
          </cell>
          <cell r="B308">
            <v>2103007</v>
          </cell>
          <cell r="C308" t="str">
            <v>Alumnos en Practica</v>
          </cell>
        </row>
        <row r="309">
          <cell r="A309">
            <v>201943839</v>
          </cell>
          <cell r="B309">
            <v>2103999</v>
          </cell>
          <cell r="C309" t="str">
            <v>Otras</v>
          </cell>
        </row>
        <row r="310">
          <cell r="A310">
            <v>201943840</v>
          </cell>
          <cell r="B310">
            <v>2104</v>
          </cell>
          <cell r="C310" t="str">
            <v>Otros Gastos en Personal</v>
          </cell>
        </row>
        <row r="311">
          <cell r="A311">
            <v>201943841</v>
          </cell>
          <cell r="B311">
            <v>2104001</v>
          </cell>
          <cell r="C311" t="str">
            <v>Asignacion de Traslado</v>
          </cell>
        </row>
        <row r="312">
          <cell r="A312">
            <v>201943842</v>
          </cell>
          <cell r="B312">
            <v>2104002</v>
          </cell>
          <cell r="C312" t="str">
            <v>Dieta Parlamentaria</v>
          </cell>
        </row>
        <row r="313">
          <cell r="A313">
            <v>201943843</v>
          </cell>
          <cell r="B313">
            <v>2104003</v>
          </cell>
          <cell r="C313" t="str">
            <v>Dietas a Juntas, Consejos y Comisiones</v>
          </cell>
        </row>
        <row r="314">
          <cell r="A314">
            <v>201943844</v>
          </cell>
          <cell r="B314">
            <v>22</v>
          </cell>
          <cell r="C314" t="str">
            <v>BIENES Y SERVICIOS DE CONSUMO</v>
          </cell>
        </row>
        <row r="315">
          <cell r="A315">
            <v>201943845</v>
          </cell>
          <cell r="B315">
            <v>2201</v>
          </cell>
          <cell r="C315" t="str">
            <v>Alimentos y Bebidas</v>
          </cell>
        </row>
        <row r="316">
          <cell r="A316">
            <v>201943846</v>
          </cell>
          <cell r="B316">
            <v>2201001</v>
          </cell>
          <cell r="C316" t="str">
            <v>Para Personas</v>
          </cell>
        </row>
        <row r="317">
          <cell r="A317">
            <v>201943847</v>
          </cell>
          <cell r="B317">
            <v>2201002</v>
          </cell>
          <cell r="C317" t="str">
            <v>Para Animales</v>
          </cell>
        </row>
        <row r="318">
          <cell r="A318">
            <v>201943848</v>
          </cell>
          <cell r="B318">
            <v>2202</v>
          </cell>
          <cell r="C318" t="str">
            <v>Textiles, Vestuario y Calzado</v>
          </cell>
        </row>
        <row r="319">
          <cell r="A319">
            <v>201943849</v>
          </cell>
          <cell r="B319">
            <v>2202001</v>
          </cell>
          <cell r="C319" t="str">
            <v>Textiles y Acabados Textiles</v>
          </cell>
        </row>
        <row r="320">
          <cell r="A320">
            <v>201943850</v>
          </cell>
          <cell r="B320">
            <v>2202002</v>
          </cell>
          <cell r="C320" t="str">
            <v>Vestuario, Accesorios y Prendas Diversas</v>
          </cell>
        </row>
        <row r="321">
          <cell r="A321">
            <v>201943851</v>
          </cell>
          <cell r="B321">
            <v>2202003</v>
          </cell>
          <cell r="C321" t="str">
            <v>Calzado</v>
          </cell>
        </row>
        <row r="322">
          <cell r="A322">
            <v>201943852</v>
          </cell>
          <cell r="B322">
            <v>2203</v>
          </cell>
          <cell r="C322" t="str">
            <v>Combustibles y Lubricantes</v>
          </cell>
        </row>
        <row r="323">
          <cell r="A323">
            <v>201943853</v>
          </cell>
          <cell r="B323">
            <v>2203001</v>
          </cell>
          <cell r="C323" t="str">
            <v>Para Vehiculos</v>
          </cell>
        </row>
        <row r="324">
          <cell r="A324">
            <v>201943854</v>
          </cell>
          <cell r="B324">
            <v>2203002</v>
          </cell>
          <cell r="C324" t="str">
            <v>Para Maquinarias, Equipos de Produccion, Traccion y Elevacion</v>
          </cell>
        </row>
        <row r="325">
          <cell r="A325">
            <v>201943855</v>
          </cell>
          <cell r="B325">
            <v>2203003</v>
          </cell>
          <cell r="C325" t="str">
            <v>Para Calefaccion</v>
          </cell>
        </row>
        <row r="326">
          <cell r="A326">
            <v>201943856</v>
          </cell>
          <cell r="B326">
            <v>2203999</v>
          </cell>
          <cell r="C326" t="str">
            <v>Para Otros</v>
          </cell>
        </row>
        <row r="327">
          <cell r="A327">
            <v>201943952</v>
          </cell>
          <cell r="B327">
            <v>2204</v>
          </cell>
          <cell r="C327" t="str">
            <v>Materiales de Uso o Consumo</v>
          </cell>
        </row>
        <row r="328">
          <cell r="A328">
            <v>201943953</v>
          </cell>
          <cell r="B328">
            <v>2204001</v>
          </cell>
          <cell r="C328" t="str">
            <v>Materiales de Oficina</v>
          </cell>
        </row>
        <row r="329">
          <cell r="A329">
            <v>201943954</v>
          </cell>
          <cell r="B329">
            <v>2204002</v>
          </cell>
          <cell r="C329" t="str">
            <v>Textos y Otros Materiales de Ensenanza</v>
          </cell>
        </row>
        <row r="330">
          <cell r="A330">
            <v>201943955</v>
          </cell>
          <cell r="B330">
            <v>2204003</v>
          </cell>
          <cell r="C330" t="str">
            <v>Productos Quimicos</v>
          </cell>
        </row>
        <row r="331">
          <cell r="A331">
            <v>201943956</v>
          </cell>
          <cell r="B331">
            <v>2204004</v>
          </cell>
          <cell r="C331" t="str">
            <v>Productos Farmaceuticos</v>
          </cell>
        </row>
        <row r="332">
          <cell r="A332">
            <v>201943957</v>
          </cell>
          <cell r="B332">
            <v>2204005</v>
          </cell>
          <cell r="C332" t="str">
            <v>Materiales y tiles Quirurgicos</v>
          </cell>
        </row>
        <row r="333">
          <cell r="A333">
            <v>201943958</v>
          </cell>
          <cell r="B333">
            <v>2204006</v>
          </cell>
          <cell r="C333" t="str">
            <v>Fertilizantes, Insecticidas, Fungicidas y Otros</v>
          </cell>
        </row>
        <row r="334">
          <cell r="A334">
            <v>201943959</v>
          </cell>
          <cell r="B334">
            <v>2204007</v>
          </cell>
          <cell r="C334" t="str">
            <v>Materiales y tiles de Aseo</v>
          </cell>
        </row>
        <row r="335">
          <cell r="A335">
            <v>201943960</v>
          </cell>
          <cell r="B335">
            <v>2204008</v>
          </cell>
          <cell r="C335" t="str">
            <v>Menaje para Oficina, Casino y Otros</v>
          </cell>
        </row>
        <row r="336">
          <cell r="A336">
            <v>201943961</v>
          </cell>
          <cell r="B336">
            <v>2204009</v>
          </cell>
          <cell r="C336" t="str">
            <v>Insumos, Repuestos y Accesorios Computacionales</v>
          </cell>
        </row>
        <row r="337">
          <cell r="A337">
            <v>201943962</v>
          </cell>
          <cell r="B337">
            <v>2204010</v>
          </cell>
          <cell r="C337" t="str">
            <v>Materiales para Mantenimiento y Reparaciones de Inmuebles</v>
          </cell>
        </row>
        <row r="338">
          <cell r="A338">
            <v>201943963</v>
          </cell>
          <cell r="B338">
            <v>2204011</v>
          </cell>
          <cell r="C338" t="str">
            <v>Repuestos y Accesorios para Mantenimiento y Reparaciones de Vehiculos</v>
          </cell>
        </row>
        <row r="339">
          <cell r="A339">
            <v>201943964</v>
          </cell>
          <cell r="B339">
            <v>2204012</v>
          </cell>
          <cell r="C339" t="str">
            <v>Otros Materiales, Repuestos y tiles Diversos para Mantenimiento y Reparaciones</v>
          </cell>
        </row>
        <row r="340">
          <cell r="A340">
            <v>201943965</v>
          </cell>
          <cell r="B340">
            <v>2204013</v>
          </cell>
          <cell r="C340" t="str">
            <v>Equipos Menores</v>
          </cell>
        </row>
        <row r="341">
          <cell r="A341">
            <v>201943966</v>
          </cell>
          <cell r="B341">
            <v>2204014</v>
          </cell>
          <cell r="C341" t="str">
            <v>Productos Elaborados de Cuero, Caucho y Plasticos</v>
          </cell>
        </row>
        <row r="342">
          <cell r="A342">
            <v>201943967</v>
          </cell>
          <cell r="B342">
            <v>2204015</v>
          </cell>
          <cell r="C342" t="str">
            <v>Productos Agropecuarios y Forestales</v>
          </cell>
        </row>
        <row r="343">
          <cell r="A343">
            <v>201943968</v>
          </cell>
          <cell r="B343">
            <v>2204016</v>
          </cell>
          <cell r="C343" t="str">
            <v>Materias Primas y Semielaboradas</v>
          </cell>
        </row>
        <row r="344">
          <cell r="A344">
            <v>201943969</v>
          </cell>
          <cell r="B344">
            <v>2204999</v>
          </cell>
          <cell r="C344" t="str">
            <v>Otros</v>
          </cell>
        </row>
        <row r="345">
          <cell r="A345">
            <v>201943970</v>
          </cell>
          <cell r="B345">
            <v>2205</v>
          </cell>
          <cell r="C345" t="str">
            <v>Servicios Basicos</v>
          </cell>
        </row>
        <row r="346">
          <cell r="A346">
            <v>201943971</v>
          </cell>
          <cell r="B346">
            <v>2205001</v>
          </cell>
          <cell r="C346" t="str">
            <v>Electricidad</v>
          </cell>
        </row>
        <row r="347">
          <cell r="A347">
            <v>201943972</v>
          </cell>
          <cell r="B347">
            <v>2205002</v>
          </cell>
          <cell r="C347" t="str">
            <v>Agua</v>
          </cell>
        </row>
        <row r="348">
          <cell r="A348">
            <v>201943973</v>
          </cell>
          <cell r="B348">
            <v>2205003</v>
          </cell>
          <cell r="C348" t="str">
            <v>Gas</v>
          </cell>
        </row>
        <row r="349">
          <cell r="A349">
            <v>201943974</v>
          </cell>
          <cell r="B349">
            <v>2205004</v>
          </cell>
          <cell r="C349" t="str">
            <v>Correo</v>
          </cell>
        </row>
        <row r="350">
          <cell r="A350">
            <v>201943975</v>
          </cell>
          <cell r="B350">
            <v>2205005</v>
          </cell>
          <cell r="C350" t="str">
            <v>Telefonia Fija</v>
          </cell>
        </row>
        <row r="351">
          <cell r="A351">
            <v>201943976</v>
          </cell>
          <cell r="B351">
            <v>2205006</v>
          </cell>
          <cell r="C351" t="str">
            <v>Telefonia Celular</v>
          </cell>
        </row>
        <row r="352">
          <cell r="A352">
            <v>201943977</v>
          </cell>
          <cell r="B352">
            <v>2205007</v>
          </cell>
          <cell r="C352" t="str">
            <v>Acceso a Internet</v>
          </cell>
        </row>
        <row r="353">
          <cell r="A353">
            <v>201943978</v>
          </cell>
          <cell r="B353">
            <v>2205008</v>
          </cell>
          <cell r="C353" t="str">
            <v>Enlaces de Telecomunicaciones</v>
          </cell>
        </row>
        <row r="354">
          <cell r="A354">
            <v>201943979</v>
          </cell>
          <cell r="B354">
            <v>2205999</v>
          </cell>
          <cell r="C354" t="str">
            <v>Otros</v>
          </cell>
        </row>
        <row r="355">
          <cell r="A355">
            <v>201943980</v>
          </cell>
          <cell r="B355">
            <v>2206</v>
          </cell>
          <cell r="C355" t="str">
            <v>Mantenimiento y Reparaciones</v>
          </cell>
        </row>
        <row r="356">
          <cell r="A356">
            <v>201943981</v>
          </cell>
          <cell r="B356">
            <v>2206001</v>
          </cell>
          <cell r="C356" t="str">
            <v>Mantenimiento y Reparacion de Edificaciones</v>
          </cell>
        </row>
        <row r="357">
          <cell r="A357">
            <v>201943982</v>
          </cell>
          <cell r="B357">
            <v>2206002</v>
          </cell>
          <cell r="C357" t="str">
            <v>Mantenimiento y Reparacion de Vehiculos</v>
          </cell>
        </row>
        <row r="358">
          <cell r="A358">
            <v>201943983</v>
          </cell>
          <cell r="B358">
            <v>2206003</v>
          </cell>
          <cell r="C358" t="str">
            <v>Mantenimiento y Reparacion de Mobiliarios y Otros</v>
          </cell>
        </row>
        <row r="359">
          <cell r="A359">
            <v>201943984</v>
          </cell>
          <cell r="B359">
            <v>2206004</v>
          </cell>
          <cell r="C359" t="str">
            <v>Mantenimiento y Reparacion de Maquinas y Equipos de Oficina</v>
          </cell>
        </row>
        <row r="360">
          <cell r="A360">
            <v>201943985</v>
          </cell>
          <cell r="B360">
            <v>2206005</v>
          </cell>
          <cell r="C360" t="str">
            <v>Mantenimiento y Reparaciones de Maquinarias y Equipos de Produccion</v>
          </cell>
        </row>
        <row r="361">
          <cell r="A361">
            <v>201943986</v>
          </cell>
          <cell r="B361">
            <v>2206006</v>
          </cell>
          <cell r="C361" t="str">
            <v>Mantenimiento y Reparacion de Otras Maquinarias y Equipos</v>
          </cell>
        </row>
        <row r="362">
          <cell r="A362">
            <v>201943987</v>
          </cell>
          <cell r="B362">
            <v>2206007</v>
          </cell>
          <cell r="C362" t="str">
            <v>Mantenimiento y Reparacion de Equipos Informaticos</v>
          </cell>
        </row>
        <row r="363">
          <cell r="A363">
            <v>201943988</v>
          </cell>
          <cell r="B363">
            <v>2206999</v>
          </cell>
          <cell r="C363" t="str">
            <v>Otros</v>
          </cell>
        </row>
        <row r="364">
          <cell r="A364">
            <v>201943989</v>
          </cell>
          <cell r="B364">
            <v>2207</v>
          </cell>
          <cell r="C364" t="str">
            <v>Publicidad y Difusion</v>
          </cell>
        </row>
        <row r="365">
          <cell r="A365">
            <v>201943990</v>
          </cell>
          <cell r="B365">
            <v>2207001</v>
          </cell>
          <cell r="C365" t="str">
            <v>Servicios de Publicidad</v>
          </cell>
        </row>
        <row r="366">
          <cell r="A366">
            <v>201943991</v>
          </cell>
          <cell r="B366">
            <v>2207002</v>
          </cell>
          <cell r="C366" t="str">
            <v>Servicios de Impresion</v>
          </cell>
        </row>
        <row r="367">
          <cell r="A367">
            <v>201943992</v>
          </cell>
          <cell r="B367">
            <v>2207003</v>
          </cell>
          <cell r="C367" t="str">
            <v>Servicios de Encuadernacion y Empaste</v>
          </cell>
        </row>
        <row r="368">
          <cell r="A368">
            <v>201943993</v>
          </cell>
          <cell r="B368">
            <v>2207999</v>
          </cell>
          <cell r="C368" t="str">
            <v>Otros</v>
          </cell>
        </row>
        <row r="369">
          <cell r="A369">
            <v>201943994</v>
          </cell>
          <cell r="B369">
            <v>2208</v>
          </cell>
          <cell r="C369" t="str">
            <v>Servicios Generales</v>
          </cell>
        </row>
        <row r="370">
          <cell r="A370">
            <v>201943995</v>
          </cell>
          <cell r="B370">
            <v>2208001</v>
          </cell>
          <cell r="C370" t="str">
            <v>Servicios de Aseo</v>
          </cell>
        </row>
        <row r="371">
          <cell r="A371">
            <v>201943996</v>
          </cell>
          <cell r="B371">
            <v>2208002</v>
          </cell>
          <cell r="C371" t="str">
            <v>Servicios de Vigilancia</v>
          </cell>
        </row>
        <row r="372">
          <cell r="A372">
            <v>201943997</v>
          </cell>
          <cell r="B372">
            <v>2208003</v>
          </cell>
          <cell r="C372" t="str">
            <v>Servicios de Mantencion de Jardines</v>
          </cell>
        </row>
        <row r="373">
          <cell r="A373">
            <v>201943998</v>
          </cell>
          <cell r="B373">
            <v>2208007</v>
          </cell>
          <cell r="C373" t="str">
            <v>Pasajes, Fletes y Bodegajes</v>
          </cell>
        </row>
        <row r="374">
          <cell r="A374">
            <v>201943999</v>
          </cell>
          <cell r="B374">
            <v>2208008</v>
          </cell>
          <cell r="C374" t="str">
            <v>Salas Cunas y/o Jardines Infantiles</v>
          </cell>
        </row>
        <row r="375">
          <cell r="A375">
            <v>201944000</v>
          </cell>
          <cell r="B375">
            <v>2208009</v>
          </cell>
          <cell r="C375" t="str">
            <v>Servicios de Pago y Cobranza</v>
          </cell>
        </row>
        <row r="376">
          <cell r="A376">
            <v>201944001</v>
          </cell>
          <cell r="B376">
            <v>2208010</v>
          </cell>
          <cell r="C376" t="str">
            <v>Servicios de Suscripcion y Similares</v>
          </cell>
        </row>
        <row r="377">
          <cell r="A377">
            <v>201944002</v>
          </cell>
          <cell r="B377">
            <v>2208011</v>
          </cell>
          <cell r="C377" t="str">
            <v>Servicios de Produccion y Desarrollo de Eventos</v>
          </cell>
        </row>
        <row r="378">
          <cell r="A378">
            <v>201944003</v>
          </cell>
          <cell r="B378">
            <v>2208999</v>
          </cell>
          <cell r="C378" t="str">
            <v>Otros</v>
          </cell>
        </row>
        <row r="379">
          <cell r="A379">
            <v>201944004</v>
          </cell>
          <cell r="B379">
            <v>2209</v>
          </cell>
          <cell r="C379" t="str">
            <v>Arriendos</v>
          </cell>
        </row>
        <row r="380">
          <cell r="A380">
            <v>201944005</v>
          </cell>
          <cell r="B380">
            <v>2209001</v>
          </cell>
          <cell r="C380" t="str">
            <v>Arriendo de Terrenos</v>
          </cell>
        </row>
        <row r="381">
          <cell r="A381">
            <v>201944006</v>
          </cell>
          <cell r="B381">
            <v>2209002</v>
          </cell>
          <cell r="C381" t="str">
            <v>Arriendo de Edificios</v>
          </cell>
        </row>
        <row r="382">
          <cell r="A382">
            <v>201944007</v>
          </cell>
          <cell r="B382">
            <v>2209003</v>
          </cell>
          <cell r="C382" t="str">
            <v>Arriendo de Vehiculos</v>
          </cell>
        </row>
        <row r="383">
          <cell r="A383">
            <v>201944008</v>
          </cell>
          <cell r="B383">
            <v>2209004</v>
          </cell>
          <cell r="C383" t="str">
            <v>Arriendo de Mobiliario y Otros</v>
          </cell>
        </row>
        <row r="384">
          <cell r="A384">
            <v>201944009</v>
          </cell>
          <cell r="B384">
            <v>2209005</v>
          </cell>
          <cell r="C384" t="str">
            <v>Arriendo de Maquinas y Equipos</v>
          </cell>
        </row>
        <row r="385">
          <cell r="A385">
            <v>201944010</v>
          </cell>
          <cell r="B385">
            <v>2209006</v>
          </cell>
          <cell r="C385" t="str">
            <v>Arriendo de Equipos Informaticos</v>
          </cell>
        </row>
        <row r="386">
          <cell r="A386">
            <v>201944011</v>
          </cell>
          <cell r="B386">
            <v>2209999</v>
          </cell>
          <cell r="C386" t="str">
            <v>Otros</v>
          </cell>
        </row>
        <row r="387">
          <cell r="A387">
            <v>201944012</v>
          </cell>
          <cell r="B387">
            <v>2210</v>
          </cell>
          <cell r="C387" t="str">
            <v>Servicios Financieros y de Seguros</v>
          </cell>
        </row>
        <row r="388">
          <cell r="A388">
            <v>201944013</v>
          </cell>
          <cell r="B388">
            <v>2210001</v>
          </cell>
          <cell r="C388" t="str">
            <v>Gastos Financieros por Compra y Venta de Titulos y Valores</v>
          </cell>
        </row>
        <row r="389">
          <cell r="A389">
            <v>201944014</v>
          </cell>
          <cell r="B389">
            <v>2210002</v>
          </cell>
          <cell r="C389" t="str">
            <v>Primas y Gastos de Seguros</v>
          </cell>
        </row>
        <row r="390">
          <cell r="A390">
            <v>201944015</v>
          </cell>
          <cell r="B390">
            <v>2210003</v>
          </cell>
          <cell r="C390" t="str">
            <v>Servicios de Giros y Remesas</v>
          </cell>
        </row>
        <row r="391">
          <cell r="A391">
            <v>201944016</v>
          </cell>
          <cell r="B391">
            <v>2210004</v>
          </cell>
          <cell r="C391" t="str">
            <v>Gastos Bancarios</v>
          </cell>
        </row>
        <row r="392">
          <cell r="A392">
            <v>201944017</v>
          </cell>
          <cell r="B392">
            <v>2210999</v>
          </cell>
          <cell r="C392" t="str">
            <v>Otros</v>
          </cell>
        </row>
        <row r="393">
          <cell r="A393">
            <v>201944018</v>
          </cell>
          <cell r="B393">
            <v>2211</v>
          </cell>
          <cell r="C393" t="str">
            <v>Servicios Tecnicos y Profesionales</v>
          </cell>
        </row>
        <row r="394">
          <cell r="A394">
            <v>201944019</v>
          </cell>
          <cell r="B394">
            <v>2211001</v>
          </cell>
          <cell r="C394" t="str">
            <v>Estudios e Investigaciones</v>
          </cell>
        </row>
        <row r="395">
          <cell r="A395">
            <v>201944020</v>
          </cell>
          <cell r="B395">
            <v>2211002</v>
          </cell>
          <cell r="C395" t="str">
            <v>Cursos de Capacitacion</v>
          </cell>
        </row>
        <row r="396">
          <cell r="A396">
            <v>201944021</v>
          </cell>
          <cell r="B396">
            <v>2211003</v>
          </cell>
          <cell r="C396" t="str">
            <v>Servicios Informaticos</v>
          </cell>
        </row>
        <row r="397">
          <cell r="A397">
            <v>201944022</v>
          </cell>
          <cell r="B397">
            <v>2211999</v>
          </cell>
          <cell r="C397" t="str">
            <v>Otros</v>
          </cell>
        </row>
        <row r="398">
          <cell r="A398">
            <v>201944023</v>
          </cell>
          <cell r="B398">
            <v>2212</v>
          </cell>
          <cell r="C398" t="str">
            <v>Otros Gastos en Bienes y Servicios de Consumo</v>
          </cell>
        </row>
        <row r="399">
          <cell r="A399">
            <v>201944024</v>
          </cell>
          <cell r="B399">
            <v>2212001</v>
          </cell>
          <cell r="C399" t="str">
            <v>Gastos Reservados</v>
          </cell>
        </row>
        <row r="400">
          <cell r="A400">
            <v>201944025</v>
          </cell>
          <cell r="B400">
            <v>2212002</v>
          </cell>
          <cell r="C400" t="str">
            <v>Gastos Menores</v>
          </cell>
        </row>
        <row r="401">
          <cell r="A401">
            <v>201944026</v>
          </cell>
          <cell r="B401">
            <v>2212003</v>
          </cell>
          <cell r="C401" t="str">
            <v>Gastos de Representacion, Protocolo y Ceremonial</v>
          </cell>
        </row>
        <row r="402">
          <cell r="A402">
            <v>201944027</v>
          </cell>
          <cell r="B402">
            <v>2212004</v>
          </cell>
          <cell r="C402" t="str">
            <v>Intereses, Multas y Recargos</v>
          </cell>
        </row>
        <row r="403">
          <cell r="A403">
            <v>201944028</v>
          </cell>
          <cell r="B403">
            <v>2212005</v>
          </cell>
          <cell r="C403" t="str">
            <v>Derechos y Tasas</v>
          </cell>
        </row>
        <row r="404">
          <cell r="A404">
            <v>201944029</v>
          </cell>
          <cell r="B404">
            <v>2212006</v>
          </cell>
          <cell r="C404" t="str">
            <v>Contribuciones</v>
          </cell>
        </row>
        <row r="405">
          <cell r="A405">
            <v>201944030</v>
          </cell>
          <cell r="B405">
            <v>2212999</v>
          </cell>
          <cell r="C405" t="str">
            <v>Otros</v>
          </cell>
        </row>
        <row r="406">
          <cell r="A406">
            <v>201944031</v>
          </cell>
          <cell r="B406">
            <v>2215</v>
          </cell>
          <cell r="C406" t="str">
            <v>Material Policial y Militar</v>
          </cell>
        </row>
        <row r="407">
          <cell r="A407">
            <v>201944032</v>
          </cell>
          <cell r="B407">
            <v>23</v>
          </cell>
          <cell r="C407" t="str">
            <v>PRESTACIONES DE SEGURIDAD SOCIAL</v>
          </cell>
        </row>
        <row r="408">
          <cell r="A408">
            <v>201944033</v>
          </cell>
          <cell r="B408">
            <v>2301</v>
          </cell>
          <cell r="C408" t="str">
            <v>Prestaciones Previsionales</v>
          </cell>
        </row>
        <row r="409">
          <cell r="A409">
            <v>201944034</v>
          </cell>
          <cell r="B409">
            <v>2301001</v>
          </cell>
          <cell r="C409" t="str">
            <v>Jubilaciones, Pensiones y Montepios</v>
          </cell>
        </row>
        <row r="410">
          <cell r="A410">
            <v>201944035</v>
          </cell>
          <cell r="B410">
            <v>2301002</v>
          </cell>
          <cell r="C410" t="str">
            <v>Bonificaciones</v>
          </cell>
        </row>
        <row r="411">
          <cell r="A411">
            <v>201944036</v>
          </cell>
          <cell r="B411">
            <v>2301003</v>
          </cell>
          <cell r="C411" t="str">
            <v>Bono de Reconocimiento</v>
          </cell>
        </row>
        <row r="412">
          <cell r="A412">
            <v>201944037</v>
          </cell>
          <cell r="B412">
            <v>2301004</v>
          </cell>
          <cell r="C412" t="str">
            <v>Desahucios e Indemnizaciones</v>
          </cell>
        </row>
        <row r="413">
          <cell r="A413">
            <v>201944038</v>
          </cell>
          <cell r="B413">
            <v>2301005</v>
          </cell>
          <cell r="C413" t="str">
            <v>Fondo de Seguro Social de los Empleados Publicos</v>
          </cell>
        </row>
        <row r="414">
          <cell r="A414">
            <v>201944039</v>
          </cell>
          <cell r="B414">
            <v>2301006</v>
          </cell>
          <cell r="C414" t="str">
            <v>Asignacion por Muerte</v>
          </cell>
        </row>
        <row r="415">
          <cell r="A415">
            <v>201944040</v>
          </cell>
          <cell r="B415">
            <v>2301007</v>
          </cell>
          <cell r="C415" t="str">
            <v>Seguro de Vida</v>
          </cell>
        </row>
        <row r="416">
          <cell r="A416">
            <v>201944041</v>
          </cell>
          <cell r="B416">
            <v>2301008</v>
          </cell>
          <cell r="C416" t="str">
            <v>Devolucion de Imposiciones</v>
          </cell>
        </row>
        <row r="417">
          <cell r="A417">
            <v>201944042</v>
          </cell>
          <cell r="B417">
            <v>2301009</v>
          </cell>
          <cell r="C417" t="str">
            <v>Bonificaciones de Salud</v>
          </cell>
        </row>
        <row r="418">
          <cell r="A418">
            <v>201944043</v>
          </cell>
          <cell r="B418">
            <v>2301010</v>
          </cell>
          <cell r="C418" t="str">
            <v>Subsidios de Reposo Preventivo</v>
          </cell>
        </row>
        <row r="419">
          <cell r="A419">
            <v>201944044</v>
          </cell>
          <cell r="B419">
            <v>2301011</v>
          </cell>
          <cell r="C419" t="str">
            <v>Subsidio de Enfermedad y Medicina Curativa</v>
          </cell>
        </row>
        <row r="420">
          <cell r="A420">
            <v>201944045</v>
          </cell>
          <cell r="B420">
            <v>2301012</v>
          </cell>
          <cell r="C420" t="str">
            <v>Subsidios por Accidentes del Trabajo</v>
          </cell>
        </row>
        <row r="421">
          <cell r="A421">
            <v>201944046</v>
          </cell>
          <cell r="B421">
            <v>2301013</v>
          </cell>
          <cell r="C421" t="str">
            <v>Subsidios de Reposo Maternal, Articulo 196 Codigo del Trabajo</v>
          </cell>
        </row>
        <row r="422">
          <cell r="A422">
            <v>201944047</v>
          </cell>
          <cell r="B422">
            <v>2301014</v>
          </cell>
          <cell r="C422" t="str">
            <v>Subsidio Cajas de Compensacion de Asignacion Familiar</v>
          </cell>
        </row>
        <row r="423">
          <cell r="A423">
            <v>201944048</v>
          </cell>
          <cell r="B423">
            <v>2301015</v>
          </cell>
          <cell r="C423" t="str">
            <v>Aporte Fondo de Cesantia Solidario Ley N 19.728</v>
          </cell>
        </row>
        <row r="424">
          <cell r="A424">
            <v>201944150</v>
          </cell>
          <cell r="B424">
            <v>2301016</v>
          </cell>
          <cell r="C424" t="str">
            <v>Bonificacion por Hijo para las Mujeres</v>
          </cell>
        </row>
        <row r="425">
          <cell r="A425">
            <v>201944151</v>
          </cell>
          <cell r="B425">
            <v>2301017</v>
          </cell>
          <cell r="C425" t="str">
            <v>Fondo Bono Laboral Ley N 20.305</v>
          </cell>
        </row>
        <row r="426">
          <cell r="A426">
            <v>201944152</v>
          </cell>
          <cell r="B426">
            <v>2302</v>
          </cell>
          <cell r="C426" t="str">
            <v>Prestaciones de Asistencia Social</v>
          </cell>
        </row>
        <row r="427">
          <cell r="A427">
            <v>201944153</v>
          </cell>
          <cell r="B427">
            <v>2302001</v>
          </cell>
          <cell r="C427" t="str">
            <v>Asignacion Familiar</v>
          </cell>
        </row>
        <row r="428">
          <cell r="A428">
            <v>201944154</v>
          </cell>
          <cell r="B428">
            <v>2302002</v>
          </cell>
          <cell r="C428" t="str">
            <v>Pensiones Asistenciales</v>
          </cell>
        </row>
        <row r="429">
          <cell r="A429">
            <v>201944155</v>
          </cell>
          <cell r="B429">
            <v>2302003</v>
          </cell>
          <cell r="C429" t="str">
            <v>Garantia Estatal Pensiones Minimas</v>
          </cell>
        </row>
        <row r="430">
          <cell r="A430">
            <v>201944156</v>
          </cell>
          <cell r="B430">
            <v>2302004</v>
          </cell>
          <cell r="C430" t="str">
            <v>Ayudas Economicas y Otros Pagos Preventivos</v>
          </cell>
        </row>
        <row r="431">
          <cell r="A431">
            <v>201944157</v>
          </cell>
          <cell r="B431">
            <v>2302005</v>
          </cell>
          <cell r="C431" t="str">
            <v>Subsidios de Reposo Maternal y Cuidado del Nino</v>
          </cell>
        </row>
        <row r="432">
          <cell r="A432">
            <v>201944158</v>
          </cell>
          <cell r="B432">
            <v>2302006</v>
          </cell>
          <cell r="C432" t="str">
            <v>Subsidio de Cesantia</v>
          </cell>
        </row>
        <row r="433">
          <cell r="A433">
            <v>201944159</v>
          </cell>
          <cell r="B433">
            <v>2302007</v>
          </cell>
          <cell r="C433" t="str">
            <v>Pensiones Basicas Solidarias de Vejez</v>
          </cell>
        </row>
        <row r="434">
          <cell r="A434">
            <v>201944160</v>
          </cell>
          <cell r="B434">
            <v>2302008</v>
          </cell>
          <cell r="C434" t="str">
            <v>Pensiones Basicas Solidarias de Invalidez</v>
          </cell>
        </row>
        <row r="435">
          <cell r="A435">
            <v>201944161</v>
          </cell>
          <cell r="B435">
            <v>2302009</v>
          </cell>
          <cell r="C435" t="str">
            <v>Subsidio de Discapacidad Mental</v>
          </cell>
        </row>
        <row r="436">
          <cell r="A436">
            <v>201944162</v>
          </cell>
          <cell r="B436">
            <v>2302010</v>
          </cell>
          <cell r="C436" t="str">
            <v>Bono para Conyuges que cumplan Cincuenta Anos de Matrimonio</v>
          </cell>
        </row>
        <row r="437">
          <cell r="A437">
            <v>201944163</v>
          </cell>
          <cell r="B437">
            <v>2302011</v>
          </cell>
          <cell r="C437" t="str">
            <v>Bonificacion Ley N20.531</v>
          </cell>
        </row>
        <row r="438">
          <cell r="A438">
            <v>201947140</v>
          </cell>
          <cell r="B438">
            <v>2302012</v>
          </cell>
          <cell r="C438" t="str">
            <v>Aporte Familiar Permanente de Marzo</v>
          </cell>
        </row>
        <row r="439">
          <cell r="A439">
            <v>201944164</v>
          </cell>
          <cell r="B439">
            <v>2303</v>
          </cell>
          <cell r="C439" t="str">
            <v>Prestaciones Sociales del Empleador</v>
          </cell>
        </row>
        <row r="440">
          <cell r="A440">
            <v>201944165</v>
          </cell>
          <cell r="B440">
            <v>2303001</v>
          </cell>
          <cell r="C440" t="str">
            <v>Indemnizacion de Cargo Fiscal</v>
          </cell>
        </row>
        <row r="441">
          <cell r="A441">
            <v>201944166</v>
          </cell>
          <cell r="B441">
            <v>2303002</v>
          </cell>
          <cell r="C441" t="str">
            <v>Beneficios Medicos</v>
          </cell>
        </row>
        <row r="442">
          <cell r="A442">
            <v>201944167</v>
          </cell>
          <cell r="B442">
            <v>2303003</v>
          </cell>
          <cell r="C442" t="str">
            <v>Fondo Retiro Funcionarios Publicos Ley N 19.882</v>
          </cell>
        </row>
        <row r="443">
          <cell r="A443">
            <v>201944168</v>
          </cell>
          <cell r="B443">
            <v>2303004</v>
          </cell>
          <cell r="C443" t="str">
            <v>Otras Indemnizaciones</v>
          </cell>
        </row>
        <row r="444">
          <cell r="A444">
            <v>201944169</v>
          </cell>
          <cell r="B444">
            <v>24</v>
          </cell>
          <cell r="C444" t="str">
            <v>TRANSFERENCIAS CORRIENTES</v>
          </cell>
        </row>
        <row r="445">
          <cell r="A445">
            <v>201944170</v>
          </cell>
          <cell r="B445">
            <v>2401</v>
          </cell>
          <cell r="C445" t="str">
            <v>Al Sector Privado</v>
          </cell>
        </row>
        <row r="446">
          <cell r="A446">
            <v>201944171</v>
          </cell>
          <cell r="B446">
            <v>2402</v>
          </cell>
          <cell r="C446" t="str">
            <v>Al Gobierno Central</v>
          </cell>
        </row>
        <row r="447">
          <cell r="A447">
            <v>201944663</v>
          </cell>
          <cell r="B447">
            <v>2402005</v>
          </cell>
          <cell r="C447" t="str">
            <v>A la Direccion de Bibliotecas Archivos y Museos</v>
          </cell>
        </row>
        <row r="448">
          <cell r="A448">
            <v>201947087</v>
          </cell>
          <cell r="B448">
            <v>2402010</v>
          </cell>
          <cell r="C448" t="str">
            <v>Programa Inversion Regional Region X</v>
          </cell>
        </row>
        <row r="449">
          <cell r="A449">
            <v>201947083</v>
          </cell>
          <cell r="B449">
            <v>2402016</v>
          </cell>
          <cell r="C449" t="str">
            <v>Subsecretaria de Desarrollo Regional y Administrativo - Programa 01</v>
          </cell>
        </row>
        <row r="450">
          <cell r="A450">
            <v>201947143</v>
          </cell>
          <cell r="B450">
            <v>2402017</v>
          </cell>
          <cell r="C450" t="str">
            <v>Subsecretaria de Desarollo Regional y Administrativo - Programa 02</v>
          </cell>
        </row>
        <row r="451">
          <cell r="A451">
            <v>201947088</v>
          </cell>
          <cell r="B451">
            <v>2402018</v>
          </cell>
          <cell r="C451" t="str">
            <v>Subsecretaria del Interior - Programa 01</v>
          </cell>
        </row>
        <row r="452">
          <cell r="A452">
            <v>201947089</v>
          </cell>
          <cell r="B452">
            <v>2402101</v>
          </cell>
          <cell r="C452" t="str">
            <v>Programa Gastos de Funcionamiento Region I</v>
          </cell>
        </row>
        <row r="453">
          <cell r="A453">
            <v>201947090</v>
          </cell>
          <cell r="B453">
            <v>2402102</v>
          </cell>
          <cell r="C453" t="str">
            <v>Programa Gastos de Funcionamiento Region II</v>
          </cell>
        </row>
        <row r="454">
          <cell r="A454">
            <v>201947091</v>
          </cell>
          <cell r="B454">
            <v>2402103</v>
          </cell>
          <cell r="C454" t="str">
            <v>Programa Gastos de Funcionamiento Region III</v>
          </cell>
        </row>
        <row r="455">
          <cell r="A455">
            <v>201947092</v>
          </cell>
          <cell r="B455">
            <v>2402104</v>
          </cell>
          <cell r="C455" t="str">
            <v>Programa Gastos de Funcionamiento Region IV</v>
          </cell>
        </row>
        <row r="456">
          <cell r="A456">
            <v>201947093</v>
          </cell>
          <cell r="B456">
            <v>2402105</v>
          </cell>
          <cell r="C456" t="str">
            <v>Programa Gastos de Funcionamiento Region V</v>
          </cell>
        </row>
        <row r="457">
          <cell r="A457">
            <v>201947094</v>
          </cell>
          <cell r="B457">
            <v>2402106</v>
          </cell>
          <cell r="C457" t="str">
            <v>Programa Gastos de Funcionamiento Region VI</v>
          </cell>
        </row>
        <row r="458">
          <cell r="A458">
            <v>201947095</v>
          </cell>
          <cell r="B458">
            <v>2402107</v>
          </cell>
          <cell r="C458" t="str">
            <v>Programa Gastos de Funcionamiento Region VII</v>
          </cell>
        </row>
        <row r="459">
          <cell r="A459">
            <v>201947096</v>
          </cell>
          <cell r="B459">
            <v>2402108</v>
          </cell>
          <cell r="C459" t="str">
            <v>Programa Gastos de Funcionamiento Region VIII</v>
          </cell>
        </row>
        <row r="460">
          <cell r="A460">
            <v>201947097</v>
          </cell>
          <cell r="B460">
            <v>2402109</v>
          </cell>
          <cell r="C460" t="str">
            <v>Programa Gastos de Funcionamiento Region IX</v>
          </cell>
        </row>
        <row r="461">
          <cell r="A461">
            <v>201947098</v>
          </cell>
          <cell r="B461">
            <v>2402110</v>
          </cell>
          <cell r="C461" t="str">
            <v>Programa Gastos de Funcionamiento Region X</v>
          </cell>
        </row>
        <row r="462">
          <cell r="A462">
            <v>201947099</v>
          </cell>
          <cell r="B462">
            <v>2402111</v>
          </cell>
          <cell r="C462" t="str">
            <v>Programa Gastos de Funcionamiento Region XI</v>
          </cell>
        </row>
        <row r="463">
          <cell r="A463">
            <v>201947100</v>
          </cell>
          <cell r="B463">
            <v>2402112</v>
          </cell>
          <cell r="C463" t="str">
            <v>Programa Gastos de Funcionamiento Region XII</v>
          </cell>
        </row>
        <row r="464">
          <cell r="A464">
            <v>201947101</v>
          </cell>
          <cell r="B464">
            <v>2402113</v>
          </cell>
          <cell r="C464" t="str">
            <v>Programa Gastos de Funcionamiento Region Metropolitana</v>
          </cell>
        </row>
        <row r="465">
          <cell r="A465">
            <v>201947102</v>
          </cell>
          <cell r="B465">
            <v>2402114</v>
          </cell>
          <cell r="C465" t="str">
            <v>Programa Gastos de Funcionamiento Region XIV</v>
          </cell>
        </row>
        <row r="466">
          <cell r="A466">
            <v>201947103</v>
          </cell>
          <cell r="B466">
            <v>2402115</v>
          </cell>
          <cell r="C466" t="str">
            <v>Programa Gastos de Funcionamiento Region XV</v>
          </cell>
        </row>
        <row r="467">
          <cell r="A467">
            <v>201944172</v>
          </cell>
          <cell r="B467">
            <v>2403</v>
          </cell>
          <cell r="C467" t="str">
            <v>A Otras Entidades Publicas</v>
          </cell>
        </row>
        <row r="468">
          <cell r="A468">
            <v>201944560</v>
          </cell>
          <cell r="B468">
            <v>2403024</v>
          </cell>
          <cell r="C468" t="str">
            <v>Capacitacion en Desarrollo Regional y Comunal</v>
          </cell>
        </row>
        <row r="469">
          <cell r="A469">
            <v>201944664</v>
          </cell>
          <cell r="B469">
            <v>2403026</v>
          </cell>
          <cell r="C469" t="str">
            <v>Programa Academia Capacitacion Municipal y Regional</v>
          </cell>
        </row>
        <row r="470">
          <cell r="A470">
            <v>201944577</v>
          </cell>
          <cell r="B470">
            <v>2403029</v>
          </cell>
          <cell r="C470" t="str">
            <v>Municipalidades</v>
          </cell>
        </row>
        <row r="471">
          <cell r="A471">
            <v>201944573</v>
          </cell>
          <cell r="B471">
            <v>2403031</v>
          </cell>
          <cell r="C471" t="str">
            <v>Programa de Apoyo a la Acreditacion de Calidad de Servicios Municipales</v>
          </cell>
        </row>
        <row r="472">
          <cell r="A472">
            <v>201944559</v>
          </cell>
          <cell r="B472">
            <v>2403032</v>
          </cell>
          <cell r="C472" t="str">
            <v>Programa de Mejoramiento de la Gestion Municipal</v>
          </cell>
        </row>
        <row r="473">
          <cell r="A473">
            <v>201944665</v>
          </cell>
          <cell r="B473">
            <v>2403112</v>
          </cell>
          <cell r="C473" t="str">
            <v>Oficina Fondo Recuperacion de Ciudades</v>
          </cell>
        </row>
        <row r="474">
          <cell r="A474">
            <v>201944653</v>
          </cell>
          <cell r="B474">
            <v>2403399</v>
          </cell>
          <cell r="C474" t="str">
            <v>Oficina Credito de Apoyo a la Gestion Subnacional</v>
          </cell>
        </row>
        <row r="475">
          <cell r="A475">
            <v>201944568</v>
          </cell>
          <cell r="B475">
            <v>2403403</v>
          </cell>
          <cell r="C475" t="str">
            <v>Municipalidades (Compensacion por Predios Exentos)</v>
          </cell>
        </row>
        <row r="476">
          <cell r="A476">
            <v>201944572</v>
          </cell>
          <cell r="B476">
            <v>2403405</v>
          </cell>
          <cell r="C476" t="str">
            <v>Oficina Credito Puesta en Valor del Patrimonio</v>
          </cell>
        </row>
        <row r="477">
          <cell r="A477">
            <v>201947169</v>
          </cell>
          <cell r="B477">
            <v>2403406</v>
          </cell>
          <cell r="C477" t="str">
            <v>Municipalidades (Programa Esterilizacion y Atencion Sanitaria de Animales de Compania)</v>
          </cell>
        </row>
        <row r="478">
          <cell r="A478">
            <v>201947156</v>
          </cell>
          <cell r="B478">
            <v>2403408</v>
          </cell>
          <cell r="C478" t="str">
            <v>Programa de Buenas Practicas para el Desarrollo de los Territorios</v>
          </cell>
        </row>
        <row r="479">
          <cell r="A479">
            <v>201944173</v>
          </cell>
          <cell r="B479">
            <v>2404</v>
          </cell>
          <cell r="C479" t="str">
            <v>A Empresas Publicas no Financieras</v>
          </cell>
        </row>
        <row r="480">
          <cell r="A480">
            <v>201944174</v>
          </cell>
          <cell r="B480">
            <v>2405</v>
          </cell>
          <cell r="C480" t="str">
            <v>A Empresas Publicas Financieras</v>
          </cell>
        </row>
        <row r="481">
          <cell r="A481">
            <v>201944175</v>
          </cell>
          <cell r="B481">
            <v>2406</v>
          </cell>
          <cell r="C481" t="str">
            <v>A Gobiernos Extranjeros</v>
          </cell>
        </row>
        <row r="482">
          <cell r="A482">
            <v>201944176</v>
          </cell>
          <cell r="B482">
            <v>2407</v>
          </cell>
          <cell r="C482" t="str">
            <v>A Organismos Internacionales</v>
          </cell>
        </row>
        <row r="483">
          <cell r="A483">
            <v>201947123</v>
          </cell>
          <cell r="B483">
            <v>2407001</v>
          </cell>
          <cell r="C483" t="str">
            <v>A Organizacion para la Cooperacion y Desarrollo Economico</v>
          </cell>
        </row>
        <row r="484">
          <cell r="A484">
            <v>201947124</v>
          </cell>
          <cell r="B484">
            <v>2407002</v>
          </cell>
          <cell r="C484" t="str">
            <v>A Comision Economica Para America Latina y el Caribe de las Naciones Unidas</v>
          </cell>
        </row>
        <row r="485">
          <cell r="A485">
            <v>201944177</v>
          </cell>
          <cell r="B485">
            <v>25</v>
          </cell>
          <cell r="C485" t="str">
            <v>INTEGROS AL FISCO</v>
          </cell>
        </row>
        <row r="486">
          <cell r="A486">
            <v>201944178</v>
          </cell>
          <cell r="B486">
            <v>2501</v>
          </cell>
          <cell r="C486" t="str">
            <v>Impuestos</v>
          </cell>
        </row>
        <row r="487">
          <cell r="A487">
            <v>201944179</v>
          </cell>
          <cell r="B487">
            <v>2502</v>
          </cell>
          <cell r="C487" t="str">
            <v>Anticipos y/o Utilidades</v>
          </cell>
        </row>
        <row r="488">
          <cell r="A488">
            <v>201944180</v>
          </cell>
          <cell r="B488">
            <v>2503</v>
          </cell>
          <cell r="C488" t="str">
            <v>Excedentes de Caja</v>
          </cell>
        </row>
        <row r="489">
          <cell r="A489">
            <v>201944181</v>
          </cell>
          <cell r="B489">
            <v>2599</v>
          </cell>
          <cell r="C489" t="str">
            <v>Otros ntegros al Fisco</v>
          </cell>
        </row>
        <row r="490">
          <cell r="A490">
            <v>201944182</v>
          </cell>
          <cell r="B490">
            <v>26</v>
          </cell>
          <cell r="C490" t="str">
            <v>OTROS GASTOS CORRIENTES</v>
          </cell>
        </row>
        <row r="491">
          <cell r="A491">
            <v>201944183</v>
          </cell>
          <cell r="B491">
            <v>2601</v>
          </cell>
          <cell r="C491" t="str">
            <v>Devoluciones</v>
          </cell>
        </row>
        <row r="492">
          <cell r="A492">
            <v>201944184</v>
          </cell>
          <cell r="B492">
            <v>2602</v>
          </cell>
          <cell r="C492" t="str">
            <v>Compensaciones por Danos a Terceros y/o a la Propiedad</v>
          </cell>
        </row>
        <row r="493">
          <cell r="A493">
            <v>201944185</v>
          </cell>
          <cell r="B493">
            <v>2603</v>
          </cell>
          <cell r="C493" t="str">
            <v>2% Constitucional</v>
          </cell>
        </row>
        <row r="494">
          <cell r="A494">
            <v>201944186</v>
          </cell>
          <cell r="B494">
            <v>2604</v>
          </cell>
          <cell r="C494" t="str">
            <v>Aplicacion Fondos de Terceros</v>
          </cell>
        </row>
        <row r="495">
          <cell r="A495">
            <v>201944187</v>
          </cell>
          <cell r="B495">
            <v>27</v>
          </cell>
          <cell r="C495" t="str">
            <v>APORTE FISCAL LIBRE</v>
          </cell>
        </row>
        <row r="496">
          <cell r="A496">
            <v>201944188</v>
          </cell>
          <cell r="B496">
            <v>28</v>
          </cell>
          <cell r="C496" t="str">
            <v>APORTE FISCAL PARA SERVICIO DE LA DEUDA</v>
          </cell>
        </row>
        <row r="497">
          <cell r="A497">
            <v>201944189</v>
          </cell>
          <cell r="B497">
            <v>29</v>
          </cell>
          <cell r="C497" t="str">
            <v>ADQUISICION DE ACTIVOS NO FINANCIEROS</v>
          </cell>
        </row>
        <row r="498">
          <cell r="A498">
            <v>201944190</v>
          </cell>
          <cell r="B498">
            <v>2901</v>
          </cell>
          <cell r="C498" t="str">
            <v>Terrenos</v>
          </cell>
        </row>
        <row r="499">
          <cell r="A499">
            <v>201944191</v>
          </cell>
          <cell r="B499">
            <v>2902</v>
          </cell>
          <cell r="C499" t="str">
            <v>Edificios</v>
          </cell>
        </row>
        <row r="500">
          <cell r="A500">
            <v>201944192</v>
          </cell>
          <cell r="B500">
            <v>2903</v>
          </cell>
          <cell r="C500" t="str">
            <v>Vehiculos</v>
          </cell>
        </row>
        <row r="501">
          <cell r="A501">
            <v>201944193</v>
          </cell>
          <cell r="B501">
            <v>2904</v>
          </cell>
          <cell r="C501" t="str">
            <v>Mobiliario y Otros</v>
          </cell>
        </row>
        <row r="502">
          <cell r="A502">
            <v>201944194</v>
          </cell>
          <cell r="B502">
            <v>2905</v>
          </cell>
          <cell r="C502" t="str">
            <v>Maquinas y Equipos</v>
          </cell>
        </row>
        <row r="503">
          <cell r="A503">
            <v>201944195</v>
          </cell>
          <cell r="B503">
            <v>2905001</v>
          </cell>
          <cell r="C503" t="str">
            <v>Maquinas y Equipos de Oficina</v>
          </cell>
        </row>
        <row r="504">
          <cell r="A504">
            <v>201944196</v>
          </cell>
          <cell r="B504">
            <v>2905002</v>
          </cell>
          <cell r="C504" t="str">
            <v>Maquinarias y Equipos para la Produccion</v>
          </cell>
        </row>
        <row r="505">
          <cell r="A505">
            <v>201944197</v>
          </cell>
          <cell r="B505">
            <v>2905999</v>
          </cell>
          <cell r="C505" t="str">
            <v>Otras</v>
          </cell>
        </row>
        <row r="506">
          <cell r="A506">
            <v>201944198</v>
          </cell>
          <cell r="B506">
            <v>2906</v>
          </cell>
          <cell r="C506" t="str">
            <v>Equipos Informaticos</v>
          </cell>
        </row>
        <row r="507">
          <cell r="A507">
            <v>201944199</v>
          </cell>
          <cell r="B507">
            <v>2906001</v>
          </cell>
          <cell r="C507" t="str">
            <v>Equipos Computacionales y Perifericos</v>
          </cell>
        </row>
        <row r="508">
          <cell r="A508">
            <v>201944441</v>
          </cell>
          <cell r="B508">
            <v>2906002</v>
          </cell>
          <cell r="C508" t="str">
            <v>Equipos de Comunicaciones para Redes Informaticas</v>
          </cell>
        </row>
        <row r="509">
          <cell r="A509">
            <v>201944442</v>
          </cell>
          <cell r="B509">
            <v>2907</v>
          </cell>
          <cell r="C509" t="str">
            <v>Programas Informaticos</v>
          </cell>
        </row>
        <row r="510">
          <cell r="A510">
            <v>201944443</v>
          </cell>
          <cell r="B510">
            <v>2907001</v>
          </cell>
          <cell r="C510" t="str">
            <v>Programas Computacionales</v>
          </cell>
        </row>
        <row r="511">
          <cell r="A511">
            <v>201944444</v>
          </cell>
          <cell r="B511">
            <v>2907002</v>
          </cell>
          <cell r="C511" t="str">
            <v>Sistemas de Informacion</v>
          </cell>
        </row>
        <row r="512">
          <cell r="A512">
            <v>201944445</v>
          </cell>
          <cell r="B512">
            <v>2999</v>
          </cell>
          <cell r="C512" t="str">
            <v>Otros Activos no Financieros</v>
          </cell>
        </row>
        <row r="513">
          <cell r="A513">
            <v>201944446</v>
          </cell>
          <cell r="B513">
            <v>30</v>
          </cell>
          <cell r="C513" t="str">
            <v>ADQUISICION DE ACTIVOS FINANCIEROS</v>
          </cell>
        </row>
        <row r="514">
          <cell r="A514">
            <v>201944447</v>
          </cell>
          <cell r="B514">
            <v>3001</v>
          </cell>
          <cell r="C514" t="str">
            <v>Compra de Titulos y Valores</v>
          </cell>
        </row>
        <row r="515">
          <cell r="A515">
            <v>201944448</v>
          </cell>
          <cell r="B515">
            <v>3001001</v>
          </cell>
          <cell r="C515" t="str">
            <v>Depositos a Plazo</v>
          </cell>
        </row>
        <row r="516">
          <cell r="A516">
            <v>201944449</v>
          </cell>
          <cell r="B516">
            <v>3001002</v>
          </cell>
          <cell r="C516" t="str">
            <v>Pactos de Retrocompra</v>
          </cell>
        </row>
        <row r="517">
          <cell r="A517">
            <v>201944450</v>
          </cell>
          <cell r="B517">
            <v>3001003</v>
          </cell>
          <cell r="C517" t="str">
            <v>Cuotas de Fondos Mutuos</v>
          </cell>
        </row>
        <row r="518">
          <cell r="A518">
            <v>201944451</v>
          </cell>
          <cell r="B518">
            <v>3001004</v>
          </cell>
          <cell r="C518" t="str">
            <v>Bonos o Pagares</v>
          </cell>
        </row>
        <row r="519">
          <cell r="A519">
            <v>201944452</v>
          </cell>
          <cell r="B519">
            <v>3001005</v>
          </cell>
          <cell r="C519" t="str">
            <v>Letras Hipotecarias</v>
          </cell>
        </row>
        <row r="520">
          <cell r="A520">
            <v>201944453</v>
          </cell>
          <cell r="B520">
            <v>3001999</v>
          </cell>
          <cell r="C520" t="str">
            <v>Otros</v>
          </cell>
        </row>
        <row r="521">
          <cell r="A521">
            <v>201944454</v>
          </cell>
          <cell r="B521">
            <v>3002</v>
          </cell>
          <cell r="C521" t="str">
            <v>Compra de Acciones y Participaciones de Capital</v>
          </cell>
        </row>
        <row r="522">
          <cell r="A522">
            <v>201944455</v>
          </cell>
          <cell r="B522">
            <v>3003</v>
          </cell>
          <cell r="C522" t="str">
            <v>Operaciones de Cambio</v>
          </cell>
        </row>
        <row r="523">
          <cell r="A523">
            <v>201944456</v>
          </cell>
          <cell r="B523">
            <v>3099</v>
          </cell>
          <cell r="C523" t="str">
            <v>Otros Activos Financieros</v>
          </cell>
        </row>
        <row r="524">
          <cell r="A524">
            <v>201944457</v>
          </cell>
          <cell r="B524">
            <v>31</v>
          </cell>
          <cell r="C524" t="str">
            <v>INICIATIVAS DE INVERSION</v>
          </cell>
        </row>
        <row r="525">
          <cell r="A525">
            <v>201944458</v>
          </cell>
          <cell r="B525">
            <v>3101</v>
          </cell>
          <cell r="C525" t="str">
            <v>Estudios Basicos</v>
          </cell>
        </row>
        <row r="526">
          <cell r="A526">
            <v>201944459</v>
          </cell>
          <cell r="B526">
            <v>3101001</v>
          </cell>
          <cell r="C526" t="str">
            <v>Gastos Administrativos</v>
          </cell>
        </row>
        <row r="527">
          <cell r="A527">
            <v>201944460</v>
          </cell>
          <cell r="B527">
            <v>3101002</v>
          </cell>
          <cell r="C527" t="str">
            <v>Consultorias</v>
          </cell>
        </row>
        <row r="528">
          <cell r="A528">
            <v>201944461</v>
          </cell>
          <cell r="B528">
            <v>3102</v>
          </cell>
          <cell r="C528" t="str">
            <v>Proyectos</v>
          </cell>
        </row>
        <row r="529">
          <cell r="A529">
            <v>201944462</v>
          </cell>
          <cell r="B529">
            <v>3102001</v>
          </cell>
          <cell r="C529" t="str">
            <v>Gastos Administrativos</v>
          </cell>
        </row>
        <row r="530">
          <cell r="A530">
            <v>201944463</v>
          </cell>
          <cell r="B530">
            <v>3102002</v>
          </cell>
          <cell r="C530" t="str">
            <v>Consultorias</v>
          </cell>
        </row>
        <row r="531">
          <cell r="A531">
            <v>201944464</v>
          </cell>
          <cell r="B531">
            <v>3102003</v>
          </cell>
          <cell r="C531" t="str">
            <v>Terrenos</v>
          </cell>
        </row>
        <row r="532">
          <cell r="A532">
            <v>201944465</v>
          </cell>
          <cell r="B532">
            <v>3102004</v>
          </cell>
          <cell r="C532" t="str">
            <v>Obras Civiles</v>
          </cell>
        </row>
        <row r="533">
          <cell r="A533">
            <v>201944466</v>
          </cell>
          <cell r="B533">
            <v>3102005</v>
          </cell>
          <cell r="C533" t="str">
            <v>Equipamiento</v>
          </cell>
        </row>
        <row r="534">
          <cell r="A534">
            <v>201944467</v>
          </cell>
          <cell r="B534">
            <v>3102006</v>
          </cell>
          <cell r="C534" t="str">
            <v>Equipos</v>
          </cell>
        </row>
        <row r="535">
          <cell r="A535">
            <v>201944468</v>
          </cell>
          <cell r="B535">
            <v>3102007</v>
          </cell>
          <cell r="C535" t="str">
            <v>Vehiculos</v>
          </cell>
        </row>
        <row r="536">
          <cell r="A536">
            <v>201944469</v>
          </cell>
          <cell r="B536">
            <v>3102999</v>
          </cell>
          <cell r="C536" t="str">
            <v>Otros Gastos</v>
          </cell>
        </row>
        <row r="537">
          <cell r="A537">
            <v>201944470</v>
          </cell>
          <cell r="B537">
            <v>3103</v>
          </cell>
          <cell r="C537" t="str">
            <v>Programas de Inversion</v>
          </cell>
        </row>
        <row r="538">
          <cell r="A538">
            <v>201944471</v>
          </cell>
          <cell r="B538">
            <v>3103001</v>
          </cell>
          <cell r="C538" t="str">
            <v>Gastos Administrativos</v>
          </cell>
        </row>
        <row r="539">
          <cell r="A539">
            <v>201944472</v>
          </cell>
          <cell r="B539">
            <v>3103002</v>
          </cell>
          <cell r="C539" t="str">
            <v>Consultorias</v>
          </cell>
        </row>
        <row r="540">
          <cell r="A540">
            <v>201944473</v>
          </cell>
          <cell r="B540">
            <v>3103003</v>
          </cell>
          <cell r="C540" t="str">
            <v>Contratacion del Programa</v>
          </cell>
        </row>
        <row r="541">
          <cell r="A541">
            <v>201944474</v>
          </cell>
          <cell r="B541">
            <v>32</v>
          </cell>
          <cell r="C541" t="str">
            <v>PRESTAMOS</v>
          </cell>
        </row>
        <row r="542">
          <cell r="A542">
            <v>201944475</v>
          </cell>
          <cell r="B542">
            <v>3201</v>
          </cell>
          <cell r="C542" t="str">
            <v>De Asistencia Social</v>
          </cell>
        </row>
        <row r="543">
          <cell r="A543">
            <v>201944476</v>
          </cell>
          <cell r="B543">
            <v>3202</v>
          </cell>
          <cell r="C543" t="str">
            <v>Hipotecarios</v>
          </cell>
        </row>
        <row r="544">
          <cell r="A544">
            <v>201944477</v>
          </cell>
          <cell r="B544">
            <v>3203</v>
          </cell>
          <cell r="C544" t="str">
            <v>Pignoraticios</v>
          </cell>
        </row>
        <row r="545">
          <cell r="A545">
            <v>201944478</v>
          </cell>
          <cell r="B545">
            <v>3204</v>
          </cell>
          <cell r="C545" t="str">
            <v>De Fomento</v>
          </cell>
        </row>
        <row r="546">
          <cell r="A546">
            <v>201944667</v>
          </cell>
          <cell r="B546">
            <v>3204002</v>
          </cell>
          <cell r="C546" t="str">
            <v>Municipalidades</v>
          </cell>
        </row>
        <row r="547">
          <cell r="A547">
            <v>201944479</v>
          </cell>
          <cell r="B547">
            <v>3205</v>
          </cell>
          <cell r="C547" t="str">
            <v>Medicos</v>
          </cell>
        </row>
        <row r="548">
          <cell r="A548">
            <v>201944480</v>
          </cell>
          <cell r="B548">
            <v>3206</v>
          </cell>
          <cell r="C548" t="str">
            <v>Por Anticipos a Contratistas</v>
          </cell>
        </row>
        <row r="549">
          <cell r="A549">
            <v>201944481</v>
          </cell>
          <cell r="B549">
            <v>3207</v>
          </cell>
          <cell r="C549" t="str">
            <v>Por Anticipos por Cambio de Residencia</v>
          </cell>
        </row>
        <row r="550">
          <cell r="A550">
            <v>201944482</v>
          </cell>
          <cell r="B550">
            <v>3209</v>
          </cell>
          <cell r="C550" t="str">
            <v>Por Ventas a Plazo</v>
          </cell>
        </row>
        <row r="551">
          <cell r="A551">
            <v>201944483</v>
          </cell>
          <cell r="B551">
            <v>33</v>
          </cell>
          <cell r="C551" t="str">
            <v>TRANSFERENCIAS DE CAPITAL</v>
          </cell>
        </row>
        <row r="552">
          <cell r="A552">
            <v>201944484</v>
          </cell>
          <cell r="B552">
            <v>3301</v>
          </cell>
          <cell r="C552" t="str">
            <v>Al Sector Privado</v>
          </cell>
        </row>
        <row r="553">
          <cell r="A553">
            <v>201944485</v>
          </cell>
          <cell r="B553">
            <v>3302</v>
          </cell>
          <cell r="C553" t="str">
            <v>Al Gobierno Central</v>
          </cell>
        </row>
        <row r="554">
          <cell r="A554">
            <v>201944578</v>
          </cell>
          <cell r="B554">
            <v>3302001</v>
          </cell>
          <cell r="C554" t="str">
            <v>Programa Inversion Regional Region I</v>
          </cell>
        </row>
        <row r="555">
          <cell r="A555">
            <v>201944579</v>
          </cell>
          <cell r="B555">
            <v>3302002</v>
          </cell>
          <cell r="C555" t="str">
            <v>Programa Inversion Regional Region II</v>
          </cell>
        </row>
        <row r="556">
          <cell r="A556">
            <v>201944580</v>
          </cell>
          <cell r="B556">
            <v>3302003</v>
          </cell>
          <cell r="C556" t="str">
            <v>Programa Inversion Regional Region III</v>
          </cell>
        </row>
        <row r="557">
          <cell r="A557">
            <v>201944581</v>
          </cell>
          <cell r="B557">
            <v>3302004</v>
          </cell>
          <cell r="C557" t="str">
            <v>Programa Inversion Regional Region IV</v>
          </cell>
        </row>
        <row r="558">
          <cell r="A558">
            <v>201944582</v>
          </cell>
          <cell r="B558">
            <v>3302005</v>
          </cell>
          <cell r="C558" t="str">
            <v>Programa Inversion Regional Region V</v>
          </cell>
        </row>
        <row r="559">
          <cell r="A559">
            <v>201944583</v>
          </cell>
          <cell r="B559">
            <v>3302006</v>
          </cell>
          <cell r="C559" t="str">
            <v>Programa Inversion Regional Region VI</v>
          </cell>
        </row>
        <row r="560">
          <cell r="A560">
            <v>201944584</v>
          </cell>
          <cell r="B560">
            <v>3302007</v>
          </cell>
          <cell r="C560" t="str">
            <v>Programa Inversion Regional Region VII</v>
          </cell>
        </row>
        <row r="561">
          <cell r="A561">
            <v>201944585</v>
          </cell>
          <cell r="B561">
            <v>3302008</v>
          </cell>
          <cell r="C561" t="str">
            <v>Programa Inversion Regional Region VIII</v>
          </cell>
        </row>
        <row r="562">
          <cell r="A562">
            <v>201944586</v>
          </cell>
          <cell r="B562">
            <v>3302009</v>
          </cell>
          <cell r="C562" t="str">
            <v>Programa Inversion Regional Region IX</v>
          </cell>
        </row>
        <row r="563">
          <cell r="A563">
            <v>201944587</v>
          </cell>
          <cell r="B563">
            <v>3302010</v>
          </cell>
          <cell r="C563" t="str">
            <v>Programa Inversion Regional Region X</v>
          </cell>
        </row>
        <row r="564">
          <cell r="A564">
            <v>201944658</v>
          </cell>
          <cell r="B564">
            <v>3302011</v>
          </cell>
          <cell r="C564" t="str">
            <v>Programa Inversion Regional Region XI</v>
          </cell>
        </row>
        <row r="565">
          <cell r="A565">
            <v>201944588</v>
          </cell>
          <cell r="B565">
            <v>3302012</v>
          </cell>
          <cell r="C565" t="str">
            <v>Programa Inversion Regional Region XII</v>
          </cell>
        </row>
        <row r="566">
          <cell r="A566">
            <v>201944642</v>
          </cell>
          <cell r="B566">
            <v>3302013</v>
          </cell>
          <cell r="C566" t="str">
            <v>Programa Inversion Regional Region Metropolitana</v>
          </cell>
        </row>
        <row r="567">
          <cell r="A567">
            <v>201944656</v>
          </cell>
          <cell r="B567">
            <v>3302014</v>
          </cell>
          <cell r="C567" t="str">
            <v>Programa Inversion Regional Region XIV</v>
          </cell>
        </row>
        <row r="568">
          <cell r="A568">
            <v>201944657</v>
          </cell>
          <cell r="B568">
            <v>3302015</v>
          </cell>
          <cell r="C568" t="str">
            <v>Programa Inversion Regional Region XV</v>
          </cell>
        </row>
        <row r="569">
          <cell r="A569">
            <v>201946403</v>
          </cell>
          <cell r="B569">
            <v>3302016</v>
          </cell>
          <cell r="C569" t="str">
            <v>Al Consejo Nacional De La Cultura Y Las Artes</v>
          </cell>
        </row>
        <row r="570">
          <cell r="A570">
            <v>201947079</v>
          </cell>
          <cell r="B570">
            <v>3302017</v>
          </cell>
          <cell r="C570" t="str">
            <v>Subsecretaria de Desarrollo Regional y Administrativo - Programa 03</v>
          </cell>
        </row>
        <row r="571">
          <cell r="A571">
            <v>201947104</v>
          </cell>
          <cell r="B571">
            <v>3302018</v>
          </cell>
          <cell r="C571" t="str">
            <v>Subsecretaria de Desarrollo Regional y Administrativo - Programa 01</v>
          </cell>
        </row>
        <row r="572">
          <cell r="A572">
            <v>201947167</v>
          </cell>
          <cell r="B572">
            <v>3302019</v>
          </cell>
          <cell r="C572" t="str">
            <v>Subsecretaria del Interior - Programa 01</v>
          </cell>
        </row>
        <row r="573">
          <cell r="A573">
            <v>201944486</v>
          </cell>
          <cell r="B573">
            <v>3303</v>
          </cell>
          <cell r="C573" t="str">
            <v>A Otras Entidades Publicas</v>
          </cell>
        </row>
        <row r="574">
          <cell r="A574">
            <v>201944643</v>
          </cell>
          <cell r="B574">
            <v>3303001</v>
          </cell>
          <cell r="C574" t="str">
            <v>Provision Fondo Nacional de Desarrollo Regional</v>
          </cell>
        </row>
        <row r="575">
          <cell r="A575">
            <v>201944644</v>
          </cell>
          <cell r="B575">
            <v>3303003</v>
          </cell>
          <cell r="C575" t="str">
            <v>Provision Infraestructura Educacional</v>
          </cell>
        </row>
        <row r="576">
          <cell r="A576">
            <v>201944645</v>
          </cell>
          <cell r="B576">
            <v>3303005</v>
          </cell>
          <cell r="C576" t="str">
            <v>Municipalidades (Programa Mejoramiento Urbano y Equipamiento Comunal)</v>
          </cell>
        </row>
        <row r="577">
          <cell r="A577">
            <v>201944650</v>
          </cell>
          <cell r="B577">
            <v>3303005001</v>
          </cell>
          <cell r="C577" t="str">
            <v>Emergencia</v>
          </cell>
        </row>
        <row r="578">
          <cell r="A578">
            <v>201944651</v>
          </cell>
          <cell r="B578">
            <v>3303005002</v>
          </cell>
          <cell r="C578" t="str">
            <v>Tradicional</v>
          </cell>
        </row>
        <row r="579">
          <cell r="A579">
            <v>201944652</v>
          </cell>
          <cell r="B579">
            <v>3303005003</v>
          </cell>
          <cell r="C579" t="str">
            <v>Emergencia FIE</v>
          </cell>
        </row>
        <row r="580">
          <cell r="A580">
            <v>201944646</v>
          </cell>
          <cell r="B580">
            <v>3303006</v>
          </cell>
          <cell r="C580" t="str">
            <v>Municipalidades (Programa Mejoramiento de Barrios)</v>
          </cell>
        </row>
        <row r="581">
          <cell r="A581">
            <v>201944571</v>
          </cell>
          <cell r="B581">
            <v>3303016</v>
          </cell>
          <cell r="C581" t="str">
            <v>Municipalidades - Sistema Informacion Financiera Municipal</v>
          </cell>
        </row>
        <row r="582">
          <cell r="A582">
            <v>201944647</v>
          </cell>
          <cell r="B582">
            <v>3303017</v>
          </cell>
          <cell r="C582" t="str">
            <v>Provision Programa Infraestructura Rural</v>
          </cell>
        </row>
        <row r="583">
          <cell r="A583">
            <v>201944659</v>
          </cell>
          <cell r="B583">
            <v>3303021</v>
          </cell>
          <cell r="C583" t="str">
            <v>Provision Puesta en Valor del Patrimonio</v>
          </cell>
        </row>
        <row r="584">
          <cell r="A584">
            <v>201944654</v>
          </cell>
          <cell r="B584">
            <v>3303024</v>
          </cell>
          <cell r="C584" t="str">
            <v>Provision Programa Fondo de Innovacion para la Competitividad</v>
          </cell>
        </row>
        <row r="585">
          <cell r="A585">
            <v>201944655</v>
          </cell>
          <cell r="B585">
            <v>3303025</v>
          </cell>
          <cell r="C585" t="str">
            <v>Provision de Apoyo a la Gestion Subnacional</v>
          </cell>
        </row>
        <row r="586">
          <cell r="A586">
            <v>201944565</v>
          </cell>
          <cell r="B586">
            <v>3303100</v>
          </cell>
          <cell r="C586" t="str">
            <v>Municipalidades (Fondo Recuperacion de Ciudades)</v>
          </cell>
        </row>
        <row r="587">
          <cell r="A587">
            <v>201944666</v>
          </cell>
          <cell r="B587">
            <v>3303110</v>
          </cell>
          <cell r="C587" t="str">
            <v>Municipalidades (Fondo de Incentivo al Mejoramiento de la Gestion Municipal)</v>
          </cell>
        </row>
        <row r="588">
          <cell r="A588">
            <v>201944648</v>
          </cell>
          <cell r="B588">
            <v>3303130</v>
          </cell>
          <cell r="C588" t="str">
            <v>Provision Programa Saneamiento Sanitario</v>
          </cell>
        </row>
        <row r="589">
          <cell r="A589">
            <v>201944649</v>
          </cell>
          <cell r="B589">
            <v>3303190</v>
          </cell>
          <cell r="C589" t="str">
            <v>Provision Programa Residuos Solidos</v>
          </cell>
        </row>
        <row r="590">
          <cell r="A590">
            <v>201944660</v>
          </cell>
          <cell r="B590">
            <v>3303418</v>
          </cell>
          <cell r="C590" t="str">
            <v>Provision Ley N 20.378 - Fondo de Apoyo Regional (FAR)</v>
          </cell>
        </row>
        <row r="591">
          <cell r="A591">
            <v>201944564</v>
          </cell>
          <cell r="B591">
            <v>3303421</v>
          </cell>
          <cell r="C591" t="str">
            <v>Provision Incorporacion Mayores Ingresos Propios</v>
          </cell>
        </row>
        <row r="592">
          <cell r="A592">
            <v>201944563</v>
          </cell>
          <cell r="B592">
            <v>3303423</v>
          </cell>
          <cell r="C592" t="str">
            <v>Provision Recuperacion Infraestructura Local Zona Centro Sur</v>
          </cell>
        </row>
        <row r="593">
          <cell r="A593">
            <v>201944562</v>
          </cell>
          <cell r="B593">
            <v>3303426</v>
          </cell>
          <cell r="C593" t="str">
            <v>Provision Energizacion</v>
          </cell>
        </row>
        <row r="594">
          <cell r="A594">
            <v>201947134</v>
          </cell>
          <cell r="B594">
            <v>3303500</v>
          </cell>
          <cell r="C594" t="str">
            <v>Recuperacion y Desarrollo Urbano de Valparaiso</v>
          </cell>
        </row>
        <row r="595">
          <cell r="A595">
            <v>201944487</v>
          </cell>
          <cell r="B595">
            <v>3304</v>
          </cell>
          <cell r="C595" t="str">
            <v>A Empresas Publicas no Financieras</v>
          </cell>
        </row>
        <row r="596">
          <cell r="A596">
            <v>201944488</v>
          </cell>
          <cell r="B596">
            <v>3305</v>
          </cell>
          <cell r="C596" t="str">
            <v>A Empresas Publicas Financieras</v>
          </cell>
        </row>
        <row r="597">
          <cell r="A597">
            <v>201944489</v>
          </cell>
          <cell r="B597">
            <v>3306</v>
          </cell>
          <cell r="C597" t="str">
            <v>A Gobiernos Extranjeros</v>
          </cell>
        </row>
        <row r="598">
          <cell r="A598">
            <v>201944490</v>
          </cell>
          <cell r="B598">
            <v>3307</v>
          </cell>
          <cell r="C598" t="str">
            <v>A Organismos Internacionales</v>
          </cell>
        </row>
        <row r="599">
          <cell r="A599">
            <v>201944491</v>
          </cell>
          <cell r="B599">
            <v>34</v>
          </cell>
          <cell r="C599" t="str">
            <v>SERVICIO DE LA DEUDA</v>
          </cell>
        </row>
        <row r="600">
          <cell r="A600">
            <v>201944492</v>
          </cell>
          <cell r="B600">
            <v>3401</v>
          </cell>
          <cell r="C600" t="str">
            <v>Amortizacion Deuda Interna</v>
          </cell>
        </row>
        <row r="601">
          <cell r="A601">
            <v>201944589</v>
          </cell>
          <cell r="B601">
            <v>3401001</v>
          </cell>
          <cell r="C601" t="str">
            <v>Rescate de Valores</v>
          </cell>
        </row>
        <row r="602">
          <cell r="A602">
            <v>201944590</v>
          </cell>
          <cell r="B602">
            <v>3401002</v>
          </cell>
          <cell r="C602" t="str">
            <v>Emprestitos</v>
          </cell>
        </row>
        <row r="603">
          <cell r="A603">
            <v>201944591</v>
          </cell>
          <cell r="B603">
            <v>3401003</v>
          </cell>
          <cell r="C603" t="str">
            <v>Creditos de Proveedores</v>
          </cell>
        </row>
        <row r="604">
          <cell r="A604">
            <v>201944592</v>
          </cell>
          <cell r="B604">
            <v>3402</v>
          </cell>
          <cell r="C604" t="str">
            <v>Amortizacion Deuda Externa</v>
          </cell>
        </row>
        <row r="605">
          <cell r="A605">
            <v>201944593</v>
          </cell>
          <cell r="B605">
            <v>3402001</v>
          </cell>
          <cell r="C605" t="str">
            <v>Rescate de Valores</v>
          </cell>
        </row>
        <row r="606">
          <cell r="A606">
            <v>201944594</v>
          </cell>
          <cell r="B606">
            <v>3402002</v>
          </cell>
          <cell r="C606" t="str">
            <v>Emprestitos</v>
          </cell>
        </row>
        <row r="607">
          <cell r="A607">
            <v>201944595</v>
          </cell>
          <cell r="B607">
            <v>3402003</v>
          </cell>
          <cell r="C607" t="str">
            <v>Creditos de Proveedores</v>
          </cell>
        </row>
        <row r="608">
          <cell r="A608">
            <v>201944596</v>
          </cell>
          <cell r="B608">
            <v>3403</v>
          </cell>
          <cell r="C608" t="str">
            <v>Intereses Deuda Interna</v>
          </cell>
        </row>
        <row r="609">
          <cell r="A609">
            <v>201944597</v>
          </cell>
          <cell r="B609">
            <v>3403001</v>
          </cell>
          <cell r="C609" t="str">
            <v>Por Emision de Valores</v>
          </cell>
        </row>
        <row r="610">
          <cell r="A610">
            <v>201944598</v>
          </cell>
          <cell r="B610">
            <v>3403002</v>
          </cell>
          <cell r="C610" t="str">
            <v>Emprestitos</v>
          </cell>
        </row>
        <row r="611">
          <cell r="A611">
            <v>201944599</v>
          </cell>
          <cell r="B611">
            <v>3403003</v>
          </cell>
          <cell r="C611" t="str">
            <v>Creditos de Proveedores</v>
          </cell>
        </row>
        <row r="612">
          <cell r="A612">
            <v>201944600</v>
          </cell>
          <cell r="B612">
            <v>3404</v>
          </cell>
          <cell r="C612" t="str">
            <v>Intereses Deuda Externa</v>
          </cell>
        </row>
        <row r="613">
          <cell r="A613">
            <v>201944601</v>
          </cell>
          <cell r="B613">
            <v>3404001</v>
          </cell>
          <cell r="C613" t="str">
            <v>Por Emision de Valores</v>
          </cell>
        </row>
        <row r="614">
          <cell r="A614">
            <v>201944602</v>
          </cell>
          <cell r="B614">
            <v>3404002</v>
          </cell>
          <cell r="C614" t="str">
            <v>Emprestitos</v>
          </cell>
        </row>
        <row r="615">
          <cell r="A615">
            <v>201944661</v>
          </cell>
          <cell r="B615">
            <v>3404002001</v>
          </cell>
          <cell r="C615" t="str">
            <v>Intereses Deuda Publica</v>
          </cell>
        </row>
        <row r="616">
          <cell r="A616">
            <v>201944662</v>
          </cell>
          <cell r="B616">
            <v>3404002002</v>
          </cell>
          <cell r="C616" t="str">
            <v>Comisiones Deuda Publica</v>
          </cell>
        </row>
        <row r="617">
          <cell r="A617">
            <v>201944603</v>
          </cell>
          <cell r="B617">
            <v>3404003</v>
          </cell>
          <cell r="C617" t="str">
            <v>Creditos de Proveedores</v>
          </cell>
        </row>
        <row r="618">
          <cell r="A618">
            <v>201944604</v>
          </cell>
          <cell r="B618">
            <v>3405</v>
          </cell>
          <cell r="C618" t="str">
            <v>Otros Gastos Financieros Deuda Interna</v>
          </cell>
        </row>
        <row r="619">
          <cell r="A619">
            <v>201944605</v>
          </cell>
          <cell r="B619">
            <v>3405001</v>
          </cell>
          <cell r="C619" t="str">
            <v>Por Emision de Valores</v>
          </cell>
        </row>
        <row r="620">
          <cell r="A620">
            <v>201944606</v>
          </cell>
          <cell r="B620">
            <v>3405002</v>
          </cell>
          <cell r="C620" t="str">
            <v>Emprestitos</v>
          </cell>
        </row>
        <row r="621">
          <cell r="A621">
            <v>201944607</v>
          </cell>
          <cell r="B621">
            <v>3405003</v>
          </cell>
          <cell r="C621" t="str">
            <v>Creditos de Proveedores</v>
          </cell>
        </row>
        <row r="622">
          <cell r="A622">
            <v>201944608</v>
          </cell>
          <cell r="B622">
            <v>3406</v>
          </cell>
          <cell r="C622" t="str">
            <v>Otros Gastos Financieros Deuda Externa</v>
          </cell>
        </row>
        <row r="623">
          <cell r="A623">
            <v>201944609</v>
          </cell>
          <cell r="B623">
            <v>3406001</v>
          </cell>
          <cell r="C623" t="str">
            <v>Por Emision de Valores</v>
          </cell>
        </row>
        <row r="624">
          <cell r="A624">
            <v>201944610</v>
          </cell>
          <cell r="B624">
            <v>3406002</v>
          </cell>
          <cell r="C624" t="str">
            <v>Emprestitos</v>
          </cell>
        </row>
        <row r="625">
          <cell r="A625">
            <v>201944611</v>
          </cell>
          <cell r="B625">
            <v>3406003</v>
          </cell>
          <cell r="C625" t="str">
            <v>Creditos de Proveedores</v>
          </cell>
        </row>
        <row r="626">
          <cell r="A626">
            <v>201944612</v>
          </cell>
          <cell r="B626">
            <v>3407</v>
          </cell>
          <cell r="C626" t="str">
            <v>Deuda Flotante</v>
          </cell>
        </row>
        <row r="627">
          <cell r="A627">
            <v>201944613</v>
          </cell>
          <cell r="B627">
            <v>35</v>
          </cell>
          <cell r="C627" t="str">
            <v>SALDO FINAL DE CAJA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Juan Ignacio Cancino Pacheco" refreshedDate="45055.804133101854" createdVersion="6" refreshedVersion="5" minRefreshableVersion="3" recordCount="271">
  <cacheSource type="worksheet">
    <worksheetSource ref="B8:R279" sheet="Consolidado"/>
  </cacheSource>
  <cacheFields count="17">
    <cacheField name="Subtitulo" numFmtId="0">
      <sharedItems containsBlank="1" containsMixedTypes="1" containsNumber="1" containsInteger="1" minValue="22" maxValue="35" count="15">
        <s v="Sub."/>
        <s v="21."/>
        <m/>
        <n v="22"/>
        <n v="23"/>
        <n v="24"/>
        <s v="  "/>
        <n v="25"/>
        <n v="26"/>
        <n v="29"/>
        <n v="30"/>
        <n v="32"/>
        <n v="33"/>
        <n v="34"/>
        <n v="35"/>
      </sharedItems>
    </cacheField>
    <cacheField name="Item." numFmtId="0">
      <sharedItems containsBlank="1" containsMixedTypes="1" containsNumber="1" containsInteger="1" minValue="1" maxValue="99"/>
    </cacheField>
    <cacheField name="Asig." numFmtId="0">
      <sharedItems containsBlank="1" containsMixedTypes="1" containsNumber="1" containsInteger="1" minValue="6" maxValue="6"/>
    </cacheField>
    <cacheField name="Sub" numFmtId="168">
      <sharedItems containsBlank="1" containsMixedTypes="1" containsNumber="1" containsInteger="1" minValue="1" maxValue="999"/>
    </cacheField>
    <cacheField name="." numFmtId="0">
      <sharedItems containsBlank="1" containsMixedTypes="1" containsNumber="1" minValue="34.06" maxValue="34.06"/>
    </cacheField>
    <cacheField name="nombre" numFmtId="0">
      <sharedItems count="241">
        <s v="CONSOLIDADO PROGRAMAS"/>
        <s v="GASTOS EN PERSONAL"/>
        <s v="Personal de Planta"/>
        <s v="Sueldos y Sobresueldos"/>
        <s v="Sueldo Bases"/>
        <s v="Asignación de Antigüedad"/>
        <s v="Asignación Profesional"/>
        <s v="Asig. Del DL N° 3,551, de 1981"/>
        <s v="Gastos de Representación"/>
        <s v="Asignación de Dirección Superior"/>
        <s v="Asignaciones Compensatorias"/>
        <s v="Asignaciones Sustitutivas"/>
        <s v="Componente Base Asignación de Desempeño"/>
        <s v="Asignación de Responsabilidad Superior"/>
        <s v="Aplicación inciso 5to del Artículo 1 de la Ley N° "/>
        <s v="Otras Asignaciones"/>
        <s v="Aportes del Empleador"/>
        <s v="A Servicios de Bienestar"/>
        <s v="Otras Cotizaciones Previsionales"/>
        <s v="Asignaciones por Desempeño"/>
        <s v="Desempeño Institucional"/>
        <s v="Desempeño Colectivo"/>
        <s v="Desempeño Individual"/>
        <s v="Remuneraciones Variables"/>
        <s v="Asignación por Desempeño de Funciones Críticas"/>
        <s v="Trabajos Extraordinarios"/>
        <s v="Comisiones de Servicios en el País"/>
        <s v="Comisiones de Servicios en el Exterior"/>
        <s v="Aguinaldos"/>
        <s v="Bono de Escolaridad"/>
        <s v="Bonos Especiales "/>
        <s v="Personal a Contrata"/>
        <s v="sueldos base"/>
        <s v="Asignación de Zona"/>
        <s v="Asignaciónes del DL N° 2.411, de 1978"/>
        <s v="Asignaciónes del DL N° 3.551, de 1981"/>
        <s v="Asignación Zonas Extremas"/>
        <s v="Asignación de Responsabilidad Superior "/>
        <s v="Otras Remuneraciones "/>
        <s v="Honorarios a Suma Alzada - Personas Naturales"/>
        <s v="Honorarios a Suma Alzada-Honorarios"/>
        <s v="Honorarios a Suma Alzada-Viaticos"/>
        <s v="Suplencias y Reemplazos"/>
        <s v="Alumnos en Práctica"/>
        <s v="BIENES Y SERVICIOS DE CONSUMO"/>
        <s v="Textiles, Vestuario y Calzado"/>
        <s v="Textiles y Acabados Textiles"/>
        <s v="Vestuario, Accesorios y Prendas Diversas"/>
        <s v="Calzado"/>
        <s v="Combustibles y Lubricantes"/>
        <s v="Para Vehículos "/>
        <s v="Materiales de Uso o Consumo"/>
        <s v="Materiales de Oficina "/>
        <s v="Productos Químicos"/>
        <s v="Productos Farmacéuticos"/>
        <s v="Materiales y Útiles Quirúrgicos"/>
        <s v="Materiales y útiles de Aseo "/>
        <s v="Menaje para Oficina, Casino y Otros "/>
        <s v="Insumos, Repuestos y Accesorios Computacionales"/>
        <s v="Materiales para Mantenimiento y Reparaciones de Inmuebles"/>
        <s v="Repuestos y Accesorios para Mantenimiento y Reparaciones de Vehículos"/>
        <s v="Otros Materiales, Repuestos y Útiles Diversos para Mantenimiento "/>
        <s v="Equipos Menores "/>
        <s v="Otros "/>
        <s v="Servicios Básicos"/>
        <s v="Electricidad"/>
        <s v="Agua"/>
        <s v="Gas"/>
        <s v="Correo"/>
        <s v="Telefonía Fija"/>
        <s v="Telefonía Celular"/>
        <s v="Acceso a Internet"/>
        <s v="Enlaces de Telecomunicaciones"/>
        <s v="Mantenimiento y Reparaciones."/>
        <s v="Mantenimiento y Reparación de Edificaciones."/>
        <s v="Mantenimiento y Reparación de Vehículos"/>
        <s v="Mantenimiento y Reparación de Máquinas y Equipos d"/>
        <s v="Mantenimiento y Reparación de Mobiliarios y Otros."/>
        <s v="Mantenimiento y Reparación de Máquinas y Equipos de Oficina"/>
        <s v="Mantenimiento y Reparación de Equipos Informáticos"/>
        <s v="Otros"/>
        <s v="Publicidad y Difusión"/>
        <s v="Servicios de Publicidad"/>
        <s v="Servicios de Impresión"/>
        <s v="Servicios Generales"/>
        <s v="Servicios de Aseo"/>
        <s v="Servicios de Vigilancia"/>
        <s v="Pasajes, Fletes y Bodegaje."/>
        <s v="Salas Cunas y/o Jardines Infantiles."/>
        <s v="Servicios de Suscripción y Similares"/>
        <s v="Arriendo"/>
        <s v="Arriendo de Edificios"/>
        <s v="Arriendo de Máquinas  y Equipos "/>
        <s v="Arriendo de Equipos Informaticos"/>
        <s v="Servicios Financieros y de Seguros "/>
        <s v="Primas y Gastos de Seguros "/>
        <s v="Gastos Bancarios"/>
        <s v="Servicios Técnicos y Profesionales"/>
        <s v="Estudios e Investigaciones"/>
        <s v="Cursos de Capacitación"/>
        <s v="Sercicios Informáticos"/>
        <s v="Otros Gastos en Bienes y Servicios de Consumo"/>
        <s v="Gastos Menores"/>
        <s v=" Gastos de Representación, Protocolo y Ceremonial"/>
        <s v="PRESTACIONES DE SEGURIDAD SOCIAL"/>
        <s v=" Prestaciones Sociales del Empleador"/>
        <s v="Fondo Retiro Funcionarios Públicos Ley N° 19.882"/>
        <s v="TRANSFERENCIAS CORRIENTES "/>
        <s v=" Al Sector Privado"/>
        <s v="Universidad del Desarrollo"/>
        <s v="Fundación Chile Descentralizado Desarrollado"/>
        <s v="Universidad Adolfo Ibañez - Índice de bienestar "/>
        <s v="Universidad Católica-Centro Latinoamericano"/>
        <s v="Fortalecimiento y Apoyo Técnico a los Gobiernos Re"/>
        <s v="Fortalecimiento de Capacidades de Intervención en "/>
        <s v=" Al Gobierno Central "/>
        <s v="A la Dirección de Arquitectura - MOP"/>
        <s v="Al Consejo de Monumentos Nacionales"/>
        <s v="Al Servicio Nacional del Patrimonio Cultural"/>
        <s v="Programa Gastos de Funcionamiento Región de Tarapacá"/>
        <s v="Programa Gastos de Funcionamiento Región de Antofa"/>
        <s v="Programa Gastos de Funcionamiento Región de Atacama"/>
        <s v="Programa Gastos de Funcionamiento Región de Coquimbo"/>
        <s v="Programa Gasto de Funcionamiento Región de Valparaíso"/>
        <s v="Programa Gasto de Funcionamiento Región del Libertador B. O'Higgins"/>
        <s v="Programa Gasto de Funcionamiento Región del Maule"/>
        <s v="Programa Gastos de Funcionamiento Región del Bio Bio"/>
        <s v="Programa Gastos de Funcionamiento Región de La Araucanía"/>
        <s v="Programa Gasto de Funcionamiento Región de Los Lagos"/>
        <s v="Programa Gastos de Funcionamiento Región de Aysén del General Carlos Ibañez del Campo "/>
        <s v="Programa Gasto de Funcionamiento Región de Magallanes"/>
        <s v="Programa Gasto de Funcionamiento Región Metropolitana"/>
        <s v="Programa Gastos de Funcionamiento Región de Los Ríos"/>
        <s v="Programa Gastos de Funcionamiento Región de Arica Parinacota"/>
        <s v="Programa Gastos de Funcionamiento Región de Ñuble"/>
        <s v="Servicio Nacional de Prevención y Respuesta Ante D"/>
        <s v="A la Subsecretaría de Bienes Nacionales"/>
        <s v=" A Otras Entidades Públicas "/>
        <s v="Capacitacion en Desarrollo Regional y Comunal"/>
        <s v="Programa Academia Capacitación Muncipal y Regional"/>
        <s v="Aceleración de Carteras de Planes de Zonas Rezagad"/>
        <s v="Fondo Concursable Becas - Ley N°20.742"/>
        <s v="Programa de Apoyo a la Acreditación de Calidad de Servicios Municipales "/>
        <s v="Municipalidades (Compensación por Predios Exentos) "/>
        <s v="Municipalidades (Programa Esterilización y Atención Sanitaria de Animales de Compañía)"/>
        <s v="Oficina Revitalización de Barrios e Infraestructural Patrimonial"/>
        <s v="Universidad de Chile - Fortalecimiento Organización"/>
        <s v="Oficina de Donación Española"/>
        <s v="Municipalidades (Prevención y Mitigación de Riesgos)"/>
        <s v="Programa de Modernización Municipal"/>
        <s v=" A Organismos Internacionales"/>
        <s v="A Comisión Económica Para América Latina y el Caribe"/>
        <s v="A Banco Interamericano de Desarrollo (BID)"/>
        <s v="A Banco Mundial"/>
        <s v="A Organización de las Naciones Unidas para la Alimentación"/>
        <s v="A Facultad Latinoamericana de Ciencias Sociales"/>
        <s v="INGRESOS AL FISCO"/>
        <s v="Otros Ingresos al Fisco"/>
        <s v="OTROS GASTOS CORRIENTES"/>
        <s v="Devoluciones"/>
        <s v="ADQUISICIÓN DE ACTIVOS NO FINANCIEROS"/>
        <s v="Vehículo"/>
        <s v="Mobiliario y Otros"/>
        <s v="Equipos Computacionales y Periféricos"/>
        <s v="Programas Informáticos"/>
        <s v="ADQUISICIÓN DE ACTIVOS FINANCIEROS "/>
        <s v="PRESTAMOS "/>
        <s v="De Fomento"/>
        <s v="Municipalidades"/>
        <s v="Aporte Reembolsable Especial a Municipalidades"/>
        <s v="Aporte Reembolsable Compensación Ingresos Propios "/>
        <s v="TRANSFERENCIAS DE CAPITAL "/>
        <s v="Al Gobierno Central"/>
        <s v="Programa Inversión Regional Región I  Tarapacá"/>
        <s v="Programa Inversión Regional Región II  Antofagasta"/>
        <s v="Programa Inversión Regional Región III Atacama"/>
        <s v="Programa Inversión Regional Región IV Coquimbo"/>
        <s v="Programa Inversión Regional Región V Valparaíso"/>
        <s v="Programa Inversión Regional Región VI del Libertador "/>
        <s v="Programa Inversión Regional Región VII  Maule"/>
        <s v="Programa Inversión Regional Región VIII  Bío Bío"/>
        <s v="Programa Inversión Regional Región IX La Araucanía"/>
        <s v="Programa Inversión Regional Región X  Los Lagos"/>
        <s v="Programa Inversión Regional Región XI  Aysén"/>
        <s v="Programa Inversión Regional Región XII Magallanes "/>
        <s v="Programa Inversión Regional Región Metropolitana"/>
        <s v="Programa Inversión Regional Región XIV Los Ríos"/>
        <s v="Programa Inversión Regional Región XV  Arica y Parinacota"/>
        <s v="Programa Inversión Regional Región XVI  Ñuble"/>
        <s v="Subsecretaría de Desarrollo Regional y Administrativo"/>
        <s v="Gobiernos Regionales - Programas de Inversión"/>
        <s v="Al Serviu VIII"/>
        <s v="Servicio Nacional del Patrimonio Cultural"/>
        <s v="Programa Financiamiento Gobiernos Regionales"/>
        <s v="A Otras Entidades Publicas"/>
        <s v="Provisión Fondo Nacional de Desarrollo Regional"/>
        <s v="Municipalidades (PMU)"/>
        <s v="Tradicional (PMU)"/>
        <s v="Emergencia (PMU)"/>
        <s v="Cuenca del Carbón (PMU)"/>
        <s v="Emergencia S.P.D."/>
        <s v="Municipalidades (PMB)"/>
        <s v="Asistencia Técnica (PMB)"/>
        <s v="Terrenos (PMB)"/>
        <s v="Otras Transferencias (PMB)"/>
        <s v="Estudios y diseños (PMB)"/>
        <s v="IRAL Inversión Regional de Asignación Local (PMB)"/>
        <s v="Obras (PMB)"/>
        <s v="3303010 Programa de Mejoramiento Urbano y Equipamiento Com"/>
        <s v="3303017 Provisión Programa Infraestructura Rural"/>
        <s v="3303020 Programa de Mejoramiento de Barrios FET-Covid-19"/>
        <s v="3303021 Provisión Puesta en Valor del Patrimonio"/>
        <s v="3303025 Provisión de Apoyo a la Gestión Subnacional"/>
        <s v="Fondo Recuperación de  (FRC)"/>
        <s v="3303110 Municipalidades (Fondo de Incentivo al Mejoramient"/>
        <s v="3303111 Municipalidades (Progr. Revital de Barrios e Infra"/>
        <s v="Provisión Programa Saneamiento Sanitario"/>
        <s v="Provisión Programa Residuos Sólidos"/>
        <s v="Provisión Ley N° 20.378 - Fondo de Apoyo Regional "/>
        <s v="Provisión Incorporación Mayores Ingresos Propios"/>
        <s v="Provisión Energización"/>
        <s v="Provisión Regiones Extremas"/>
        <s v="Provisión Territorios Rezagados"/>
        <s v="Fondo de Desarrollo Local"/>
        <s v="Provisión Programas de Apoyo al Empleo"/>
        <s v="Fondo de Apoyo Contingencia Regional"/>
        <s v="Fondo de Equidad Interregional"/>
        <s v="Municipalidades (Programa de Modernización)"/>
        <s v="Sistema Información Financiera Municipal"/>
        <s v="Unidad de Gobierno Electrónico Local"/>
        <s v="Sistema Información Municipal (SIM )"/>
        <s v="Plataforma Unidad de RRHH"/>
        <s v="Servicios SINIM"/>
        <s v="SERVICIO DE LA DEUDA"/>
        <s v="Amortizacion de la Deuda Externa"/>
        <s v="Intereses Deuda Externa"/>
        <s v="Otros Gastos Financieros Deuda Externa"/>
        <s v="Deuda Flotante"/>
        <s v="SALDO FINAL DE CAJA"/>
        <s v="3303001 Provisión Fondo Nacional de Desarrollo Regional" u="1"/>
        <s v="Fondo de Desarrollo Municipal (PMU - PMB - FRC)" u="1"/>
      </sharedItems>
    </cacheField>
    <cacheField name="Presupuesto Inicial 2022 M$" numFmtId="3">
      <sharedItems containsSemiMixedTypes="0" containsString="0" containsNumber="1" minValue="0" maxValue="431131509.99800003"/>
    </cacheField>
    <cacheField name="Presupuesto  Vigente 2022 M$" numFmtId="3">
      <sharedItems containsString="0" containsBlank="1" containsNumber="1" minValue="0" maxValue="422421626.99900001"/>
    </cacheField>
    <cacheField name="Ejecución M$" numFmtId="3">
      <sharedItems containsString="0" containsBlank="1" containsNumber="1" minValue="0" maxValue="124837726.23700002"/>
    </cacheField>
    <cacheField name="% de Ejecución  2022 M$" numFmtId="172">
      <sharedItems containsMixedTypes="1" containsNumber="1" minValue="0" maxValue="1"/>
    </cacheField>
    <cacheField name="Presupuesto comprometido M$" numFmtId="0">
      <sharedItems containsString="0" containsBlank="1" containsNumber="1" minValue="0" maxValue="133339183.039"/>
    </cacheField>
    <cacheField name="% Presupuesto comprometido M$" numFmtId="172">
      <sharedItems containsSemiMixedTypes="0" containsString="0" containsNumber="1" minValue="0" maxValue="1"/>
    </cacheField>
    <cacheField name="Saldo disponible M$" numFmtId="0">
      <sharedItems containsString="0" containsBlank="1" containsNumber="1" minValue="0" maxValue="289082443.96099997"/>
    </cacheField>
    <cacheField name="% Saldo disponible " numFmtId="172">
      <sharedItems containsSemiMixedTypes="0" containsString="0" containsNumber="1" minValue="0" maxValue="1"/>
    </cacheField>
    <cacheField name="Presupuesto  Vigente  M$" numFmtId="3">
      <sharedItems containsSemiMixedTypes="0" containsString="0" containsNumber="1" minValue="0" maxValue="340939015.29799998"/>
    </cacheField>
    <cacheField name="Ejecución  M$" numFmtId="3">
      <sharedItems containsSemiMixedTypes="0" containsString="0" containsNumber="1" minValue="0" maxValue="118996711.52791603"/>
    </cacheField>
    <cacheField name="%                            Ejecución 2021 M$" numFmtId="172">
      <sharedItems containsMixedTypes="1" containsNumber="1" minValue="0" maxValue="80042.3360999999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Juan Ignacio Cancino Pacheco" refreshedDate="45055.804133796293" createdVersion="6" refreshedVersion="5" minRefreshableVersion="3" recordCount="4">
  <cacheSource type="worksheet">
    <worksheetSource ref="B285:S289" sheet="Consolidado"/>
  </cacheSource>
  <cacheFields count="18">
    <cacheField name="1" numFmtId="0">
      <sharedItems count="6">
        <s v="PROGRAMA 01 - SUBSECRETARIA "/>
        <s v="PROGRAMA 02 - SUBNACIONAL"/>
        <s v="PROGRAMA 03 - DESARROLLO LOCAL"/>
        <s v="PROGRAMA 05 - TRANSFERENCIA GORES"/>
        <s v="PROGRAMA 50 - FET COVID-19" u="1"/>
        <s v="PROGRAMA 06 - PROGRAMAS DE CONVERGENCIA" u="1"/>
      </sharedItems>
    </cacheField>
    <cacheField name="." numFmtId="0">
      <sharedItems containsNonDate="0" containsString="0" containsBlank="1"/>
    </cacheField>
    <cacheField name=".2" numFmtId="0">
      <sharedItems containsNonDate="0" containsString="0" containsBlank="1"/>
    </cacheField>
    <cacheField name=".3" numFmtId="0">
      <sharedItems containsNonDate="0" containsString="0" containsBlank="1"/>
    </cacheField>
    <cacheField name=".4" numFmtId="0">
      <sharedItems containsNonDate="0" containsString="0" containsBlank="1"/>
    </cacheField>
    <cacheField name=".5" numFmtId="0">
      <sharedItems containsNonDate="0" containsString="0" containsBlank="1"/>
    </cacheField>
    <cacheField name="Presupuesto Inicial 2022 M$" numFmtId="3">
      <sharedItems containsSemiMixedTypes="0" containsString="0" containsNumber="1" minValue="7798353" maxValue="271469048"/>
    </cacheField>
    <cacheField name="Presupuesto  Vigente 2022 M$" numFmtId="3">
      <sharedItems containsSemiMixedTypes="0" containsString="0" containsNumber="1" containsInteger="1" minValue="8494793" maxValue="271447243"/>
    </cacheField>
    <cacheField name="Ejecución M$" numFmtId="3">
      <sharedItems containsSemiMixedTypes="0" containsString="0" containsNumber="1" minValue="0" maxValue="107574799.59900001"/>
    </cacheField>
    <cacheField name="% de Ejecución  2022 M$" numFmtId="172">
      <sharedItems containsSemiMixedTypes="0" containsString="0" containsNumber="1" minValue="0" maxValue="0.40535127949154887"/>
    </cacheField>
    <cacheField name="Presupuesto comprometido M$" numFmtId="0">
      <sharedItems containsSemiMixedTypes="0" containsString="0" containsNumber="1" minValue="0" maxValue="113941124.605"/>
    </cacheField>
    <cacheField name="% Presupuesto comprometido M$" numFmtId="172">
      <sharedItems containsSemiMixedTypes="0" containsString="0" containsNumber="1" minValue="0" maxValue="0.4403387163648172"/>
    </cacheField>
    <cacheField name="Saldo disponible M$" numFmtId="41">
      <sharedItems containsSemiMixedTypes="0" containsString="0" containsNumber="1" minValue="6347337.1160000004" maxValue="157506118.39499998"/>
    </cacheField>
    <cacheField name="% Saldo disponible " numFmtId="172">
      <sharedItems containsSemiMixedTypes="0" containsString="0" containsNumber="1" minValue="0.55966128363518297" maxValue="1"/>
    </cacheField>
    <cacheField name="Presupuesto  Vigente M$" numFmtId="3">
      <sharedItems containsSemiMixedTypes="0" containsString="0" containsNumber="1" minValue="8219493.3649999984" maxValue="213358051.875"/>
    </cacheField>
    <cacheField name="Ejecución al   M$" numFmtId="3">
      <sharedItems containsSemiMixedTypes="0" containsString="0" containsNumber="1" minValue="0" maxValue="101213162.70586899"/>
    </cacheField>
    <cacheField name="%                            Ejecución    2021 M$" numFmtId="172">
      <sharedItems containsSemiMixedTypes="0" containsString="0" containsNumber="1" minValue="0" maxValue="0.4743817344431262"/>
    </cacheField>
    <cacheField name="Saldo por ejecutar M$" numFmtId="41">
      <sharedItems containsSemiMixedTypes="0" containsString="0" containsNumber="1" minValue="0" maxValue="6366325.00599999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1">
  <r>
    <x v="0"/>
    <s v="Item."/>
    <s v="Asig."/>
    <s v="Sub"/>
    <s v="."/>
    <x v="0"/>
    <n v="431131509.99800003"/>
    <n v="422421626.99900001"/>
    <n v="124837726.23700002"/>
    <n v="0.29552872830844795"/>
    <n v="133339183.039"/>
    <n v="0.31565425280490117"/>
    <n v="289082443.96099997"/>
    <n v="0.6843457471974661"/>
    <n v="340939015.29799998"/>
    <n v="118996711.52791603"/>
    <n v="0.34902638357157856"/>
  </r>
  <r>
    <x v="1"/>
    <m/>
    <m/>
    <m/>
    <m/>
    <x v="1"/>
    <n v="17419021"/>
    <n v="17419021"/>
    <n v="5721879.3930000011"/>
    <n v="0.3284845567957006"/>
    <n v="5721879.3930000011"/>
    <n v="0.3284845567957006"/>
    <n v="11697141.607000001"/>
    <n v="0.67151544320429957"/>
    <n v="16432199.475"/>
    <n v="5230079.2324580001"/>
    <n v="0.31828236021690581"/>
  </r>
  <r>
    <x v="2"/>
    <s v="01."/>
    <m/>
    <m/>
    <m/>
    <x v="2"/>
    <n v="1085491.78"/>
    <n v="1106741.433"/>
    <n v="267973.576"/>
    <n v="0.24212843940758114"/>
    <n v="267973.576"/>
    <n v="0.24212843940758114"/>
    <n v="838767.85699999996"/>
    <n v="0.75787156059241889"/>
    <n v="969101.4693029999"/>
    <n v="279397.95585899998"/>
    <n v="0.28830619363310783"/>
  </r>
  <r>
    <x v="2"/>
    <m/>
    <s v="001."/>
    <m/>
    <m/>
    <x v="3"/>
    <n v="769096.17999999993"/>
    <n v="792328.17999999993"/>
    <n v="203169.42300000004"/>
    <n v="0.25642079649369542"/>
    <n v="203169.42300000001"/>
    <n v="0.25642079649369537"/>
    <n v="589158.75699999998"/>
    <n v="0.74357920350630469"/>
    <n v="707179.65226599993"/>
    <n v="210753.369156"/>
    <n v="0.29801956049030498"/>
  </r>
  <r>
    <x v="2"/>
    <m/>
    <m/>
    <n v="1"/>
    <s v="21.01.001.001"/>
    <x v="4"/>
    <n v="144602.905"/>
    <n v="144602.905"/>
    <n v="36639.951999999997"/>
    <n v="0.25338323597302559"/>
    <n v="36639.951999999997"/>
    <n v="0.25338323597302559"/>
    <n v="107962.95299999999"/>
    <n v="0.74661676402697441"/>
    <n v="132840.44187000001"/>
    <n v="40897.562233999997"/>
    <n v="0.30786981478142833"/>
  </r>
  <r>
    <x v="2"/>
    <m/>
    <m/>
    <n v="2"/>
    <s v="21.01.001.002"/>
    <x v="5"/>
    <n v="18480.027999999998"/>
    <n v="18480.027999999998"/>
    <n v="5057.1760000000004"/>
    <n v="0.27365629532595953"/>
    <n v="5057.1760000000004"/>
    <n v="0.27365629532595953"/>
    <n v="13422.852000000001"/>
    <n v="0.72634370467404064"/>
    <n v="17054.645503"/>
    <n v="5450.331592999999"/>
    <n v="0.31958046809247709"/>
  </r>
  <r>
    <x v="2"/>
    <m/>
    <m/>
    <n v="3"/>
    <s v="21.01.001.003"/>
    <x v="6"/>
    <n v="100269.412"/>
    <n v="100269.412"/>
    <n v="27821.955999999998"/>
    <n v="0.27747201708931929"/>
    <n v="27821.955999999998"/>
    <n v="0.27747201708931929"/>
    <n v="72447.456000000006"/>
    <n v="0.72252798291068077"/>
    <n v="92535.537214999989"/>
    <n v="28487.222195999999"/>
    <n v="0.30785169734101059"/>
  </r>
  <r>
    <x v="2"/>
    <m/>
    <m/>
    <n v="7"/>
    <s v="21.01.001.007"/>
    <x v="7"/>
    <n v="9704.8359999999993"/>
    <n v="9704.8359999999993"/>
    <n v="3113.6439999999998"/>
    <n v="0.32083427272753501"/>
    <n v="3113.6439999999998"/>
    <n v="0.32083427272753501"/>
    <n v="6591.192"/>
    <n v="0.67916572727246505"/>
    <n v="8919.0876809999991"/>
    <n v="2955.1825199999998"/>
    <n v="0.33133237677383925"/>
  </r>
  <r>
    <x v="2"/>
    <m/>
    <m/>
    <n v="12"/>
    <s v="21.01.001.012"/>
    <x v="8"/>
    <n v="3624.1959999999999"/>
    <n v="3624.1959999999999"/>
    <n v="709.86400000000003"/>
    <n v="0.19586799389436996"/>
    <n v="709.86400000000003"/>
    <n v="0.19586799389436996"/>
    <n v="2914.3319999999999"/>
    <n v="0.80413200610563007"/>
    <n v="3344.6582789999998"/>
    <n v="754.58543199999997"/>
    <n v="0.2256091262709233"/>
  </r>
  <r>
    <x v="2"/>
    <m/>
    <m/>
    <n v="13"/>
    <s v="21.01.001.013"/>
    <x v="9"/>
    <n v="63244.34"/>
    <n v="63244.34"/>
    <n v="16345.684000000001"/>
    <n v="0.25845291452167896"/>
    <n v="16345.683999999999"/>
    <n v="0.25845291452167896"/>
    <n v="46898.656000000003"/>
    <n v="0.74154708547832116"/>
    <n v="58366.244111"/>
    <n v="17181.504986"/>
    <n v="0.29437400414740555"/>
  </r>
  <r>
    <x v="2"/>
    <m/>
    <m/>
    <n v="14"/>
    <s v="21.01.001.014"/>
    <x v="10"/>
    <n v="94261.555999999997"/>
    <n v="94261.555999999997"/>
    <n v="24905.285000000003"/>
    <n v="0.26421466032239066"/>
    <n v="24905.285"/>
    <n v="0.2642146603223906"/>
    <n v="69356.270999999993"/>
    <n v="0.7357853396776094"/>
    <n v="86991.072719999996"/>
    <n v="27226.659393999998"/>
    <n v="0.31298222383847391"/>
  </r>
  <r>
    <x v="2"/>
    <m/>
    <m/>
    <n v="15"/>
    <s v="21.01.001.015"/>
    <x v="11"/>
    <n v="234364.65100000001"/>
    <n v="234364.65100000001"/>
    <n v="61773.724000000002"/>
    <n v="0.26357952761400011"/>
    <n v="61773.724000000002"/>
    <n v="0.26357952761400011"/>
    <n v="172590.927"/>
    <n v="0.73642047238599984"/>
    <n v="216287.88290799997"/>
    <n v="67035.047378999996"/>
    <n v="0.30993436376421496"/>
  </r>
  <r>
    <x v="2"/>
    <m/>
    <m/>
    <n v="22"/>
    <s v="21.01.001.022"/>
    <x v="12"/>
    <n v="75479.017000000007"/>
    <n v="75479.017000000007"/>
    <n v="14936.298000000001"/>
    <n v="0.19788675838213418"/>
    <n v="14936.298000000001"/>
    <n v="0.19788675838213418"/>
    <n v="60542.718999999997"/>
    <n v="0.80211324161786568"/>
    <n v="69657.24833799999"/>
    <n v="15922.908734000001"/>
    <n v="0.22858940187727175"/>
  </r>
  <r>
    <x v="2"/>
    <m/>
    <m/>
    <n v="39"/>
    <s v="21.01.001.039"/>
    <x v="13"/>
    <n v="22953.239000000001"/>
    <n v="22953.239000000001"/>
    <n v="3417.84"/>
    <n v="0.14890447487607306"/>
    <n v="3417.84"/>
    <n v="0.14890447487607306"/>
    <n v="19535.399000000001"/>
    <n v="0.85109552512392694"/>
    <n v="21182.833640999997"/>
    <n v="4842.3646879999997"/>
    <n v="0.2285985326640842"/>
  </r>
  <r>
    <x v="2"/>
    <m/>
    <m/>
    <n v="998"/>
    <s v="21.01.001.0998"/>
    <x v="14"/>
    <n v="2112"/>
    <n v="25344"/>
    <n v="8448"/>
    <n v="0.33333333333333331"/>
    <n v="8448"/>
    <n v="0.33333333333333331"/>
    <n v="16896"/>
    <n v="0.66666666666666663"/>
    <n v="0"/>
    <n v="0"/>
    <s v="0.00%"/>
  </r>
  <r>
    <x v="2"/>
    <m/>
    <m/>
    <n v="999"/>
    <s v="21.01.001.0999"/>
    <x v="15"/>
    <n v="0"/>
    <n v="0"/>
    <n v="0"/>
    <s v="0.00%"/>
    <n v="0"/>
    <n v="0"/>
    <n v="0"/>
    <n v="0"/>
    <n v="0"/>
    <n v="0"/>
    <s v="0.00%"/>
  </r>
  <r>
    <x v="2"/>
    <m/>
    <s v="002."/>
    <m/>
    <m/>
    <x v="16"/>
    <n v="31358.285"/>
    <n v="31358.285"/>
    <n v="6731.9589999999998"/>
    <n v="0.2146788001958653"/>
    <n v="6731.9589999999998"/>
    <n v="0.2146788001958653"/>
    <n v="24626.326000000001"/>
    <n v="0.78532119980413473"/>
    <n v="28939.590349999995"/>
    <n v="7601.4141409999993"/>
    <n v="0.2626648839554151"/>
  </r>
  <r>
    <x v="2"/>
    <m/>
    <m/>
    <n v="1"/>
    <s v="21.01.002.001"/>
    <x v="17"/>
    <n v="7117.165"/>
    <n v="7117.165"/>
    <n v="378.29999999999995"/>
    <n v="5.3153186697231264E-2"/>
    <n v="378.3"/>
    <n v="5.3153186697231271E-2"/>
    <n v="6738.8649999999998"/>
    <n v="0.94684681330276865"/>
    <n v="6568.2110939999993"/>
    <n v="589.79491999999993"/>
    <n v="8.9795366129260396E-2"/>
  </r>
  <r>
    <x v="2"/>
    <m/>
    <m/>
    <n v="2"/>
    <s v="21.01.002.002"/>
    <x v="18"/>
    <n v="24241.119999999999"/>
    <n v="24241.119999999999"/>
    <n v="6353.6589999999997"/>
    <n v="0.2621025348663758"/>
    <n v="6353.6589999999997"/>
    <n v="0.2621025348663758"/>
    <n v="17887.460999999999"/>
    <n v="0.7378974651336242"/>
    <n v="22371.379255999997"/>
    <n v="7011.619220999999"/>
    <n v="0.31341917459646501"/>
  </r>
  <r>
    <x v="2"/>
    <m/>
    <s v="003."/>
    <m/>
    <m/>
    <x v="19"/>
    <n v="73869.233999999997"/>
    <n v="73869.233999999997"/>
    <n v="14313.438"/>
    <n v="0.19376724550846164"/>
    <n v="14313.438"/>
    <n v="0.19376724550846164"/>
    <n v="59555.796000000002"/>
    <n v="0.80623275449153842"/>
    <n v="68171.63036499999"/>
    <n v="15326.314865999999"/>
    <n v="0.22481954419955733"/>
  </r>
  <r>
    <x v="2"/>
    <m/>
    <m/>
    <n v="1"/>
    <s v="21.01.003.001"/>
    <x v="20"/>
    <n v="36552.784"/>
    <n v="36552.784"/>
    <n v="7218.0029999999997"/>
    <n v="0.19746794115600058"/>
    <n v="7218.0029999999997"/>
    <n v="0.19746794115600058"/>
    <n v="29334.780999999999"/>
    <n v="0.80253205884399936"/>
    <n v="33733.433339999996"/>
    <n v="7737.1592409999994"/>
    <n v="0.22936174812142618"/>
  </r>
  <r>
    <x v="2"/>
    <m/>
    <m/>
    <n v="2"/>
    <s v="21.01.003.002"/>
    <x v="21"/>
    <n v="37316.449999999997"/>
    <n v="37316.449999999997"/>
    <n v="7095.4350000000004"/>
    <n v="0.19014228309498896"/>
    <n v="7095.4350000000004"/>
    <n v="0.19014228309498896"/>
    <n v="30221.014999999999"/>
    <n v="0.80985771690501107"/>
    <n v="34438.197024999994"/>
    <n v="7589.1556249999994"/>
    <n v="0.22037029463217089"/>
  </r>
  <r>
    <x v="2"/>
    <m/>
    <m/>
    <n v="3"/>
    <s v="21.01.003.003"/>
    <x v="22"/>
    <n v="0"/>
    <n v="0"/>
    <n v="0"/>
    <s v="0.00%"/>
    <n v="0"/>
    <n v="0"/>
    <n v="0"/>
    <n v="0"/>
    <n v="0"/>
    <n v="0"/>
    <s v="0.00%"/>
  </r>
  <r>
    <x v="2"/>
    <m/>
    <s v="004."/>
    <m/>
    <m/>
    <x v="23"/>
    <n v="206697.50700000001"/>
    <n v="204715.16"/>
    <n v="43600.824000000001"/>
    <n v="0.21298287825874743"/>
    <n v="43600.824000000001"/>
    <n v="0.21298287825874743"/>
    <n v="161114.33600000001"/>
    <n v="0.7870171217412526"/>
    <n v="163135.52730000002"/>
    <n v="45146.135121999992"/>
    <n v="0.27674005698941329"/>
  </r>
  <r>
    <x v="2"/>
    <m/>
    <m/>
    <n v="4"/>
    <s v="21.01.004.004"/>
    <x v="24"/>
    <n v="187398.5"/>
    <n v="187398.5"/>
    <n v="39557.288"/>
    <n v="0.21108647080953155"/>
    <n v="39557.288"/>
    <n v="0.21108647080953155"/>
    <n v="147841.212"/>
    <n v="0.78891352919046842"/>
    <n v="154892.60010000001"/>
    <n v="42898.029374999991"/>
    <n v="0.27695338155150506"/>
  </r>
  <r>
    <x v="2"/>
    <m/>
    <m/>
    <n v="5"/>
    <s v="21.01.004.005"/>
    <x v="25"/>
    <n v="7599"/>
    <n v="7599"/>
    <n v="222.56900000000002"/>
    <n v="2.9289248585340179E-2"/>
    <n v="222.56899999999999"/>
    <n v="2.9289248585340176E-2"/>
    <n v="7376.4309999999996"/>
    <n v="0.97071075141465979"/>
    <n v="3778.3271999999997"/>
    <n v="0"/>
    <n v="0"/>
  </r>
  <r>
    <x v="2"/>
    <m/>
    <m/>
    <n v="6"/>
    <s v="21.01.004.006"/>
    <x v="26"/>
    <n v="9200.0069999999996"/>
    <n v="7217.66"/>
    <n v="3820.9669999999996"/>
    <n v="0.52939138169434408"/>
    <n v="3820.9670000000001"/>
    <n v="0.52939138169434419"/>
    <n v="3396.6930000000002"/>
    <n v="0.47060861830565587"/>
    <n v="4464.5999999999995"/>
    <n v="2248.1057470000001"/>
    <n v="0.50354023809523818"/>
  </r>
  <r>
    <x v="2"/>
    <m/>
    <m/>
    <n v="7"/>
    <s v="21.01.004.007"/>
    <x v="27"/>
    <n v="2500"/>
    <n v="2500"/>
    <n v="0"/>
    <n v="0"/>
    <n v="0"/>
    <n v="0"/>
    <n v="2500"/>
    <n v="1"/>
    <n v="0"/>
    <n v="0"/>
    <s v="0.00%"/>
  </r>
  <r>
    <x v="2"/>
    <m/>
    <s v="005."/>
    <m/>
    <m/>
    <x v="23"/>
    <n v="4470.5740000000005"/>
    <n v="4470.5740000000005"/>
    <n v="157.93199999999999"/>
    <n v="3.5327007225470372E-2"/>
    <n v="157.93199999999999"/>
    <n v="3.5327007225470372E-2"/>
    <n v="4312.6419999999998"/>
    <n v="0.96467299277452945"/>
    <n v="1675.0690219999999"/>
    <n v="570.7225739999999"/>
    <n v="0.34071585499119805"/>
  </r>
  <r>
    <x v="2"/>
    <m/>
    <m/>
    <n v="1"/>
    <s v="21.01.005.001"/>
    <x v="28"/>
    <n v="803.73599999999999"/>
    <n v="803.73599999999999"/>
    <n v="0"/>
    <n v="0"/>
    <n v="0"/>
    <n v="0"/>
    <n v="803.73599999999999"/>
    <n v="1"/>
    <n v="422.84332899999998"/>
    <n v="0"/>
    <n v="0"/>
  </r>
  <r>
    <x v="2"/>
    <m/>
    <m/>
    <n v="2"/>
    <s v="21.01.005.002"/>
    <x v="29"/>
    <n v="545.73800000000006"/>
    <n v="545.73800000000006"/>
    <n v="157.93199999999999"/>
    <n v="0.28939161282520176"/>
    <n v="157.93199999999999"/>
    <n v="0.28939161282520176"/>
    <n v="387.80599999999998"/>
    <n v="0.71060838717479802"/>
    <n v="497.859239"/>
    <n v="251.82257399999997"/>
    <n v="0.50581078801673096"/>
  </r>
  <r>
    <x v="2"/>
    <m/>
    <m/>
    <n v="3"/>
    <s v="21.01.005.003"/>
    <x v="30"/>
    <n v="3121.1"/>
    <n v="3121.1"/>
    <n v="0"/>
    <n v="0"/>
    <n v="0"/>
    <n v="0"/>
    <n v="3121.1"/>
    <n v="1"/>
    <n v="754.36645399999998"/>
    <n v="318.89999999999998"/>
    <n v="0.4227388403991782"/>
  </r>
  <r>
    <x v="2"/>
    <s v="02."/>
    <m/>
    <m/>
    <m/>
    <x v="31"/>
    <n v="14824050.877"/>
    <n v="14802801.224000001"/>
    <n v="5074777.8210000005"/>
    <n v="0.3428255060786865"/>
    <n v="5074777.8210000005"/>
    <n v="0.3428255060786865"/>
    <n v="9728023.402999999"/>
    <n v="0.65717449392131333"/>
    <n v="14184350.135292999"/>
    <n v="4524590.454961"/>
    <n v="0.31898468465630114"/>
  </r>
  <r>
    <x v="2"/>
    <m/>
    <s v="001."/>
    <m/>
    <m/>
    <x v="3"/>
    <n v="12418776.130000001"/>
    <n v="12395344.130000001"/>
    <n v="4403353.7760000005"/>
    <n v="0.35524255961096907"/>
    <n v="4403353.7760000005"/>
    <n v="0.35524255961096907"/>
    <n v="7991990.3540000012"/>
    <n v="0.64475744038903104"/>
    <n v="12026236.002806"/>
    <n v="3918522.3698530002"/>
    <n v="0.32583115522917711"/>
  </r>
  <r>
    <x v="2"/>
    <m/>
    <m/>
    <n v="1"/>
    <s v="21.02.001.001"/>
    <x v="32"/>
    <n v="2971337.7"/>
    <n v="2804060.9"/>
    <n v="941532.44699999993"/>
    <n v="0.33577460710642909"/>
    <n v="941532.44700000004"/>
    <n v="0.33577460710642915"/>
    <n v="1862528.453"/>
    <n v="0.66422539289357085"/>
    <n v="2898859.8434279999"/>
    <n v="855078.11843199993"/>
    <n v="0.29497049344091125"/>
  </r>
  <r>
    <x v="2"/>
    <m/>
    <m/>
    <n v="2"/>
    <s v="21.02.001.002"/>
    <x v="5"/>
    <n v="126648.201"/>
    <n v="126648.201"/>
    <n v="40254.100999999995"/>
    <n v="0.31784186970014677"/>
    <n v="40254.101000000002"/>
    <n v="0.31784186970014683"/>
    <n v="86394.1"/>
    <n v="0.68215813029985328"/>
    <n v="100952.095898"/>
    <n v="37146.166139000001"/>
    <n v="0.3679583450801433"/>
  </r>
  <r>
    <x v="2"/>
    <m/>
    <m/>
    <n v="3"/>
    <s v="21.02.001.003"/>
    <x v="6"/>
    <n v="1992107.1370000001"/>
    <n v="1992107.1370000001"/>
    <n v="660369.25899999996"/>
    <n v="0.33149284329881901"/>
    <n v="660369.25899999996"/>
    <n v="0.33149284329881901"/>
    <n v="1331737.878"/>
    <n v="0.66850715670118099"/>
    <n v="1656983.7639810001"/>
    <n v="581956.86930299993"/>
    <n v="0.35121458758582802"/>
  </r>
  <r>
    <x v="2"/>
    <m/>
    <m/>
    <n v="4"/>
    <s v="21.02.001.004"/>
    <x v="33"/>
    <n v="278309.69799999997"/>
    <n v="278309.69799999997"/>
    <n v="90436.581000000006"/>
    <n v="0.32494944175463125"/>
    <n v="90436.581000000006"/>
    <n v="0.32494944175463125"/>
    <n v="187873.117"/>
    <n v="0.67505055824536886"/>
    <n v="231712.34137499999"/>
    <n v="80639.346891000008"/>
    <n v="0.34801489818142411"/>
  </r>
  <r>
    <x v="2"/>
    <m/>
    <m/>
    <n v="6"/>
    <s v="21.02.001.006"/>
    <x v="34"/>
    <n v="24.742000000000001"/>
    <n v="24.742000000000001"/>
    <n v="0"/>
    <n v="0"/>
    <n v="0"/>
    <n v="0"/>
    <n v="24.742000000000001"/>
    <n v="1"/>
    <n v="22.83324"/>
    <n v="22.833239999999996"/>
    <n v="0.99999999999999989"/>
  </r>
  <r>
    <x v="2"/>
    <m/>
    <m/>
    <n v="7"/>
    <s v="21.02.001.007"/>
    <x v="35"/>
    <n v="144924.04"/>
    <n v="144924.04"/>
    <n v="43345.576000000001"/>
    <n v="0.29909168968792205"/>
    <n v="43345.576000000001"/>
    <n v="0.29909168968792205"/>
    <n v="101578.46400000001"/>
    <n v="0.70090831031207801"/>
    <n v="133745.91164800001"/>
    <n v="30892.934700999998"/>
    <n v="0.23098227318010106"/>
  </r>
  <r>
    <x v="2"/>
    <m/>
    <m/>
    <n v="13"/>
    <s v="21.02.001.013"/>
    <x v="10"/>
    <n v="2269566.5950000002"/>
    <n v="2269566.5950000002"/>
    <n v="709983.174"/>
    <n v="0.31282764540337266"/>
    <n v="709983.174"/>
    <n v="0.31282764540337266"/>
    <n v="1559583.4210000001"/>
    <n v="0.68717235459662729"/>
    <n v="1859589.7685739999"/>
    <n v="635486.91093699995"/>
    <n v="0.34173500073853069"/>
  </r>
  <r>
    <x v="2"/>
    <m/>
    <m/>
    <n v="14"/>
    <s v="21.02.001.014"/>
    <x v="11"/>
    <n v="3085589.9109999998"/>
    <n v="3085589.9109999998"/>
    <n v="1499157.915"/>
    <n v="0.48585779648020117"/>
    <n v="1499157.915"/>
    <n v="0.48585779648020117"/>
    <n v="1586431.996"/>
    <n v="0.51414220351979889"/>
    <n v="3801761.2422849997"/>
    <n v="1349132.2543249999"/>
    <n v="0.3548703267631087"/>
  </r>
  <r>
    <x v="2"/>
    <m/>
    <m/>
    <n v="21"/>
    <s v="21.02.001.021"/>
    <x v="12"/>
    <n v="1431430.2450000001"/>
    <n v="1431430.2450000001"/>
    <n v="353260.71600000001"/>
    <n v="0.24678863481747934"/>
    <n v="353260.71600000001"/>
    <n v="0.24678863481747934"/>
    <n v="1078169.5290000001"/>
    <n v="0.75321136518252063"/>
    <n v="1210960.398672"/>
    <n v="0"/>
    <n v="0"/>
  </r>
  <r>
    <x v="2"/>
    <m/>
    <m/>
    <n v="37"/>
    <s v="21.02.001.037"/>
    <x v="36"/>
    <n v="50666.758999999998"/>
    <n v="50666.758999999998"/>
    <n v="12566.007"/>
    <n v="0.2480128440818565"/>
    <n v="12566.007"/>
    <n v="0.2480128440818565"/>
    <n v="38100.752"/>
    <n v="0.75198715591814358"/>
    <n v="41342.037613"/>
    <n v="11621.548328999999"/>
    <n v="0.28110729417327035"/>
  </r>
  <r>
    <x v="2"/>
    <m/>
    <m/>
    <n v="38"/>
    <s v="21.02.001.038"/>
    <x v="37"/>
    <n v="55235.101999999999"/>
    <n v="55235.101999999999"/>
    <n v="0"/>
    <n v="0"/>
    <n v="0"/>
    <n v="0"/>
    <n v="55235.101999999999"/>
    <n v="1"/>
    <n v="90305.766091999991"/>
    <n v="15258.531608000001"/>
    <n v="0.16896519755399897"/>
  </r>
  <r>
    <x v="2"/>
    <m/>
    <m/>
    <n v="998"/>
    <s v="21.02.001.0998"/>
    <x v="14"/>
    <n v="12936"/>
    <n v="156780.79999999999"/>
    <n v="52448"/>
    <n v="0.33453075886843292"/>
    <n v="52448"/>
    <n v="0.33453075886843292"/>
    <n v="104332.8"/>
    <n v="0.66546924113156725"/>
    <n v="0"/>
    <n v="0"/>
    <s v="0.00%"/>
  </r>
  <r>
    <x v="2"/>
    <m/>
    <m/>
    <n v="999"/>
    <s v="21.02.001.0999"/>
    <x v="15"/>
    <n v="0"/>
    <n v="0"/>
    <n v="0"/>
    <s v="0.00%"/>
    <n v="0"/>
    <n v="0"/>
    <n v="0"/>
    <n v="0"/>
    <n v="0"/>
    <n v="0"/>
    <s v="0.00%"/>
  </r>
  <r>
    <x v="2"/>
    <m/>
    <s v="002."/>
    <m/>
    <m/>
    <x v="16"/>
    <n v="584702.25399999996"/>
    <n v="584702.25399999996"/>
    <n v="172885.60400000005"/>
    <n v="0.29568143925780055"/>
    <n v="172885.60400000002"/>
    <n v="0.29568143925780049"/>
    <n v="411816.65"/>
    <n v="0.70431856074219967"/>
    <n v="517280.61360899999"/>
    <n v="165164.76772499998"/>
    <n v="0.31929433150928804"/>
  </r>
  <r>
    <x v="2"/>
    <m/>
    <m/>
    <n v="1"/>
    <s v="21.02.002.001"/>
    <x v="17"/>
    <n v="45733.139000000003"/>
    <n v="45733.139000000003"/>
    <n v="10024.950000000001"/>
    <n v="0.21920537752722374"/>
    <n v="10024.950000000001"/>
    <n v="0.21920537752722374"/>
    <n v="35708.188999999998"/>
    <n v="0.7807946224727762"/>
    <n v="42205.698537999997"/>
    <n v="10884.39716"/>
    <n v="0.25788927886598556"/>
  </r>
  <r>
    <x v="2"/>
    <m/>
    <m/>
    <n v="2"/>
    <s v="21.02.002.002"/>
    <x v="18"/>
    <n v="538969.11499999999"/>
    <n v="538969.11499999999"/>
    <n v="162860.65400000004"/>
    <n v="0.30217066148586275"/>
    <n v="162860.65400000001"/>
    <n v="0.30217066148586269"/>
    <n v="376108.46100000001"/>
    <n v="0.69782933851413731"/>
    <n v="475074.915071"/>
    <n v="154280.37056499999"/>
    <n v="0.32474956195475563"/>
  </r>
  <r>
    <x v="2"/>
    <m/>
    <s v="003."/>
    <m/>
    <m/>
    <x v="19"/>
    <n v="1366172.385"/>
    <n v="1366172.385"/>
    <n v="343288.25199999998"/>
    <n v="0.25127740523023379"/>
    <n v="343288.25199999998"/>
    <n v="0.25127740523023379"/>
    <n v="1022884.1329999999"/>
    <n v="0.7487225947697661"/>
    <n v="1202457.9357699999"/>
    <n v="317635.30425399996"/>
    <n v="0.2641550234774746"/>
  </r>
  <r>
    <x v="2"/>
    <m/>
    <m/>
    <n v="1"/>
    <s v="21.02.003.001"/>
    <x v="20"/>
    <n v="726222.69299999997"/>
    <n v="726222.69299999997"/>
    <n v="178985.28700000001"/>
    <n v="0.2464606087433294"/>
    <n v="178985.28700000001"/>
    <n v="0.2464606087433294"/>
    <n v="547237.40599999996"/>
    <n v="0.75353939125667058"/>
    <n v="611868.17133899988"/>
    <n v="162785.41549400002"/>
    <n v="0.26604654910838671"/>
  </r>
  <r>
    <x v="2"/>
    <m/>
    <m/>
    <n v="2"/>
    <s v="21.02.003.002"/>
    <x v="21"/>
    <n v="639949.69200000004"/>
    <n v="639949.69200000004"/>
    <n v="164302.965"/>
    <n v="0.25674356446131391"/>
    <n v="164302.965"/>
    <n v="0.25674356446131391"/>
    <n v="475646.72700000001"/>
    <n v="0.74325643553868603"/>
    <n v="590589.76443099999"/>
    <n v="154849.88875999997"/>
    <n v="0.26219534791495941"/>
  </r>
  <r>
    <x v="2"/>
    <m/>
    <m/>
    <n v="3"/>
    <s v="21.02.003.003"/>
    <x v="22"/>
    <n v="0"/>
    <n v="0"/>
    <n v="0"/>
    <s v="0.00%"/>
    <n v="0"/>
    <n v="0"/>
    <n v="0"/>
    <n v="0"/>
    <n v="0"/>
    <n v="0"/>
    <s v="0.00%"/>
  </r>
  <r>
    <x v="2"/>
    <m/>
    <s v="004."/>
    <m/>
    <m/>
    <x v="23"/>
    <n v="290726.53200000001"/>
    <n v="292908.87900000002"/>
    <n v="147590.48699999999"/>
    <n v="0.50387850140930679"/>
    <n v="147590.48700000002"/>
    <n v="0.5038785014093069"/>
    <n v="145318.39199999999"/>
    <n v="0.49612149859069304"/>
    <n v="336443.64569999999"/>
    <n v="94730.265479999987"/>
    <n v="0.28156354471461487"/>
  </r>
  <r>
    <x v="2"/>
    <m/>
    <m/>
    <n v="4"/>
    <s v="21.02.004.004"/>
    <x v="24"/>
    <n v="187398.5"/>
    <n v="187398.5"/>
    <n v="82109.588999999993"/>
    <n v="0.43815499590444956"/>
    <n v="82109.589000000007"/>
    <n v="0.43815499590444967"/>
    <n v="105288.91099999999"/>
    <n v="0.56184500409555038"/>
    <n v="213899.30489999999"/>
    <n v="66852.793902999983"/>
    <n v="0.31254329664256886"/>
  </r>
  <r>
    <x v="2"/>
    <m/>
    <m/>
    <n v="5"/>
    <s v="21.02.004.005"/>
    <x v="25"/>
    <n v="50000"/>
    <n v="50000"/>
    <n v="22133.842000000001"/>
    <n v="0.44267684000000002"/>
    <n v="22133.842000000001"/>
    <n v="0.44267684000000002"/>
    <n v="27866.157999999999"/>
    <n v="0.55732316000000004"/>
    <n v="59193.792799999996"/>
    <n v="9019.5624409999982"/>
    <n v="0.15237345022770696"/>
  </r>
  <r>
    <x v="2"/>
    <m/>
    <m/>
    <n v="6"/>
    <s v="21.02.004.006"/>
    <x v="26"/>
    <n v="52828.031999999999"/>
    <n v="55010.379000000001"/>
    <n v="43347.056000000004"/>
    <n v="0.78797959199663037"/>
    <n v="43347.055999999997"/>
    <n v="0.78797959199663026"/>
    <n v="11663.323"/>
    <n v="0.21202040800336969"/>
    <n v="63350.547999999995"/>
    <n v="18857.909135999998"/>
    <n v="0.29767554869454327"/>
  </r>
  <r>
    <x v="2"/>
    <m/>
    <m/>
    <n v="7"/>
    <m/>
    <x v="27"/>
    <n v="500"/>
    <n v="500"/>
    <n v="0"/>
    <n v="0"/>
    <n v="0"/>
    <n v="0"/>
    <n v="500"/>
    <n v="0"/>
    <n v="0"/>
    <n v="0"/>
    <n v="0"/>
  </r>
  <r>
    <x v="2"/>
    <m/>
    <s v="005."/>
    <m/>
    <m/>
    <x v="23"/>
    <n v="163673.576"/>
    <n v="163673.576"/>
    <n v="7659.7020000000002"/>
    <n v="4.6798647571554254E-2"/>
    <n v="7659.7020000000002"/>
    <n v="4.6798647571554254E-2"/>
    <n v="156013.87400000001"/>
    <n v="0.95320135242844584"/>
    <n v="101931.937408"/>
    <n v="28537.747648999997"/>
    <n v="0.27996865726953452"/>
  </r>
  <r>
    <x v="2"/>
    <m/>
    <m/>
    <n v="1"/>
    <s v="21.02.005.001"/>
    <x v="28"/>
    <n v="47688.317999999999"/>
    <n v="47688.317999999999"/>
    <n v="0"/>
    <n v="0"/>
    <n v="0"/>
    <n v="0"/>
    <n v="47688.317999999999"/>
    <n v="1"/>
    <n v="34828.592278999997"/>
    <n v="0"/>
    <n v="0"/>
  </r>
  <r>
    <x v="2"/>
    <m/>
    <m/>
    <n v="2"/>
    <s v="21.02.005.002"/>
    <x v="29"/>
    <n v="17918.413"/>
    <n v="17918.413"/>
    <n v="7659.7020000000002"/>
    <n v="0.42747658511945225"/>
    <n v="7659.7020000000002"/>
    <n v="0.42747658511945225"/>
    <n v="10258.710999999999"/>
    <n v="0.5725234148805477"/>
    <n v="15931.48927"/>
    <n v="7596.6476489999995"/>
    <n v="0.47683223584784173"/>
  </r>
  <r>
    <x v="2"/>
    <m/>
    <m/>
    <n v="3"/>
    <s v="21.02.005.003"/>
    <x v="30"/>
    <n v="98066.845000000001"/>
    <n v="98066.845000000001"/>
    <n v="0"/>
    <n v="0"/>
    <n v="0"/>
    <n v="0"/>
    <n v="98066.845000000001"/>
    <n v="1"/>
    <n v="51171.855858999996"/>
    <n v="20941.099999999999"/>
    <n v="0.40923080956261476"/>
  </r>
  <r>
    <x v="2"/>
    <s v="03."/>
    <m/>
    <m/>
    <m/>
    <x v="38"/>
    <n v="1509478.3430000001"/>
    <n v="1509478.3430000001"/>
    <n v="379127.99600000004"/>
    <n v="0.25116491253958984"/>
    <n v="379127.99600000004"/>
    <n v="0.25116491253958984"/>
    <n v="1130350.3470000001"/>
    <n v="0.74883508746041016"/>
    <n v="1278747.8704039999"/>
    <n v="426090.82163799996"/>
    <n v="0.33320940859387971"/>
  </r>
  <r>
    <x v="2"/>
    <m/>
    <s v="001."/>
    <m/>
    <m/>
    <x v="39"/>
    <n v="1472012"/>
    <n v="1472012"/>
    <n v="373033.54000000004"/>
    <n v="0.25341745855332704"/>
    <n v="373033.54000000004"/>
    <n v="0.25341745855332704"/>
    <n v="1098978.46"/>
    <n v="0.74658254144667291"/>
    <n v="1244171.3419999999"/>
    <n v="413399.74542599998"/>
    <n v="0.33226914289912973"/>
  </r>
  <r>
    <x v="2"/>
    <m/>
    <m/>
    <n v="1"/>
    <s v="21.03.001.001"/>
    <x v="40"/>
    <n v="1461411.9890000001"/>
    <n v="1458358.9920000001"/>
    <n v="364742.98800000001"/>
    <n v="0.25010507700836393"/>
    <n v="364742.98800000001"/>
    <n v="0.25010507700836393"/>
    <n v="1093616.004"/>
    <n v="0.74989492299163596"/>
    <n v="1238856.3419999999"/>
    <n v="411950.883867"/>
    <n v="0.33252514428101465"/>
  </r>
  <r>
    <x v="2"/>
    <m/>
    <m/>
    <n v="2"/>
    <s v="21.03.001.002"/>
    <x v="41"/>
    <n v="10600.011"/>
    <n v="13653.008"/>
    <n v="8290.5519999999997"/>
    <n v="0.60723263327758981"/>
    <n v="8290.5519999999997"/>
    <n v="0.60723263327758981"/>
    <n v="5362.4560000000001"/>
    <n v="0.39276736672241019"/>
    <n v="5315"/>
    <n v="1448.8615589999999"/>
    <n v="0.27259859999999997"/>
  </r>
  <r>
    <x v="2"/>
    <m/>
    <s v="005"/>
    <m/>
    <s v="21.03.005"/>
    <x v="42"/>
    <n v="37466.343000000001"/>
    <n v="37466.343000000001"/>
    <n v="6094.4560000000001"/>
    <n v="0.16266482159734671"/>
    <n v="6094.4560000000001"/>
    <n v="0.16266482159734671"/>
    <n v="31371.886999999999"/>
    <n v="0.83733517840265326"/>
    <n v="34576.528403999997"/>
    <n v="12691.076212"/>
    <n v="0.36704310113828054"/>
  </r>
  <r>
    <x v="2"/>
    <m/>
    <m/>
    <m/>
    <s v="21.03.007"/>
    <x v="43"/>
    <n v="0"/>
    <n v="0"/>
    <n v="0"/>
    <s v="0.00%"/>
    <n v="0"/>
    <n v="0"/>
    <n v="0"/>
    <n v="0"/>
    <n v="0"/>
    <n v="0"/>
    <s v="0.00%"/>
  </r>
  <r>
    <x v="3"/>
    <m/>
    <m/>
    <m/>
    <m/>
    <x v="44"/>
    <n v="2322767.9980000001"/>
    <n v="2702640.9990000003"/>
    <n v="632164.83000000007"/>
    <n v="0.23390632726799687"/>
    <n v="1952226.0960000004"/>
    <n v="0.72234014681281766"/>
    <n v="750414.9040000001"/>
    <n v="0.27765985355719086"/>
    <n v="2252797.8289999999"/>
    <n v="489538.80846999999"/>
    <n v="0.21730259243338432"/>
  </r>
  <r>
    <x v="2"/>
    <s v=".02"/>
    <m/>
    <m/>
    <m/>
    <x v="45"/>
    <n v="21440"/>
    <n v="29533.501"/>
    <n v="14587.614999999998"/>
    <n v="0.49393449831769004"/>
    <n v="26729.491000000002"/>
    <n v="0.90505663382069068"/>
    <n v="2804.01"/>
    <n v="9.4943366179309402E-2"/>
    <n v="10768.254842999999"/>
    <n v="0"/>
    <n v="0"/>
  </r>
  <r>
    <x v="2"/>
    <m/>
    <s v=".001"/>
    <m/>
    <s v="22.02.001"/>
    <x v="46"/>
    <n v="0"/>
    <n v="0"/>
    <n v="0"/>
    <s v="0.00%"/>
    <n v="0"/>
    <n v="0"/>
    <n v="0"/>
    <n v="0"/>
    <n v="0"/>
    <n v="0"/>
    <s v="0.00%"/>
  </r>
  <r>
    <x v="2"/>
    <m/>
    <s v=".002"/>
    <m/>
    <s v="22.02.002"/>
    <x v="47"/>
    <n v="18040"/>
    <n v="19840.396000000001"/>
    <n v="6864.73"/>
    <n v="0.34599763028923414"/>
    <n v="19006.606"/>
    <n v="0.95797513315762439"/>
    <n v="833.79"/>
    <n v="4.2024866842375525E-2"/>
    <n v="7285.8668429999989"/>
    <n v="0"/>
    <n v="0"/>
  </r>
  <r>
    <x v="2"/>
    <m/>
    <s v=".003"/>
    <m/>
    <s v="22.02.003"/>
    <x v="48"/>
    <n v="3400"/>
    <n v="9693.1049999999996"/>
    <n v="7722.8849999999993"/>
    <n v="0.79674005388366265"/>
    <n v="7722.8850000000002"/>
    <n v="0.79674005388366276"/>
    <n v="1970.22"/>
    <n v="0.20325994611633735"/>
    <n v="3482.3879999999999"/>
    <n v="0"/>
    <n v="0"/>
  </r>
  <r>
    <x v="2"/>
    <s v=".03"/>
    <m/>
    <m/>
    <m/>
    <x v="49"/>
    <n v="0"/>
    <n v="0"/>
    <n v="0"/>
    <s v="0.00%"/>
    <n v="0"/>
    <n v="0"/>
    <n v="0"/>
    <n v="0"/>
    <n v="0"/>
    <n v="0"/>
    <s v="0.00%"/>
  </r>
  <r>
    <x v="2"/>
    <m/>
    <s v=".001"/>
    <m/>
    <s v="22.03.001"/>
    <x v="50"/>
    <n v="0"/>
    <n v="0"/>
    <n v="0"/>
    <s v="0.00%"/>
    <n v="0"/>
    <n v="0"/>
    <n v="0"/>
    <n v="0"/>
    <n v="0"/>
    <n v="0"/>
    <s v="0.00%"/>
  </r>
  <r>
    <x v="2"/>
    <s v=".04"/>
    <m/>
    <m/>
    <m/>
    <x v="51"/>
    <n v="17964.188000000002"/>
    <n v="29523.749999999996"/>
    <n v="16607.809000000001"/>
    <n v="0.56252369702358285"/>
    <n v="26055.214"/>
    <n v="0.88251709217155694"/>
    <n v="3468.5370000000003"/>
    <n v="0.11748294169947926"/>
    <n v="34000.671539999996"/>
    <n v="13609.596440999998"/>
    <n v="0.40027434237553294"/>
  </r>
  <r>
    <x v="2"/>
    <m/>
    <s v=".001"/>
    <m/>
    <s v="22.04.001"/>
    <x v="52"/>
    <n v="3403.8980000000001"/>
    <n v="2427.6410000000001"/>
    <n v="852.73"/>
    <n v="0.35125869105028296"/>
    <n v="1134.76"/>
    <n v="0.46743319955462936"/>
    <n v="1292.8810000000001"/>
    <n v="0.53256680044537064"/>
    <n v="3374.0300319999997"/>
    <n v="445.49373299999996"/>
    <n v="0.13203609000952721"/>
  </r>
  <r>
    <x v="2"/>
    <m/>
    <s v=".003"/>
    <m/>
    <s v="22.04.003"/>
    <x v="53"/>
    <n v="0"/>
    <n v="0"/>
    <n v="0"/>
    <s v="0.00%"/>
    <n v="0"/>
    <n v="0"/>
    <n v="1E-3"/>
    <n v="0"/>
    <n v="121.43711999999999"/>
    <n v="121.43711999999999"/>
    <n v="1"/>
  </r>
  <r>
    <x v="2"/>
    <m/>
    <s v=".004"/>
    <m/>
    <s v="22.04.004"/>
    <x v="54"/>
    <n v="0"/>
    <n v="0"/>
    <n v="0"/>
    <s v="0.00%"/>
    <n v="0"/>
    <n v="0"/>
    <n v="0"/>
    <n v="0"/>
    <n v="0"/>
    <n v="0"/>
    <s v="0.00%"/>
  </r>
  <r>
    <x v="2"/>
    <m/>
    <s v=".005"/>
    <m/>
    <s v="22.04.005"/>
    <x v="55"/>
    <n v="0"/>
    <n v="1677.9"/>
    <n v="1606.5"/>
    <n v="0.95744680851063824"/>
    <n v="1677.9"/>
    <n v="1"/>
    <n v="0"/>
    <n v="0"/>
    <n v="8024.1022719999992"/>
    <n v="1429.5287779999999"/>
    <n v="0.1781543566547403"/>
  </r>
  <r>
    <x v="2"/>
    <m/>
    <s v=".007"/>
    <m/>
    <s v="22.04.007"/>
    <x v="56"/>
    <n v="5237.07"/>
    <n v="13714.398999999999"/>
    <n v="5392.848"/>
    <n v="0.39322525179557632"/>
    <n v="13678.098"/>
    <n v="0.9973530739480454"/>
    <n v="36.301000000000002"/>
    <n v="2.6469260519545921E-3"/>
    <n v="5069.6245209999997"/>
    <n v="4468.9157799999994"/>
    <n v="0.88150823823112079"/>
  </r>
  <r>
    <x v="2"/>
    <m/>
    <s v=".008"/>
    <m/>
    <s v="22.04.008"/>
    <x v="57"/>
    <n v="0"/>
    <n v="582.26700000000005"/>
    <n v="582.26700000000005"/>
    <n v="1"/>
    <n v="582.26700000000005"/>
    <n v="1"/>
    <n v="0"/>
    <n v="0"/>
    <n v="0"/>
    <n v="0"/>
    <s v="0.00%"/>
  </r>
  <r>
    <x v="2"/>
    <m/>
    <s v=".009"/>
    <m/>
    <s v="22.04.009"/>
    <x v="58"/>
    <n v="3600"/>
    <n v="1168.819"/>
    <n v="1168.818"/>
    <n v="0.99999914443553706"/>
    <n v="1168.819"/>
    <n v="1"/>
    <n v="0"/>
    <n v="0"/>
    <n v="5740.2"/>
    <n v="0"/>
    <n v="0"/>
  </r>
  <r>
    <x v="2"/>
    <m/>
    <s v=".010"/>
    <m/>
    <s v="22.04.010"/>
    <x v="59"/>
    <n v="500"/>
    <n v="100"/>
    <n v="0"/>
    <n v="0"/>
    <n v="0"/>
    <n v="0"/>
    <n v="100"/>
    <n v="1"/>
    <n v="531.5"/>
    <n v="20.34582"/>
    <n v="3.8280000000000002E-2"/>
  </r>
  <r>
    <x v="2"/>
    <m/>
    <s v=".011"/>
    <m/>
    <s v="22.04.011"/>
    <x v="60"/>
    <n v="5147.8999999999996"/>
    <n v="4085.7779999999998"/>
    <n v="1277.7"/>
    <n v="0.31271889955841953"/>
    <n v="2086.424"/>
    <n v="0.51065525341807605"/>
    <n v="1999.354"/>
    <n v="0.48934474658192395"/>
    <n v="4335.9769999999999"/>
    <n v="674.61806799999999"/>
    <n v="0.15558617308163766"/>
  </r>
  <r>
    <x v="2"/>
    <m/>
    <s v=".012"/>
    <m/>
    <s v="22.04.012"/>
    <x v="61"/>
    <n v="0"/>
    <n v="715.428"/>
    <n v="715.428"/>
    <n v="1"/>
    <n v="715.428"/>
    <n v="1"/>
    <n v="0"/>
    <n v="0"/>
    <n v="6.9945399999999998"/>
    <n v="6.9945399999999998"/>
    <n v="1"/>
  </r>
  <r>
    <x v="2"/>
    <m/>
    <s v=".013"/>
    <m/>
    <s v="22.04.013"/>
    <x v="62"/>
    <n v="40"/>
    <n v="5051.518"/>
    <n v="5011.518"/>
    <n v="0.99208158814835457"/>
    <n v="5011.518"/>
    <n v="0.99208158814835457"/>
    <n v="40"/>
    <n v="7.9184118516453864E-3"/>
    <n v="1983.7961119999998"/>
    <n v="1835.8785990000001"/>
    <n v="0.92543713937876715"/>
  </r>
  <r>
    <x v="2"/>
    <m/>
    <s v=".999"/>
    <m/>
    <s v="22.04.999"/>
    <x v="63"/>
    <n v="35.32"/>
    <n v="0"/>
    <n v="0"/>
    <s v="0.00%"/>
    <n v="0"/>
    <n v="0"/>
    <n v="0"/>
    <n v="0"/>
    <n v="4813.009943"/>
    <n v="4606.3840029999992"/>
    <n v="0.9570692887720883"/>
  </r>
  <r>
    <x v="2"/>
    <s v=".05"/>
    <m/>
    <m/>
    <m/>
    <x v="64"/>
    <n v="168529.769"/>
    <n v="165242.80100000001"/>
    <n v="40610.382999999994"/>
    <n v="0.24576188949980335"/>
    <n v="157421.14499999999"/>
    <n v="0.95266567770174737"/>
    <n v="7821.655999999999"/>
    <n v="4.733432229825249E-2"/>
    <n v="164017.447376"/>
    <n v="48209.342891"/>
    <n v="0.29392813790403055"/>
  </r>
  <r>
    <x v="2"/>
    <m/>
    <s v=".001"/>
    <m/>
    <s v="22.05.001"/>
    <x v="65"/>
    <n v="13278"/>
    <n v="13278"/>
    <n v="2803.24"/>
    <n v="0.21111914444946525"/>
    <n v="10714"/>
    <n v="0.80689862931164336"/>
    <n v="2564"/>
    <n v="0.19310137068835667"/>
    <n v="7026.4299999999994"/>
    <n v="2337.3244"/>
    <n v="0.3326475037821483"/>
  </r>
  <r>
    <x v="2"/>
    <m/>
    <s v=".002"/>
    <m/>
    <s v="22.05.002"/>
    <x v="66"/>
    <n v="16584"/>
    <n v="14584"/>
    <n v="4367.259"/>
    <n v="0.29945549917718045"/>
    <n v="11365.189"/>
    <n v="0.77929162095447069"/>
    <n v="3218.8110000000001"/>
    <n v="0.22070837904552937"/>
    <n v="12203.24"/>
    <n v="3607.5881399999998"/>
    <n v="0.2956254355400697"/>
  </r>
  <r>
    <x v="2"/>
    <m/>
    <s v=".003"/>
    <m/>
    <s v="22.05.003"/>
    <x v="67"/>
    <n v="2930"/>
    <n v="2930"/>
    <n v="214.05"/>
    <n v="7.3054607508532432E-2"/>
    <n v="1680"/>
    <n v="0.57337883959044367"/>
    <n v="1250"/>
    <n v="0.42662116040955633"/>
    <n v="1381.8999999999999"/>
    <n v="258.57474999999999"/>
    <n v="0.18711538461538463"/>
  </r>
  <r>
    <x v="2"/>
    <m/>
    <s v=".004"/>
    <m/>
    <s v="22.05.004"/>
    <x v="68"/>
    <n v="18000"/>
    <n v="16240"/>
    <n v="4577.076"/>
    <n v="0.28183965517241377"/>
    <n v="16240"/>
    <n v="1"/>
    <n v="0"/>
    <n v="0"/>
    <n v="18310.174999999999"/>
    <n v="3926.528534"/>
    <n v="0.21444516690856313"/>
  </r>
  <r>
    <x v="2"/>
    <m/>
    <s v=".005"/>
    <m/>
    <s v="22.05.005"/>
    <x v="69"/>
    <n v="65582"/>
    <n v="65581.751999999993"/>
    <n v="16395.437999999998"/>
    <n v="0.25"/>
    <n v="65581.751999999993"/>
    <n v="1"/>
    <n v="0"/>
    <n v="0"/>
    <n v="69713.402375999984"/>
    <n v="23237.800791999998"/>
    <n v="0.33333333333333337"/>
  </r>
  <r>
    <x v="2"/>
    <m/>
    <s v=".006"/>
    <m/>
    <s v="22.05.006"/>
    <x v="70"/>
    <n v="7155.7690000000002"/>
    <n v="7114.2860000000001"/>
    <n v="0"/>
    <n v="0"/>
    <n v="7095.7690000000002"/>
    <n v="0.99739720893987116"/>
    <n v="18.516999999999999"/>
    <n v="2.6027910601288729E-3"/>
    <n v="10630"/>
    <n v="530.41255099999989"/>
    <n v="4.9897699999999989E-2"/>
  </r>
  <r>
    <x v="2"/>
    <m/>
    <s v=".007"/>
    <m/>
    <s v="22.05.007"/>
    <x v="71"/>
    <n v="6600"/>
    <n v="7114.7629999999999"/>
    <n v="2845.902"/>
    <n v="0.3999995502309775"/>
    <n v="7114.7629999999999"/>
    <n v="1"/>
    <n v="0"/>
    <n v="0"/>
    <n v="6484.2999999999993"/>
    <n v="2040.1436159999998"/>
    <n v="0.31462819672131148"/>
  </r>
  <r>
    <x v="2"/>
    <m/>
    <s v=".008"/>
    <m/>
    <s v="22.05.008"/>
    <x v="72"/>
    <n v="38400"/>
    <n v="38400"/>
    <n v="9407.4179999999997"/>
    <n v="0.24498484374999999"/>
    <n v="37629.671999999999"/>
    <n v="0.97993937499999995"/>
    <n v="770.32799999999997"/>
    <n v="2.0060624999999999E-2"/>
    <n v="38268"/>
    <n v="12270.970108"/>
    <n v="0.32065877777777779"/>
  </r>
  <r>
    <x v="2"/>
    <s v=".06"/>
    <m/>
    <m/>
    <m/>
    <x v="73"/>
    <n v="64128.5"/>
    <n v="62915.716"/>
    <n v="27232.602999999999"/>
    <n v="0.43284261439542387"/>
    <n v="50833.946000000004"/>
    <n v="0.80796896597346213"/>
    <n v="12081.769999999997"/>
    <n v="0.19203103402653793"/>
    <n v="22062.671299999998"/>
    <n v="5653.3305769999988"/>
    <n v="0.25623962303241127"/>
  </r>
  <r>
    <x v="2"/>
    <m/>
    <s v=".001"/>
    <m/>
    <s v="22.06.001"/>
    <x v="74"/>
    <n v="26300"/>
    <n v="40002.733"/>
    <n v="19508.618999999999"/>
    <n v="0.48768215411681992"/>
    <n v="39797.629999999997"/>
    <n v="0.9948727753176263"/>
    <n v="205.10300000000001"/>
    <n v="5.1272246823735775E-3"/>
    <n v="366.84129999999999"/>
    <n v="366.84130000000005"/>
    <n v="1.0000000000000002"/>
  </r>
  <r>
    <x v="2"/>
    <m/>
    <s v=".002"/>
    <m/>
    <s v="22.06.002"/>
    <x v="75"/>
    <n v="26512.2"/>
    <n v="14894.383"/>
    <n v="5871.3260000000009"/>
    <n v="0.3941973292884976"/>
    <n v="6322.6090000000004"/>
    <n v="0.42449620101752455"/>
    <n v="8571.7739999999994"/>
    <n v="0.57550379898247539"/>
    <n v="12756"/>
    <n v="4391.3135909999992"/>
    <n v="0.34425474999999994"/>
  </r>
  <r>
    <x v="2"/>
    <m/>
    <s v=".004"/>
    <m/>
    <s v="22.06.004"/>
    <x v="76"/>
    <n v="916.3"/>
    <n v="1118.5999999999999"/>
    <n v="916.3"/>
    <n v="0.81914893617021278"/>
    <n v="916.3"/>
    <n v="0.81914893617021278"/>
    <n v="202.3"/>
    <n v="0.18085106382978725"/>
    <n v="0"/>
    <n v="0"/>
    <s v="0.00%"/>
  </r>
  <r>
    <x v="2"/>
    <m/>
    <s v=".003"/>
    <m/>
    <s v="22.06.003"/>
    <x v="77"/>
    <n v="2000"/>
    <n v="0"/>
    <n v="0"/>
    <s v="0.00%"/>
    <n v="0"/>
    <n v="0"/>
    <n v="0"/>
    <n v="0"/>
    <n v="0"/>
    <n v="0"/>
    <s v="0.00%"/>
  </r>
  <r>
    <x v="2"/>
    <m/>
    <s v=".006"/>
    <m/>
    <s v="22.06.006"/>
    <x v="78"/>
    <n v="0"/>
    <n v="0"/>
    <n v="0"/>
    <s v="0.00%"/>
    <n v="0"/>
    <n v="0"/>
    <n v="0"/>
    <n v="0"/>
    <n v="542.13"/>
    <n v="0"/>
    <n v="0"/>
  </r>
  <r>
    <x v="2"/>
    <m/>
    <s v=".007"/>
    <m/>
    <s v="22.06.007"/>
    <x v="79"/>
    <n v="8400"/>
    <n v="6900"/>
    <n v="936.35799999999995"/>
    <n v="0.13570405797101448"/>
    <n v="3797.4070000000002"/>
    <n v="0.55034884057971012"/>
    <n v="3102.5929999999998"/>
    <n v="0.44965115942028983"/>
    <n v="8397.6999999999989"/>
    <n v="895.17568599999993"/>
    <n v="0.10659772151898735"/>
  </r>
  <r>
    <x v="2"/>
    <m/>
    <s v=".999"/>
    <m/>
    <s v="22.06.999"/>
    <x v="80"/>
    <n v="0"/>
    <n v="0"/>
    <n v="0"/>
    <s v="0.00%"/>
    <n v="0"/>
    <n v="0"/>
    <n v="0"/>
    <n v="0"/>
    <n v="0"/>
    <n v="0"/>
    <s v="0.00%"/>
  </r>
  <r>
    <x v="2"/>
    <s v=".07"/>
    <m/>
    <m/>
    <m/>
    <x v="81"/>
    <n v="1912.9669999999999"/>
    <n v="8102.1930000000002"/>
    <n v="6153.6030000000001"/>
    <n v="0.75949844690196833"/>
    <n v="8102.1930000000002"/>
    <n v="1"/>
    <n v="0"/>
    <n v="0"/>
    <n v="19132.724399999999"/>
    <n v="2700.090158"/>
    <n v="0.14112418605684823"/>
  </r>
  <r>
    <x v="2"/>
    <m/>
    <s v=".001"/>
    <m/>
    <s v="22.07.001"/>
    <x v="82"/>
    <n v="1740.4159999999999"/>
    <n v="4038.5590000000002"/>
    <n v="2089.9690000000001"/>
    <n v="0.51750364424538553"/>
    <n v="4038.5590000000002"/>
    <n v="1"/>
    <n v="0"/>
    <n v="0"/>
    <n v="10630"/>
    <n v="2677.607708"/>
    <n v="0.25189159999999999"/>
  </r>
  <r>
    <x v="2"/>
    <m/>
    <s v=".002"/>
    <m/>
    <s v="22.07.002"/>
    <x v="83"/>
    <n v="172.55099999999999"/>
    <n v="4063.634"/>
    <n v="4063.634"/>
    <n v="1"/>
    <n v="4063.634"/>
    <n v="1"/>
    <n v="0"/>
    <n v="0"/>
    <n v="8502.7243999999992"/>
    <n v="22.482449999999996"/>
    <n v="2.6441466219932989E-3"/>
  </r>
  <r>
    <x v="2"/>
    <s v=".08"/>
    <m/>
    <m/>
    <m/>
    <x v="84"/>
    <n v="336456.99099999998"/>
    <n v="486161.28300000005"/>
    <n v="118582.606"/>
    <n v="0.24391618614351893"/>
    <n v="259933.04200000004"/>
    <n v="0.53466421759463723"/>
    <n v="226228.24099999998"/>
    <n v="0.46533578240536272"/>
    <n v="219848.686292"/>
    <n v="76076.525691000003"/>
    <n v="0.34604039248138246"/>
  </r>
  <r>
    <x v="2"/>
    <m/>
    <s v=".001"/>
    <m/>
    <s v="22.08.001"/>
    <x v="85"/>
    <n v="100114.352"/>
    <n v="101783.73"/>
    <n v="27073.354000000003"/>
    <n v="0.26598901415776377"/>
    <n v="83675.803"/>
    <n v="0.82209409106936837"/>
    <n v="18107.927"/>
    <n v="0.17790590893063166"/>
    <n v="90398.305557"/>
    <n v="26977.588927000001"/>
    <n v="0.29843025000053208"/>
  </r>
  <r>
    <x v="2"/>
    <m/>
    <s v=".002"/>
    <m/>
    <s v="22.08.002"/>
    <x v="86"/>
    <n v="12000"/>
    <n v="8000"/>
    <n v="0"/>
    <n v="0"/>
    <n v="0"/>
    <n v="0"/>
    <n v="8000"/>
    <n v="1"/>
    <n v="0"/>
    <n v="0"/>
    <s v="0.00%"/>
  </r>
  <r>
    <x v="2"/>
    <m/>
    <s v=".007"/>
    <m/>
    <s v="22.08.007"/>
    <x v="87"/>
    <n v="159210.45800000001"/>
    <n v="162731.35500000001"/>
    <n v="55800.557999999997"/>
    <n v="0.34289985479442481"/>
    <n v="93083.010999999999"/>
    <n v="0.5720041537170264"/>
    <n v="69648.343999999997"/>
    <n v="0.42799584628297349"/>
    <n v="58081.987280999994"/>
    <n v="24105.638243999994"/>
    <n v="0.4150277800822687"/>
  </r>
  <r>
    <x v="2"/>
    <m/>
    <s v=".008"/>
    <m/>
    <s v="22.08.008"/>
    <x v="88"/>
    <n v="56104.597000000002"/>
    <n v="67623.661999999997"/>
    <n v="17834.5"/>
    <n v="0.26373165061661408"/>
    <n v="64394.654000000002"/>
    <n v="0.95225032326702452"/>
    <n v="3229.0079999999998"/>
    <n v="4.7749676732975505E-2"/>
    <n v="57993.727454"/>
    <n v="19523.057999999997"/>
    <n v="0.33664085509050057"/>
  </r>
  <r>
    <x v="2"/>
    <m/>
    <s v=".010"/>
    <m/>
    <s v="22.08.010"/>
    <x v="89"/>
    <n v="3300"/>
    <n v="2503.154"/>
    <n v="2371.2739999999994"/>
    <n v="0.9473144680670863"/>
    <n v="2503.154"/>
    <n v="1"/>
    <n v="0"/>
    <n v="0"/>
    <n v="3507.8999999999996"/>
    <n v="2181.3185199999998"/>
    <n v="0.62183030303030307"/>
  </r>
  <r>
    <x v="2"/>
    <m/>
    <s v=".999"/>
    <m/>
    <s v="22.08.999"/>
    <x v="63"/>
    <n v="5727.5839999999998"/>
    <n v="143519.38200000001"/>
    <n v="15502.920000000002"/>
    <n v="0.10801969590420896"/>
    <n v="16276.42"/>
    <n v="0.11340921186519601"/>
    <n v="127242.962"/>
    <n v="0.88659078813480385"/>
    <n v="9866.7659999999996"/>
    <n v="3288.922"/>
    <n v="0.33333333333333337"/>
  </r>
  <r>
    <x v="2"/>
    <s v=".09"/>
    <m/>
    <m/>
    <m/>
    <x v="90"/>
    <n v="791977.56799999997"/>
    <n v="685416.50699999998"/>
    <n v="259573.29100000003"/>
    <n v="0.37870884104633917"/>
    <n v="579489.60700000008"/>
    <n v="0.84545615852814604"/>
    <n v="105926.9"/>
    <n v="0.15454384147185413"/>
    <n v="792118.85647999984"/>
    <n v="181077.28669699997"/>
    <n v="0.22859863165190536"/>
  </r>
  <r>
    <x v="2"/>
    <m/>
    <s v=".002"/>
    <m/>
    <s v="22.09.002"/>
    <x v="91"/>
    <n v="656797.56799999997"/>
    <n v="563390.77300000004"/>
    <n v="231184.46000000002"/>
    <n v="0.41034477502882355"/>
    <n v="497403.35700000002"/>
    <n v="0.88287451771951542"/>
    <n v="65987.415999999997"/>
    <n v="0.11712548228048454"/>
    <n v="630631.4394589999"/>
    <n v="153958.84708099999"/>
    <n v="0.24413443010877595"/>
  </r>
  <r>
    <x v="2"/>
    <m/>
    <s v=".005"/>
    <m/>
    <s v="22.09.005"/>
    <x v="92"/>
    <n v="37080"/>
    <n v="37080"/>
    <n v="5355.1629999999996"/>
    <n v="0.14442187162891046"/>
    <n v="29880"/>
    <n v="0.80582524271844658"/>
    <n v="7200"/>
    <n v="0.1941747572815534"/>
    <n v="47214.917021000001"/>
    <n v="8049.5494289999997"/>
    <n v="0.17048742085938146"/>
  </r>
  <r>
    <x v="2"/>
    <m/>
    <s v=".006"/>
    <m/>
    <s v="22.09.006"/>
    <x v="93"/>
    <n v="85600"/>
    <n v="60439.483999999997"/>
    <n v="19909.917999999998"/>
    <n v="0.32941905989799647"/>
    <n v="47000"/>
    <n v="0.7776373471355249"/>
    <n v="13439.484"/>
    <n v="0.22236265286447518"/>
    <n v="100985"/>
    <n v="15748.343936999998"/>
    <n v="0.15594735789473682"/>
  </r>
  <r>
    <x v="2"/>
    <m/>
    <s v=".999"/>
    <m/>
    <s v="22.09.999"/>
    <x v="63"/>
    <n v="12500"/>
    <n v="24506.25"/>
    <n v="3123.75"/>
    <n v="0.12746748278500383"/>
    <n v="5206.25"/>
    <n v="0.21244580464167304"/>
    <n v="19300"/>
    <n v="0.78755419535832694"/>
    <n v="13287.5"/>
    <n v="3320.5462499999994"/>
    <n v="0.24989999999999996"/>
  </r>
  <r>
    <x v="2"/>
    <s v=".10"/>
    <m/>
    <m/>
    <m/>
    <x v="94"/>
    <n v="37000"/>
    <n v="33915.277000000002"/>
    <n v="140.74199999999999"/>
    <n v="4.1498113077478322E-3"/>
    <n v="140.74199999999999"/>
    <n v="4.1498113077478322E-3"/>
    <n v="33774.535000000003"/>
    <n v="0.99585018869225217"/>
    <n v="10093.291299999999"/>
    <n v="122.35129999999998"/>
    <n v="1.212204189529336E-2"/>
  </r>
  <r>
    <x v="2"/>
    <m/>
    <s v=".002"/>
    <m/>
    <s v="22.10.002"/>
    <x v="95"/>
    <n v="37000"/>
    <n v="33915.277000000002"/>
    <n v="140.74199999999999"/>
    <n v="4.1498113077478322E-3"/>
    <n v="140.74199999999999"/>
    <n v="4.1498113077478322E-3"/>
    <n v="33774.535000000003"/>
    <n v="0.99585018869225217"/>
    <n v="10093.291299999999"/>
    <n v="122.35129999999998"/>
    <n v="1.212204189529336E-2"/>
  </r>
  <r>
    <x v="2"/>
    <m/>
    <s v=".004"/>
    <m/>
    <s v="22.10.004"/>
    <x v="96"/>
    <n v="0"/>
    <n v="0"/>
    <n v="0"/>
    <s v="0.00%"/>
    <n v="0"/>
    <n v="0"/>
    <n v="0"/>
    <n v="0"/>
    <n v="0"/>
    <n v="0"/>
    <s v="0.00%"/>
  </r>
  <r>
    <x v="2"/>
    <s v=".11"/>
    <m/>
    <m/>
    <m/>
    <x v="97"/>
    <n v="882367.00200000009"/>
    <n v="1193280.416"/>
    <n v="140648.43300000002"/>
    <n v="0.11786704207504568"/>
    <n v="835453.97100000002"/>
    <n v="0.70013213977023825"/>
    <n v="357826.44500000001"/>
    <n v="0.29986786022976181"/>
    <n v="976693.43549999991"/>
    <n v="159779.430078"/>
    <n v="0.16359220229242549"/>
  </r>
  <r>
    <x v="2"/>
    <m/>
    <s v=".001"/>
    <m/>
    <s v="22.11.001"/>
    <x v="98"/>
    <n v="24323.001"/>
    <n v="447835.97100000002"/>
    <n v="68698"/>
    <n v="0.15339991525602573"/>
    <n v="219420.69399999999"/>
    <n v="0.4899577260621612"/>
    <n v="228415.277"/>
    <n v="0.51004227393783874"/>
    <n v="57960.074999999997"/>
    <n v="57960.074999999997"/>
    <n v="1"/>
  </r>
  <r>
    <x v="2"/>
    <m/>
    <s v=".002"/>
    <m/>
    <s v="22.11.002"/>
    <x v="99"/>
    <n v="52663"/>
    <n v="52663"/>
    <n v="0"/>
    <n v="0"/>
    <n v="9224.9069999999992"/>
    <n v="0.17516865731158496"/>
    <n v="43438.093000000001"/>
    <n v="0.82483134268841507"/>
    <n v="58514.960999999996"/>
    <n v="6696.9"/>
    <n v="0.11444765382309663"/>
  </r>
  <r>
    <x v="2"/>
    <m/>
    <s v=".003"/>
    <m/>
    <s v="22.11.003"/>
    <x v="100"/>
    <n v="799881.00100000005"/>
    <n v="687281.44499999995"/>
    <n v="71950.433000000005"/>
    <n v="0.10468845554240157"/>
    <n v="606808.37"/>
    <n v="0.88291103217547218"/>
    <n v="80473.074999999997"/>
    <n v="0.11708896782452785"/>
    <n v="854903.39949999994"/>
    <n v="95122.455077999999"/>
    <n v="0.11126690469780967"/>
  </r>
  <r>
    <x v="2"/>
    <m/>
    <s v=".999"/>
    <m/>
    <s v="22.11.999"/>
    <x v="63"/>
    <n v="5500"/>
    <n v="5500"/>
    <n v="0"/>
    <n v="0"/>
    <n v="0"/>
    <n v="0"/>
    <n v="5500"/>
    <n v="1"/>
    <n v="5315"/>
    <n v="0"/>
    <n v="0"/>
  </r>
  <r>
    <x v="2"/>
    <s v=".12"/>
    <m/>
    <m/>
    <m/>
    <x v="101"/>
    <n v="991.01299999999992"/>
    <n v="8549.5550000000003"/>
    <n v="8027.7449999999999"/>
    <n v="0.93896641404143255"/>
    <n v="8066.7449999999999"/>
    <n v="0.94352805496894276"/>
    <n v="482.81"/>
    <n v="5.6471945031057173E-2"/>
    <n v="4061.7899689999999"/>
    <n v="2310.8546369999999"/>
    <n v="0.56892519175946588"/>
  </r>
  <r>
    <x v="2"/>
    <m/>
    <s v=".002"/>
    <m/>
    <s v="22.12.002"/>
    <x v="102"/>
    <n v="991.01099999999997"/>
    <n v="2974.107"/>
    <n v="2494.2449999999999"/>
    <n v="0.83865341764771739"/>
    <n v="2533.2449999999999"/>
    <n v="0.85176659750304884"/>
    <n v="440.86200000000002"/>
    <n v="0.14823340249695119"/>
    <n v="3791.6402119999998"/>
    <n v="2051.3348799999999"/>
    <n v="0.54101517161565538"/>
  </r>
  <r>
    <x v="2"/>
    <m/>
    <s v=".003"/>
    <m/>
    <s v="22.12.003"/>
    <x v="103"/>
    <n v="1E-3"/>
    <n v="5533.5"/>
    <n v="5533.5"/>
    <n v="1"/>
    <n v="5533.5"/>
    <n v="1"/>
    <n v="0"/>
    <n v="0"/>
    <n v="0"/>
    <n v="0"/>
    <s v="0.00%"/>
  </r>
  <r>
    <x v="2"/>
    <m/>
    <s v=".999"/>
    <m/>
    <s v="22.12.999"/>
    <x v="80"/>
    <n v="1E-3"/>
    <n v="41.948"/>
    <n v="0"/>
    <n v="0"/>
    <n v="0"/>
    <n v="0"/>
    <n v="41.948"/>
    <n v="1"/>
    <n v="270.14975700000002"/>
    <n v="259.51975700000003"/>
    <n v="0.96065145451898371"/>
  </r>
  <r>
    <x v="4"/>
    <m/>
    <m/>
    <m/>
    <m/>
    <x v="104"/>
    <n v="10"/>
    <n v="10"/>
    <n v="0"/>
    <n v="0"/>
    <n v="0"/>
    <n v="0"/>
    <n v="10"/>
    <n v="1"/>
    <n v="4634.6799999999994"/>
    <n v="4634.6799999999994"/>
    <n v="1"/>
  </r>
  <r>
    <x v="2"/>
    <s v="03."/>
    <m/>
    <m/>
    <s v="23.03"/>
    <x v="105"/>
    <n v="10"/>
    <n v="10"/>
    <n v="0"/>
    <n v="0"/>
    <n v="0"/>
    <n v="0"/>
    <n v="10"/>
    <n v="1"/>
    <n v="4634.6799999999994"/>
    <n v="4634.6799999999994"/>
    <n v="1"/>
  </r>
  <r>
    <x v="2"/>
    <m/>
    <s v=".003"/>
    <m/>
    <s v="23.03.003"/>
    <x v="106"/>
    <n v="10"/>
    <n v="10"/>
    <n v="0"/>
    <n v="0"/>
    <n v="0"/>
    <n v="0"/>
    <n v="10"/>
    <n v="1"/>
    <n v="4634.6799999999994"/>
    <n v="4634.6799999999994"/>
    <n v="1"/>
  </r>
  <r>
    <x v="5"/>
    <s v="  "/>
    <m/>
    <m/>
    <m/>
    <x v="107"/>
    <n v="85436322"/>
    <n v="85436322"/>
    <n v="76302303.077000007"/>
    <n v="0.89308974556512399"/>
    <n v="77157408.140000001"/>
    <n v="0.90309842855828926"/>
    <n v="8278913.8599999957"/>
    <n v="9.690157144171066E-2"/>
    <n v="85170182.420999989"/>
    <n v="76019352.333796009"/>
    <n v="0.89255828944957494"/>
  </r>
  <r>
    <x v="6"/>
    <s v=".01"/>
    <m/>
    <m/>
    <m/>
    <x v="108"/>
    <n v="0"/>
    <n v="0"/>
    <n v="0"/>
    <s v="0.00%"/>
    <n v="0"/>
    <n v="0"/>
    <n v="0"/>
    <n v="0"/>
    <n v="0"/>
    <n v="0"/>
    <s v="0.00%"/>
  </r>
  <r>
    <x v="2"/>
    <m/>
    <m/>
    <m/>
    <s v="24.01.100"/>
    <x v="109"/>
    <n v="0"/>
    <n v="0"/>
    <n v="0"/>
    <s v="0.00%"/>
    <n v="0"/>
    <n v="0"/>
    <n v="0"/>
    <n v="0"/>
    <n v="0"/>
    <n v="0"/>
    <s v="0.00%"/>
  </r>
  <r>
    <x v="2"/>
    <m/>
    <m/>
    <m/>
    <s v="24.01.101"/>
    <x v="110"/>
    <n v="0"/>
    <n v="0"/>
    <n v="0"/>
    <s v="0.00%"/>
    <n v="0"/>
    <n v="0"/>
    <n v="0"/>
    <n v="0"/>
    <n v="0"/>
    <n v="0"/>
    <s v="0.00%"/>
  </r>
  <r>
    <x v="2"/>
    <m/>
    <m/>
    <m/>
    <s v="24.01.102"/>
    <x v="111"/>
    <n v="0"/>
    <n v="0"/>
    <n v="0"/>
    <s v="0.00%"/>
    <n v="0"/>
    <n v="0"/>
    <n v="0"/>
    <n v="0"/>
    <n v="0"/>
    <n v="0"/>
    <s v="0.00%"/>
  </r>
  <r>
    <x v="2"/>
    <m/>
    <m/>
    <m/>
    <s v="24.01.103"/>
    <x v="112"/>
    <n v="0"/>
    <n v="0"/>
    <n v="0"/>
    <s v="0.00%"/>
    <n v="0"/>
    <n v="0"/>
    <n v="0"/>
    <n v="0"/>
    <n v="0"/>
    <n v="0"/>
    <s v="0.00%"/>
  </r>
  <r>
    <x v="2"/>
    <m/>
    <m/>
    <m/>
    <s v="24.01.104"/>
    <x v="113"/>
    <n v="0"/>
    <n v="0"/>
    <n v="0"/>
    <s v="0.00%"/>
    <n v="0"/>
    <n v="0"/>
    <n v="0"/>
    <n v="0"/>
    <n v="0"/>
    <n v="0"/>
    <s v="0.00%"/>
  </r>
  <r>
    <x v="2"/>
    <m/>
    <m/>
    <m/>
    <s v="24.01.105"/>
    <x v="114"/>
    <n v="0"/>
    <n v="0"/>
    <n v="0"/>
    <s v="0.00%"/>
    <n v="0"/>
    <n v="0"/>
    <n v="0"/>
    <n v="0"/>
    <n v="0"/>
    <n v="0"/>
    <s v="0.00%"/>
  </r>
  <r>
    <x v="6"/>
    <s v=".02"/>
    <m/>
    <m/>
    <m/>
    <x v="115"/>
    <n v="192906"/>
    <n v="192906"/>
    <n v="192906"/>
    <n v="1"/>
    <n v="192906"/>
    <n v="1"/>
    <n v="0"/>
    <n v="0"/>
    <n v="0"/>
    <n v="0"/>
    <s v="0.00%"/>
  </r>
  <r>
    <x v="2"/>
    <m/>
    <m/>
    <m/>
    <s v="24.02.004"/>
    <x v="116"/>
    <n v="0"/>
    <n v="0"/>
    <n v="0"/>
    <s v="0.00%"/>
    <n v="0"/>
    <n v="0"/>
    <n v="0"/>
    <n v="0"/>
    <n v="0"/>
    <n v="0"/>
    <s v="0.00%"/>
  </r>
  <r>
    <x v="2"/>
    <m/>
    <m/>
    <m/>
    <s v="24.02.006"/>
    <x v="117"/>
    <n v="0"/>
    <n v="0"/>
    <n v="0"/>
    <s v="0.00%"/>
    <n v="0"/>
    <n v="0"/>
    <n v="0"/>
    <n v="0"/>
    <n v="0"/>
    <n v="0"/>
    <s v="0.00%"/>
  </r>
  <r>
    <x v="2"/>
    <m/>
    <m/>
    <m/>
    <s v="24.02.007"/>
    <x v="118"/>
    <n v="0"/>
    <n v="0"/>
    <n v="0"/>
    <s v="0.00%"/>
    <n v="0"/>
    <n v="0"/>
    <n v="0"/>
    <n v="0"/>
    <n v="0"/>
    <n v="0"/>
    <s v="0.00%"/>
  </r>
  <r>
    <x v="2"/>
    <m/>
    <m/>
    <m/>
    <s v="24.02.101"/>
    <x v="119"/>
    <n v="0"/>
    <n v="0"/>
    <n v="0"/>
    <s v="0.00%"/>
    <n v="0"/>
    <n v="0"/>
    <n v="0"/>
    <n v="0"/>
    <n v="0"/>
    <n v="0"/>
    <s v="0.00%"/>
  </r>
  <r>
    <x v="2"/>
    <m/>
    <m/>
    <m/>
    <s v="24.02.102"/>
    <x v="120"/>
    <n v="0"/>
    <n v="0"/>
    <n v="0"/>
    <s v="0.00%"/>
    <n v="0"/>
    <n v="0"/>
    <n v="0"/>
    <n v="0"/>
    <n v="0"/>
    <n v="0"/>
    <s v="0.00%"/>
  </r>
  <r>
    <x v="2"/>
    <m/>
    <m/>
    <m/>
    <s v="24.02.103"/>
    <x v="121"/>
    <n v="0"/>
    <n v="0"/>
    <n v="0"/>
    <s v="0.00%"/>
    <n v="0"/>
    <n v="0"/>
    <n v="0"/>
    <n v="0"/>
    <n v="0"/>
    <n v="0"/>
    <s v="0.00%"/>
  </r>
  <r>
    <x v="2"/>
    <m/>
    <m/>
    <m/>
    <s v="24.02.104"/>
    <x v="122"/>
    <n v="0"/>
    <n v="0"/>
    <n v="0"/>
    <s v="0.00%"/>
    <n v="0"/>
    <n v="0"/>
    <n v="0"/>
    <n v="0"/>
    <n v="0"/>
    <n v="0"/>
    <s v="0.00%"/>
  </r>
  <r>
    <x v="2"/>
    <m/>
    <m/>
    <m/>
    <s v="24.02.105"/>
    <x v="123"/>
    <n v="0"/>
    <n v="0"/>
    <n v="0"/>
    <s v="0.00%"/>
    <n v="0"/>
    <n v="0"/>
    <n v="0"/>
    <n v="0"/>
    <n v="0"/>
    <n v="0"/>
    <s v="0.00%"/>
  </r>
  <r>
    <x v="2"/>
    <m/>
    <m/>
    <m/>
    <s v="24.02.106"/>
    <x v="124"/>
    <n v="0"/>
    <n v="0"/>
    <n v="0"/>
    <s v="0.00%"/>
    <n v="0"/>
    <n v="0"/>
    <n v="0"/>
    <n v="0"/>
    <n v="0"/>
    <n v="0"/>
    <s v="0.00%"/>
  </r>
  <r>
    <x v="2"/>
    <m/>
    <m/>
    <m/>
    <s v="24.02.107"/>
    <x v="125"/>
    <n v="0"/>
    <n v="0"/>
    <n v="0"/>
    <s v="0.00%"/>
    <n v="0"/>
    <n v="0"/>
    <n v="0"/>
    <n v="0"/>
    <n v="0"/>
    <n v="0"/>
    <s v="0.00%"/>
  </r>
  <r>
    <x v="2"/>
    <m/>
    <m/>
    <m/>
    <s v="24.02.108"/>
    <x v="126"/>
    <n v="0"/>
    <n v="0"/>
    <n v="0"/>
    <s v="0.00%"/>
    <n v="0"/>
    <n v="0"/>
    <n v="0"/>
    <n v="0"/>
    <n v="0"/>
    <n v="0"/>
    <s v="0.00%"/>
  </r>
  <r>
    <x v="2"/>
    <m/>
    <m/>
    <m/>
    <s v="24.02.109"/>
    <x v="127"/>
    <n v="0"/>
    <n v="0"/>
    <n v="0"/>
    <s v="0.00%"/>
    <n v="0"/>
    <n v="0"/>
    <n v="0"/>
    <n v="0"/>
    <n v="0"/>
    <n v="0"/>
    <s v="0.00%"/>
  </r>
  <r>
    <x v="2"/>
    <m/>
    <m/>
    <m/>
    <s v="24.02.110"/>
    <x v="128"/>
    <n v="0"/>
    <n v="0"/>
    <n v="0"/>
    <s v="0.00%"/>
    <n v="0"/>
    <n v="0"/>
    <n v="0"/>
    <n v="0"/>
    <n v="0"/>
    <n v="0"/>
    <s v="0.00%"/>
  </r>
  <r>
    <x v="2"/>
    <m/>
    <m/>
    <m/>
    <s v="24.02.111"/>
    <x v="129"/>
    <n v="0"/>
    <n v="0"/>
    <n v="0"/>
    <s v="0.00%"/>
    <n v="0"/>
    <n v="0"/>
    <n v="0"/>
    <n v="0"/>
    <n v="0"/>
    <n v="0"/>
    <s v="0.00%"/>
  </r>
  <r>
    <x v="2"/>
    <m/>
    <m/>
    <m/>
    <s v="24.02.112"/>
    <x v="130"/>
    <n v="0"/>
    <n v="0"/>
    <n v="0"/>
    <s v="0.00%"/>
    <n v="0"/>
    <n v="0"/>
    <n v="0"/>
    <n v="0"/>
    <n v="0"/>
    <n v="0"/>
    <s v="0.00%"/>
  </r>
  <r>
    <x v="2"/>
    <m/>
    <m/>
    <m/>
    <s v="24.02.113"/>
    <x v="131"/>
    <n v="0"/>
    <n v="0"/>
    <n v="0"/>
    <s v="0.00%"/>
    <n v="0"/>
    <n v="0"/>
    <n v="0"/>
    <n v="0"/>
    <n v="0"/>
    <n v="0"/>
    <s v="0.00%"/>
  </r>
  <r>
    <x v="2"/>
    <m/>
    <m/>
    <m/>
    <s v="24.02.114"/>
    <x v="132"/>
    <n v="0"/>
    <n v="0"/>
    <n v="0"/>
    <s v="0.00%"/>
    <n v="0"/>
    <n v="0"/>
    <n v="0"/>
    <n v="0"/>
    <n v="0"/>
    <n v="0"/>
    <s v="0.00%"/>
  </r>
  <r>
    <x v="2"/>
    <m/>
    <m/>
    <m/>
    <s v="24.02.115"/>
    <x v="133"/>
    <n v="0"/>
    <n v="0"/>
    <n v="0"/>
    <s v="0.00%"/>
    <n v="0"/>
    <n v="0"/>
    <n v="0"/>
    <n v="0"/>
    <n v="0"/>
    <n v="0"/>
    <s v="0.00%"/>
  </r>
  <r>
    <x v="2"/>
    <m/>
    <m/>
    <m/>
    <s v="24.02.116"/>
    <x v="134"/>
    <n v="0"/>
    <n v="0"/>
    <n v="0"/>
    <s v="0.00%"/>
    <n v="0"/>
    <n v="0"/>
    <n v="0"/>
    <n v="0"/>
    <n v="0"/>
    <n v="0"/>
    <s v="0.00%"/>
  </r>
  <r>
    <x v="2"/>
    <m/>
    <m/>
    <m/>
    <s v="24.02.500"/>
    <x v="135"/>
    <n v="192906"/>
    <n v="192906"/>
    <n v="192906"/>
    <n v="1"/>
    <n v="192906"/>
    <n v="1"/>
    <n v="0"/>
    <n v="0"/>
    <n v="0"/>
    <n v="0"/>
    <s v="0.00%"/>
  </r>
  <r>
    <x v="2"/>
    <m/>
    <m/>
    <m/>
    <s v="24.02.914"/>
    <x v="136"/>
    <n v="0"/>
    <n v="0"/>
    <n v="0"/>
    <s v="0.00%"/>
    <n v="0"/>
    <n v="0"/>
    <n v="0"/>
    <n v="0"/>
    <n v="0"/>
    <n v="0"/>
    <s v="0.00%"/>
  </r>
  <r>
    <x v="6"/>
    <s v=".03"/>
    <m/>
    <m/>
    <m/>
    <x v="137"/>
    <n v="85243416"/>
    <n v="85243416"/>
    <n v="76109397.077000007"/>
    <n v="0.89284780747172321"/>
    <n v="76964502.140000001"/>
    <n v="0.90287914013206605"/>
    <n v="8278913.8599999957"/>
    <n v="9.7120859867933909E-2"/>
    <n v="85170182.420999989"/>
    <n v="76019352.333796009"/>
    <n v="0.89255828944957494"/>
  </r>
  <r>
    <x v="2"/>
    <m/>
    <s v=".024"/>
    <m/>
    <s v="24.03.024"/>
    <x v="138"/>
    <n v="10"/>
    <n v="10"/>
    <n v="0"/>
    <n v="0"/>
    <n v="0"/>
    <n v="0"/>
    <n v="10"/>
    <n v="1"/>
    <n v="10.629999999999999"/>
    <n v="0"/>
    <n v="0"/>
  </r>
  <r>
    <x v="2"/>
    <m/>
    <s v=".026"/>
    <m/>
    <s v="24.03.026"/>
    <x v="139"/>
    <n v="1534002"/>
    <n v="1534002"/>
    <n v="12018"/>
    <n v="7.8344096031165537E-3"/>
    <n v="53041.03"/>
    <n v="3.4576897552936699E-2"/>
    <n v="1480960.97"/>
    <n v="0.96542310244706331"/>
    <n v="1385181.4809999999"/>
    <n v="93225.1"/>
    <n v="6.7301722755272686E-2"/>
  </r>
  <r>
    <x v="2"/>
    <m/>
    <s v=".027"/>
    <m/>
    <s v="24.03.027"/>
    <x v="140"/>
    <n v="0"/>
    <n v="0"/>
    <n v="0"/>
    <s v="0.00%"/>
    <n v="0"/>
    <n v="0"/>
    <n v="0"/>
    <n v="0"/>
    <n v="0"/>
    <n v="0"/>
    <s v="0.00%"/>
  </r>
  <r>
    <x v="2"/>
    <m/>
    <s v=".033"/>
    <m/>
    <s v="24.03.033"/>
    <x v="141"/>
    <n v="2696418"/>
    <n v="2696418"/>
    <n v="153058.33199999999"/>
    <n v="5.6763577457204333E-2"/>
    <n v="634765.96799999999"/>
    <n v="0.23541081835234745"/>
    <n v="2061652.0320000001"/>
    <n v="0.76458918164765255"/>
    <n v="2773855.9799999995"/>
    <n v="264732.20513800002"/>
    <n v="9.5438338200240683E-2"/>
  </r>
  <r>
    <x v="2"/>
    <m/>
    <s v=".034"/>
    <m/>
    <s v="24.03.034"/>
    <x v="142"/>
    <n v="58398"/>
    <n v="58398"/>
    <n v="25302"/>
    <n v="0.43326826261173329"/>
    <n v="42867.5"/>
    <n v="0.73405767320798654"/>
    <n v="15530.5"/>
    <n v="0.26594232679201341"/>
    <n v="96186.618000000002"/>
    <n v="15413.5"/>
    <n v="0.16024578387816898"/>
  </r>
  <r>
    <x v="2"/>
    <m/>
    <s v=".015"/>
    <m/>
    <s v="24.03.015"/>
    <x v="114"/>
    <n v="0"/>
    <n v="0"/>
    <n v="0"/>
    <s v="0.00%"/>
    <n v="0"/>
    <n v="0"/>
    <n v="0"/>
    <n v="0"/>
    <n v="0"/>
    <n v="0"/>
    <s v="0.00%"/>
  </r>
  <r>
    <x v="2"/>
    <m/>
    <s v=".403"/>
    <m/>
    <s v="24.03.403"/>
    <x v="143"/>
    <n v="74875016"/>
    <n v="74875016"/>
    <n v="74875005.333000004"/>
    <n v="0.99999985753592369"/>
    <n v="74875005.333000004"/>
    <n v="0.99999985753592369"/>
    <n v="10.666999995708466"/>
    <n v="1.4246407634435051E-7"/>
    <n v="74875015.728"/>
    <n v="74379258.572562993"/>
    <n v="0.99337887076728026"/>
  </r>
  <r>
    <x v="6"/>
    <m/>
    <s v=".406"/>
    <m/>
    <s v="24.03.406"/>
    <x v="144"/>
    <n v="3810757"/>
    <n v="3810757"/>
    <n v="781461.47499999986"/>
    <n v="0.20506725435392492"/>
    <n v="943226.21299999999"/>
    <n v="0.24751675664441475"/>
    <n v="2867530.787"/>
    <n v="0.75248324335558525"/>
    <n v="3043071.3600000003"/>
    <n v="536763.55717799999"/>
    <n v="0.17638875125754525"/>
  </r>
  <r>
    <x v="6"/>
    <m/>
    <s v=".409"/>
    <m/>
    <s v="24.03.409"/>
    <x v="145"/>
    <n v="136421"/>
    <n v="136421"/>
    <n v="27571.937000000002"/>
    <n v="0.20210918406990128"/>
    <n v="68812.995999999999"/>
    <n v="0.50441644614832026"/>
    <n v="67608.004000000001"/>
    <n v="0.49558355385167974"/>
    <n v="221616.36599999998"/>
    <n v="58377.258916999999"/>
    <n v="0.26341582966395183"/>
  </r>
  <r>
    <x v="2"/>
    <m/>
    <s v=".410"/>
    <m/>
    <s v="24.03.410"/>
    <x v="146"/>
    <n v="0"/>
    <m/>
    <m/>
    <s v="0.00%"/>
    <m/>
    <n v="0"/>
    <m/>
    <n v="0"/>
    <n v="0"/>
    <n v="0"/>
    <s v="0.00%"/>
  </r>
  <r>
    <x v="6"/>
    <m/>
    <s v=".415"/>
    <m/>
    <s v="24.03.415"/>
    <x v="147"/>
    <n v="0"/>
    <n v="0"/>
    <n v="0"/>
    <s v="0.00%"/>
    <n v="0"/>
    <n v="0"/>
    <n v="0"/>
    <n v="0"/>
    <n v="48246.380999999994"/>
    <n v="44943.64"/>
    <n v="0.93154427479234148"/>
  </r>
  <r>
    <x v="6"/>
    <m/>
    <s v=".500"/>
    <m/>
    <s v="24.03.500"/>
    <x v="148"/>
    <n v="0"/>
    <n v="0"/>
    <n v="0"/>
    <s v="0.00%"/>
    <n v="0"/>
    <n v="0"/>
    <n v="0"/>
    <n v="0"/>
    <n v="192905.799"/>
    <n v="0"/>
    <n v="0"/>
  </r>
  <r>
    <x v="6"/>
    <m/>
    <s v=".602"/>
    <m/>
    <s v="24.03.602"/>
    <x v="149"/>
    <n v="2132394"/>
    <n v="2132394"/>
    <n v="234980"/>
    <n v="0.11019539541004149"/>
    <n v="346783.1"/>
    <n v="0.16262618446684804"/>
    <n v="1785610.9"/>
    <n v="0.83737381553315193"/>
    <n v="2534092.0779999997"/>
    <n v="626638.5"/>
    <n v="0.24728324019487349"/>
  </r>
  <r>
    <x v="6"/>
    <s v=".07"/>
    <m/>
    <m/>
    <m/>
    <x v="150"/>
    <n v="0"/>
    <n v="0"/>
    <n v="0"/>
    <s v="0.00%"/>
    <n v="0"/>
    <n v="0"/>
    <n v="0"/>
    <n v="0"/>
    <n v="0"/>
    <n v="0"/>
    <s v="0.00%"/>
  </r>
  <r>
    <x v="2"/>
    <m/>
    <m/>
    <m/>
    <s v="24.07.002"/>
    <x v="151"/>
    <n v="0"/>
    <n v="0"/>
    <n v="0"/>
    <s v="0.00%"/>
    <n v="0"/>
    <n v="0"/>
    <n v="0"/>
    <n v="0"/>
    <n v="0"/>
    <n v="0"/>
    <s v="0.00%"/>
  </r>
  <r>
    <x v="2"/>
    <m/>
    <m/>
    <m/>
    <s v="24.07.003"/>
    <x v="152"/>
    <n v="0"/>
    <n v="0"/>
    <n v="0"/>
    <s v="0.00%"/>
    <n v="0"/>
    <n v="0"/>
    <n v="0"/>
    <n v="0"/>
    <n v="0"/>
    <n v="0"/>
    <s v="0.00%"/>
  </r>
  <r>
    <x v="2"/>
    <m/>
    <m/>
    <m/>
    <s v="24.07.006"/>
    <x v="153"/>
    <n v="0"/>
    <n v="0"/>
    <n v="0"/>
    <s v="0.00%"/>
    <n v="0"/>
    <n v="0"/>
    <n v="0"/>
    <n v="0"/>
    <n v="0"/>
    <n v="0"/>
    <s v="0.00%"/>
  </r>
  <r>
    <x v="2"/>
    <m/>
    <m/>
    <m/>
    <s v="24.07.007"/>
    <x v="154"/>
    <n v="0"/>
    <n v="0"/>
    <n v="0"/>
    <s v="0.00%"/>
    <n v="0"/>
    <n v="0"/>
    <n v="0"/>
    <n v="0"/>
    <n v="0"/>
    <n v="0"/>
    <s v="0.00%"/>
  </r>
  <r>
    <x v="2"/>
    <m/>
    <m/>
    <m/>
    <s v="24.07.008 "/>
    <x v="155"/>
    <n v="0"/>
    <n v="0"/>
    <n v="0"/>
    <s v="0.00%"/>
    <n v="0"/>
    <n v="0"/>
    <n v="0"/>
    <n v="0"/>
    <n v="0"/>
    <n v="0"/>
    <s v="0.00%"/>
  </r>
  <r>
    <x v="7"/>
    <m/>
    <m/>
    <m/>
    <m/>
    <x v="156"/>
    <n v="165399"/>
    <n v="165399"/>
    <n v="73747.995999999999"/>
    <n v="0.44587933421604725"/>
    <n v="73747.995999999999"/>
    <n v="0.44587933421604725"/>
    <n v="91651.004000000001"/>
    <n v="0.5541206657839528"/>
    <n v="165399.611"/>
    <n v="0"/>
    <n v="0"/>
  </r>
  <r>
    <x v="2"/>
    <n v="99"/>
    <m/>
    <m/>
    <m/>
    <x v="157"/>
    <n v="165399"/>
    <n v="165399"/>
    <n v="73747.995999999999"/>
    <n v="0.44587933421604725"/>
    <n v="73747.995999999999"/>
    <n v="0.44587933421604725"/>
    <n v="91651.004000000001"/>
    <n v="0.5541206657839528"/>
    <n v="165399.611"/>
    <n v="0"/>
    <n v="0"/>
  </r>
  <r>
    <x v="8"/>
    <m/>
    <m/>
    <m/>
    <m/>
    <x v="158"/>
    <n v="0"/>
    <n v="0"/>
    <n v="0"/>
    <s v="0.00%"/>
    <n v="0"/>
    <n v="0"/>
    <n v="0"/>
    <n v="0"/>
    <n v="0"/>
    <n v="0"/>
    <s v="0.00%"/>
  </r>
  <r>
    <x v="2"/>
    <n v="1"/>
    <m/>
    <m/>
    <s v="26.01"/>
    <x v="159"/>
    <n v="0"/>
    <m/>
    <m/>
    <s v="0.00%"/>
    <m/>
    <n v="0"/>
    <m/>
    <n v="0"/>
    <n v="0"/>
    <n v="0"/>
    <s v="0.00%"/>
  </r>
  <r>
    <x v="9"/>
    <s v="  "/>
    <m/>
    <m/>
    <m/>
    <x v="160"/>
    <n v="332151"/>
    <n v="332151"/>
    <n v="4140"/>
    <n v="1.246421055483801E-2"/>
    <n v="13497"/>
    <n v="4.06351328160987E-2"/>
    <n v="318654"/>
    <n v="0.95936486718390135"/>
    <n v="178095.02"/>
    <n v="685.63499999999999"/>
    <n v="3.849826907007282E-3"/>
  </r>
  <r>
    <x v="2"/>
    <n v="3"/>
    <m/>
    <m/>
    <s v="29.03"/>
    <x v="161"/>
    <n v="82914"/>
    <n v="82914"/>
    <n v="0"/>
    <n v="0"/>
    <n v="0"/>
    <n v="0"/>
    <n v="82914"/>
    <n v="1"/>
    <n v="0"/>
    <n v="0"/>
    <s v="0.00%"/>
  </r>
  <r>
    <x v="2"/>
    <n v="4"/>
    <m/>
    <m/>
    <m/>
    <x v="162"/>
    <n v="16508"/>
    <n v="16508"/>
    <n v="0"/>
    <n v="0"/>
    <n v="0"/>
    <n v="0"/>
    <n v="16508"/>
    <n v="0"/>
    <n v="0"/>
    <n v="0"/>
    <n v="0"/>
  </r>
  <r>
    <x v="2"/>
    <s v="06    "/>
    <m/>
    <m/>
    <s v="29.06"/>
    <x v="163"/>
    <n v="0"/>
    <n v="0"/>
    <n v="0"/>
    <s v="0.00%"/>
    <n v="0"/>
    <n v="0"/>
    <n v="0"/>
    <n v="0"/>
    <n v="8982.35"/>
    <n v="0"/>
    <n v="0"/>
  </r>
  <r>
    <x v="6"/>
    <s v="07    "/>
    <m/>
    <m/>
    <s v="29.07"/>
    <x v="164"/>
    <n v="232729"/>
    <n v="232729"/>
    <n v="4140"/>
    <n v="1.7788930472781649E-2"/>
    <n v="13497"/>
    <n v="5.7994491447133791E-2"/>
    <n v="219232"/>
    <n v="0.94200550855286624"/>
    <n v="169112.66999999998"/>
    <n v="685.63499999999999"/>
    <n v="4.054308881765039E-3"/>
  </r>
  <r>
    <x v="10"/>
    <m/>
    <m/>
    <m/>
    <m/>
    <x v="165"/>
    <n v="0"/>
    <n v="0"/>
    <n v="0"/>
    <s v="0.00%"/>
    <n v="0"/>
    <n v="0"/>
    <n v="0"/>
    <n v="0"/>
    <n v="0"/>
    <n v="0"/>
    <s v="0.00%"/>
  </r>
  <r>
    <x v="11"/>
    <s v="  "/>
    <m/>
    <m/>
    <m/>
    <x v="166"/>
    <n v="5667935"/>
    <n v="5667935"/>
    <n v="322320.96100000001"/>
    <n v="5.6867441316811151E-2"/>
    <n v="322320.96100000001"/>
    <n v="5.6867441316811151E-2"/>
    <n v="5345614.0389999999"/>
    <n v="0.94313255868318879"/>
    <n v="9728520.7239999995"/>
    <n v="0"/>
    <n v="0"/>
  </r>
  <r>
    <x v="6"/>
    <n v="4"/>
    <m/>
    <m/>
    <s v="32.04.002"/>
    <x v="167"/>
    <n v="5667935"/>
    <n v="5667935"/>
    <n v="322320.96100000001"/>
    <n v="5.6867441316811151E-2"/>
    <n v="322320.96100000001"/>
    <n v="5.6867441316811151E-2"/>
    <n v="5345614.0389999999"/>
    <n v="0.94313255868318879"/>
    <n v="9728520.7239999995"/>
    <n v="0"/>
    <n v="0"/>
  </r>
  <r>
    <x v="2"/>
    <m/>
    <m/>
    <m/>
    <m/>
    <x v="168"/>
    <n v="5667935"/>
    <n v="5667935"/>
    <n v="0"/>
    <n v="0"/>
    <m/>
    <n v="0"/>
    <n v="5345614.0389999999"/>
    <n v="0.94313255868318879"/>
    <n v="9728520.7239999995"/>
    <n v="0"/>
    <n v="0"/>
  </r>
  <r>
    <x v="2"/>
    <m/>
    <m/>
    <m/>
    <s v="32.04.003"/>
    <x v="169"/>
    <n v="0"/>
    <n v="0"/>
    <n v="0"/>
    <s v="0.00%"/>
    <n v="0"/>
    <n v="0"/>
    <n v="0"/>
    <n v="0"/>
    <n v="0"/>
    <n v="0"/>
    <s v="0.00%"/>
  </r>
  <r>
    <x v="2"/>
    <m/>
    <m/>
    <m/>
    <s v="32.04.004"/>
    <x v="170"/>
    <n v="0"/>
    <n v="0"/>
    <n v="0"/>
    <s v="0.00%"/>
    <n v="0"/>
    <n v="0"/>
    <n v="0"/>
    <n v="0"/>
    <n v="0"/>
    <n v="0"/>
    <s v="0.00%"/>
  </r>
  <r>
    <x v="12"/>
    <s v="  "/>
    <m/>
    <m/>
    <m/>
    <x v="171"/>
    <n v="301825406"/>
    <n v="291563379"/>
    <n v="31646077.440000005"/>
    <n v="0.10853927385716025"/>
    <n v="37963010.912999995"/>
    <n v="0.13020500394529999"/>
    <n v="253600368.08700001"/>
    <n v="0.86979499605470001"/>
    <n v="210346074.32800001"/>
    <n v="25198594.206918001"/>
    <n v="0.11979588536377889"/>
  </r>
  <r>
    <x v="2"/>
    <s v=".02"/>
    <m/>
    <m/>
    <m/>
    <x v="172"/>
    <n v="0"/>
    <n v="17013352"/>
    <n v="0"/>
    <n v="0"/>
    <n v="0"/>
    <n v="0"/>
    <n v="17013352"/>
    <n v="1"/>
    <n v="3040575.4359999998"/>
    <n v="0"/>
    <n v="0"/>
  </r>
  <r>
    <x v="2"/>
    <m/>
    <s v=".001"/>
    <m/>
    <s v="33.02.001"/>
    <x v="173"/>
    <n v="0"/>
    <n v="0"/>
    <n v="0"/>
    <s v="0.00%"/>
    <n v="0"/>
    <n v="0"/>
    <n v="0"/>
    <n v="0"/>
    <n v="0"/>
    <n v="0"/>
    <s v="0.00%"/>
  </r>
  <r>
    <x v="2"/>
    <m/>
    <s v=".002"/>
    <m/>
    <s v="33.02.002"/>
    <x v="174"/>
    <n v="0"/>
    <n v="0"/>
    <n v="0"/>
    <s v="0.00%"/>
    <n v="0"/>
    <n v="0"/>
    <n v="0"/>
    <n v="0"/>
    <n v="0"/>
    <n v="0"/>
    <s v="0.00%"/>
  </r>
  <r>
    <x v="2"/>
    <m/>
    <s v=".003"/>
    <m/>
    <s v="33.02.003"/>
    <x v="175"/>
    <n v="0"/>
    <n v="0"/>
    <n v="0"/>
    <s v="0.00%"/>
    <n v="0"/>
    <n v="0"/>
    <n v="0"/>
    <n v="0"/>
    <n v="0"/>
    <n v="0"/>
    <s v="0.00%"/>
  </r>
  <r>
    <x v="2"/>
    <m/>
    <s v=".004"/>
    <m/>
    <s v="33.02.004"/>
    <x v="176"/>
    <n v="0"/>
    <n v="0"/>
    <n v="0"/>
    <s v="0.00%"/>
    <n v="0"/>
    <n v="0"/>
    <n v="0"/>
    <n v="0"/>
    <n v="0"/>
    <n v="0"/>
    <s v="0.00%"/>
  </r>
  <r>
    <x v="2"/>
    <m/>
    <s v=".005"/>
    <m/>
    <s v="33.02.005"/>
    <x v="177"/>
    <n v="0"/>
    <n v="0"/>
    <n v="0"/>
    <s v="0.00%"/>
    <n v="0"/>
    <n v="0"/>
    <n v="0"/>
    <n v="0"/>
    <n v="0"/>
    <n v="0"/>
    <s v="0.00%"/>
  </r>
  <r>
    <x v="2"/>
    <m/>
    <s v=".006"/>
    <m/>
    <s v="33.02.006"/>
    <x v="178"/>
    <n v="0"/>
    <n v="0"/>
    <n v="0"/>
    <s v="0.00%"/>
    <n v="0"/>
    <n v="0"/>
    <n v="0"/>
    <n v="0"/>
    <n v="0"/>
    <n v="0"/>
    <s v="0.00%"/>
  </r>
  <r>
    <x v="2"/>
    <m/>
    <s v=".007"/>
    <m/>
    <s v="33.02.007"/>
    <x v="179"/>
    <n v="0"/>
    <n v="0"/>
    <n v="0"/>
    <s v="0.00%"/>
    <n v="0"/>
    <n v="0"/>
    <n v="0"/>
    <n v="0"/>
    <n v="0"/>
    <n v="0"/>
    <s v="0.00%"/>
  </r>
  <r>
    <x v="2"/>
    <m/>
    <s v=".008"/>
    <m/>
    <s v="33.02.008"/>
    <x v="180"/>
    <n v="0"/>
    <n v="0"/>
    <n v="0"/>
    <s v="0.00%"/>
    <n v="0"/>
    <n v="0"/>
    <n v="0"/>
    <n v="0"/>
    <n v="0"/>
    <n v="0"/>
    <s v="0.00%"/>
  </r>
  <r>
    <x v="2"/>
    <m/>
    <s v=".009"/>
    <m/>
    <s v="33.02.009"/>
    <x v="181"/>
    <n v="0"/>
    <n v="0"/>
    <n v="0"/>
    <s v="0.00%"/>
    <n v="0"/>
    <n v="0"/>
    <n v="0"/>
    <n v="0"/>
    <n v="0"/>
    <n v="0"/>
    <s v="0.00%"/>
  </r>
  <r>
    <x v="2"/>
    <m/>
    <s v=".010"/>
    <m/>
    <s v="33.02.010"/>
    <x v="182"/>
    <n v="0"/>
    <n v="0"/>
    <n v="0"/>
    <s v="0.00%"/>
    <n v="0"/>
    <n v="0"/>
    <n v="0"/>
    <n v="0"/>
    <n v="0"/>
    <n v="0"/>
    <s v="0.00%"/>
  </r>
  <r>
    <x v="2"/>
    <m/>
    <s v=".011"/>
    <m/>
    <s v="33.02.011"/>
    <x v="183"/>
    <n v="0"/>
    <n v="0"/>
    <n v="0"/>
    <s v="0.00%"/>
    <n v="0"/>
    <n v="0"/>
    <n v="0"/>
    <n v="0"/>
    <n v="0"/>
    <n v="0"/>
    <s v="0.00%"/>
  </r>
  <r>
    <x v="2"/>
    <m/>
    <s v=".012"/>
    <m/>
    <s v="33.02.012"/>
    <x v="184"/>
    <n v="0"/>
    <n v="0"/>
    <n v="0"/>
    <s v="0.00%"/>
    <n v="0"/>
    <n v="0"/>
    <n v="0"/>
    <n v="0"/>
    <n v="0"/>
    <n v="0"/>
    <s v="0.00%"/>
  </r>
  <r>
    <x v="2"/>
    <m/>
    <s v=".013"/>
    <m/>
    <s v="33.02.013"/>
    <x v="185"/>
    <n v="0"/>
    <n v="0"/>
    <n v="0"/>
    <s v="0.00%"/>
    <n v="0"/>
    <n v="0"/>
    <n v="0"/>
    <n v="0"/>
    <n v="0"/>
    <n v="0"/>
    <s v="0.00%"/>
  </r>
  <r>
    <x v="2"/>
    <m/>
    <s v=".014"/>
    <m/>
    <s v="33.02.014"/>
    <x v="186"/>
    <n v="0"/>
    <n v="0"/>
    <n v="0"/>
    <s v="0.00%"/>
    <n v="0"/>
    <n v="0"/>
    <n v="0"/>
    <n v="0"/>
    <n v="0"/>
    <n v="0"/>
    <s v="0.00%"/>
  </r>
  <r>
    <x v="2"/>
    <m/>
    <s v=".015"/>
    <m/>
    <s v="33.02.015"/>
    <x v="187"/>
    <n v="0"/>
    <n v="0"/>
    <n v="0"/>
    <s v="0.00%"/>
    <n v="0"/>
    <n v="0"/>
    <n v="0"/>
    <n v="0"/>
    <n v="0"/>
    <n v="0"/>
    <s v="0.00%"/>
  </r>
  <r>
    <x v="2"/>
    <m/>
    <s v=".016"/>
    <m/>
    <s v="33.02.016"/>
    <x v="188"/>
    <n v="0"/>
    <n v="0"/>
    <n v="0"/>
    <s v="0.00%"/>
    <n v="0"/>
    <n v="0"/>
    <n v="0"/>
    <n v="0"/>
    <n v="0"/>
    <n v="0"/>
    <s v="0.00%"/>
  </r>
  <r>
    <x v="2"/>
    <m/>
    <s v=".017"/>
    <m/>
    <s v="33.02.017"/>
    <x v="189"/>
    <n v="0"/>
    <n v="0"/>
    <n v="0"/>
    <s v="0.00%"/>
    <n v="0"/>
    <n v="0"/>
    <n v="0"/>
    <n v="0"/>
    <n v="0"/>
    <n v="0"/>
    <s v="0.00%"/>
  </r>
  <r>
    <x v="2"/>
    <m/>
    <s v=".020"/>
    <m/>
    <s v="33.02.020"/>
    <x v="190"/>
    <n v="0"/>
    <n v="17013352"/>
    <n v="0"/>
    <n v="0"/>
    <n v="0"/>
    <n v="0"/>
    <n v="17013352"/>
    <n v="1"/>
    <n v="0"/>
    <n v="0"/>
    <s v="0.00%"/>
  </r>
  <r>
    <x v="2"/>
    <m/>
    <s v=".018"/>
    <m/>
    <s v="33.02.018"/>
    <x v="191"/>
    <n v="0"/>
    <n v="0"/>
    <n v="0"/>
    <s v="0.00%"/>
    <n v="0"/>
    <n v="0"/>
    <n v="0"/>
    <n v="0"/>
    <n v="0"/>
    <n v="0"/>
    <s v="0.00%"/>
  </r>
  <r>
    <x v="2"/>
    <m/>
    <s v=".107"/>
    <m/>
    <s v="33.02.107"/>
    <x v="192"/>
    <n v="0"/>
    <n v="0"/>
    <n v="0"/>
    <s v="0.00%"/>
    <n v="0"/>
    <n v="0"/>
    <n v="0"/>
    <n v="0"/>
    <n v="0"/>
    <n v="0"/>
    <s v="0.00%"/>
  </r>
  <r>
    <x v="2"/>
    <m/>
    <s v=".914"/>
    <m/>
    <s v="33.02.914"/>
    <x v="136"/>
    <n v="0"/>
    <n v="0"/>
    <n v="0"/>
    <s v="0.00%"/>
    <n v="0"/>
    <n v="0"/>
    <n v="0"/>
    <n v="0"/>
    <n v="0"/>
    <n v="0"/>
    <s v="0.00%"/>
  </r>
  <r>
    <x v="2"/>
    <m/>
    <s v=".916"/>
    <m/>
    <s v="33.02.916"/>
    <x v="117"/>
    <n v="0"/>
    <n v="0"/>
    <n v="0"/>
    <s v="0.00%"/>
    <n v="0"/>
    <n v="0"/>
    <n v="0"/>
    <n v="0"/>
    <n v="0"/>
    <n v="0"/>
    <s v="0.00%"/>
  </r>
  <r>
    <x v="2"/>
    <m/>
    <s v=".020"/>
    <m/>
    <s v="33.02.020"/>
    <x v="193"/>
    <n v="0"/>
    <n v="0"/>
    <n v="0"/>
    <s v="0.00%"/>
    <n v="0"/>
    <n v="0"/>
    <n v="0"/>
    <n v="0"/>
    <n v="3040575.4359999998"/>
    <n v="0"/>
    <n v="0"/>
  </r>
  <r>
    <x v="2"/>
    <s v=".03"/>
    <m/>
    <m/>
    <m/>
    <x v="194"/>
    <n v="301825406"/>
    <n v="274550027"/>
    <n v="31646077.440000005"/>
    <n v="0.11526524978269263"/>
    <n v="37963010.912999995"/>
    <n v="0.13827356466805227"/>
    <n v="236587016.08700001"/>
    <n v="0.86172643533194782"/>
    <n v="207305498.89200002"/>
    <n v="25198594.206918001"/>
    <n v="0.12155294645631044"/>
  </r>
  <r>
    <x v="2"/>
    <m/>
    <s v=".001"/>
    <m/>
    <s v="33.03.001"/>
    <x v="195"/>
    <n v="76538652"/>
    <n v="67312190"/>
    <n v="0"/>
    <n v="0"/>
    <n v="0"/>
    <n v="0"/>
    <n v="67312190"/>
    <n v="1"/>
    <n v="46410723.504999995"/>
    <n v="0"/>
    <n v="0"/>
  </r>
  <r>
    <x v="2"/>
    <m/>
    <s v=".005"/>
    <m/>
    <m/>
    <x v="196"/>
    <n v="90277278"/>
    <n v="90277278"/>
    <n v="16895025.823000003"/>
    <n v="0.18714593746390984"/>
    <n v="21568672.844999999"/>
    <n v="0.23891585261354467"/>
    <n v="68708605.155000001"/>
    <n v="0.76108414738645536"/>
    <n v="51663497.611000001"/>
    <n v="14044735.920452001"/>
    <n v="0.27185027282128199"/>
  </r>
  <r>
    <x v="2"/>
    <m/>
    <m/>
    <m/>
    <s v="33.03.120.005.01"/>
    <x v="197"/>
    <n v="42112712"/>
    <n v="42112712"/>
    <n v="0"/>
    <n v="0"/>
    <n v="70000"/>
    <n v="1.6622059391473054E-3"/>
    <n v="42042712"/>
    <n v="0.99833779406085266"/>
    <n v="13123731.5625"/>
    <n v="0"/>
    <n v="0"/>
  </r>
  <r>
    <x v="2"/>
    <m/>
    <m/>
    <m/>
    <s v="33.03.120.005.02"/>
    <x v="198"/>
    <n v="26521300"/>
    <n v="26521300"/>
    <n v="8149438.0560000008"/>
    <n v="0.30727898164871259"/>
    <n v="10138072.433"/>
    <n v="0.38226151934482849"/>
    <n v="16383227.567"/>
    <n v="0.61773848065517145"/>
    <n v="20458443.957079999"/>
    <n v="4847639.0261240005"/>
    <n v="0.23695052450195711"/>
  </r>
  <r>
    <x v="2"/>
    <m/>
    <m/>
    <m/>
    <s v="33.03.120.005.05"/>
    <x v="199"/>
    <n v="16643266"/>
    <n v="16643266"/>
    <n v="7068858.796000001"/>
    <n v="0.42472786266830087"/>
    <n v="9611191.4409999996"/>
    <n v="0.57748229470105206"/>
    <n v="7032074.5590000004"/>
    <n v="0.42251770529894794"/>
    <n v="18081322.091419999"/>
    <n v="9197096.894328"/>
    <n v="0.50865179259719251"/>
  </r>
  <r>
    <x v="2"/>
    <m/>
    <m/>
    <m/>
    <s v="33.03.120.005.05"/>
    <x v="200"/>
    <n v="5000000"/>
    <n v="5000000"/>
    <n v="1676728.9709999999"/>
    <n v="0.33534579419999999"/>
    <n v="1749408.9709999999"/>
    <n v="0.34988179419999998"/>
    <n v="3250591.0290000001"/>
    <n v="0.65011820580000002"/>
    <n v="0"/>
    <n v="0"/>
    <s v="0.00%"/>
  </r>
  <r>
    <x v="2"/>
    <m/>
    <n v="6"/>
    <m/>
    <m/>
    <x v="201"/>
    <n v="56612173"/>
    <n v="56612173"/>
    <n v="13514820.216"/>
    <n v="0.23872639928518555"/>
    <n v="14952001.462000001"/>
    <n v="0.26411283421323539"/>
    <n v="41660171.538000003"/>
    <n v="0.73588716578676472"/>
    <n v="33610040.299999997"/>
    <n v="10571903.767455999"/>
    <n v="0.31454600092984714"/>
  </r>
  <r>
    <x v="2"/>
    <m/>
    <m/>
    <m/>
    <s v="33.03.120.006.01"/>
    <x v="202"/>
    <n v="5736407"/>
    <n v="5736407"/>
    <n v="3560698.048"/>
    <n v="0.62071921465823465"/>
    <n v="3955298.048"/>
    <n v="0.68950791810971568"/>
    <n v="1781108.952"/>
    <n v="0.31049208189028427"/>
    <n v="7089036.771151999"/>
    <n v="4040012.661113"/>
    <n v="0.56989585348934235"/>
  </r>
  <r>
    <x v="2"/>
    <m/>
    <m/>
    <m/>
    <s v="33.03.120.006.03"/>
    <x v="203"/>
    <n v="7925135"/>
    <n v="7925135"/>
    <n v="3470113.1680000001"/>
    <n v="0.43786171062070239"/>
    <n v="3470113.1680000001"/>
    <n v="0.43786171062070239"/>
    <n v="4455021.8320000004"/>
    <n v="0.56213828937929766"/>
    <n v="931303.86699999997"/>
    <n v="612403.86699999997"/>
    <n v="0.65757685402158861"/>
  </r>
  <r>
    <x v="2"/>
    <m/>
    <m/>
    <m/>
    <s v="33.03.120.006.04"/>
    <x v="204"/>
    <n v="1946254"/>
    <n v="1946254"/>
    <n v="854169.97199999995"/>
    <n v="0.43887898085244781"/>
    <n v="932169.97199999995"/>
    <n v="0.47895596977578464"/>
    <n v="1014084.028"/>
    <n v="0.52104403022421542"/>
    <n v="2236005.8688679999"/>
    <n v="820001.21147900005"/>
    <n v="0.36672587621343489"/>
  </r>
  <r>
    <x v="2"/>
    <m/>
    <m/>
    <m/>
    <s v="33.03.120.006.05"/>
    <x v="205"/>
    <n v="2260410"/>
    <n v="2260410"/>
    <n v="302326.79099999997"/>
    <n v="0.13374865223565635"/>
    <n v="302326.79100000003"/>
    <n v="0.13374865223565638"/>
    <n v="1958083.209"/>
    <n v="0.86625134776434365"/>
    <n v="1988033.6881530001"/>
    <n v="469347.87819999998"/>
    <n v="0.23608648132922319"/>
  </r>
  <r>
    <x v="2"/>
    <m/>
    <m/>
    <m/>
    <s v="33.03.120.006.06"/>
    <x v="206"/>
    <n v="21256852"/>
    <n v="21256852"/>
    <n v="0"/>
    <n v="0"/>
    <n v="0"/>
    <n v="0"/>
    <n v="21256852"/>
    <n v="1"/>
    <n v="9627494.2669999991"/>
    <n v="1228605.4375639998"/>
    <n v="0.12761424764232476"/>
  </r>
  <r>
    <x v="2"/>
    <m/>
    <m/>
    <m/>
    <s v="33.03.120.006.07"/>
    <x v="207"/>
    <n v="17487115"/>
    <n v="17487115"/>
    <n v="5327512.2369999997"/>
    <n v="0.30465358276651122"/>
    <n v="6292093.483"/>
    <n v="0.35981312429180001"/>
    <n v="11195021.517000001"/>
    <n v="0.6401868757082001"/>
    <n v="11738165.837826999"/>
    <n v="3401532.7121000001"/>
    <n v="0.2897840053629453"/>
  </r>
  <r>
    <x v="2"/>
    <m/>
    <s v=".010"/>
    <m/>
    <s v="33.03.010"/>
    <x v="208"/>
    <n v="0"/>
    <n v="0"/>
    <n v="0"/>
    <s v="0.00%"/>
    <n v="0"/>
    <n v="0"/>
    <n v="0"/>
    <n v="0"/>
    <n v="0"/>
    <n v="0"/>
    <s v="0.00%"/>
  </r>
  <r>
    <x v="2"/>
    <m/>
    <s v=".017"/>
    <m/>
    <s v="33.03.017"/>
    <x v="209"/>
    <n v="0"/>
    <n v="0"/>
    <n v="0"/>
    <s v="0.00%"/>
    <n v="0"/>
    <n v="0"/>
    <n v="0"/>
    <n v="0"/>
    <n v="0"/>
    <n v="0"/>
    <s v="0.00%"/>
  </r>
  <r>
    <x v="2"/>
    <m/>
    <s v=".020"/>
    <m/>
    <s v="33.03.020"/>
    <x v="210"/>
    <n v="0"/>
    <n v="0"/>
    <n v="0"/>
    <s v="0.00%"/>
    <n v="0"/>
    <n v="0"/>
    <n v="0"/>
    <n v="0"/>
    <n v="0"/>
    <n v="0"/>
    <s v="0.00%"/>
  </r>
  <r>
    <x v="2"/>
    <m/>
    <s v=".021"/>
    <m/>
    <s v="33.03.021"/>
    <x v="211"/>
    <n v="0"/>
    <n v="0"/>
    <n v="0"/>
    <s v="0.00%"/>
    <n v="0"/>
    <n v="0"/>
    <n v="0"/>
    <n v="0"/>
    <n v="0"/>
    <n v="0"/>
    <s v="0.00%"/>
  </r>
  <r>
    <x v="2"/>
    <m/>
    <s v=".025"/>
    <m/>
    <s v="33.03.025"/>
    <x v="212"/>
    <n v="0"/>
    <n v="0"/>
    <n v="0"/>
    <s v="0.00%"/>
    <n v="0"/>
    <n v="0"/>
    <n v="0"/>
    <n v="0"/>
    <n v="0"/>
    <n v="0"/>
    <s v="0.00%"/>
  </r>
  <r>
    <x v="2"/>
    <m/>
    <s v=".100"/>
    <m/>
    <s v="33.03.120.100"/>
    <x v="213"/>
    <n v="14656065"/>
    <n v="14616065"/>
    <n v="0"/>
    <n v="0"/>
    <n v="93732"/>
    <n v="6.4129435658639997E-3"/>
    <n v="14522333"/>
    <n v="0.99358705643413603"/>
    <n v="14656064.664999999"/>
    <n v="0"/>
    <n v="0"/>
  </r>
  <r>
    <x v="2"/>
    <m/>
    <s v=".110"/>
    <m/>
    <s v="33.03.110"/>
    <x v="214"/>
    <n v="16934493"/>
    <n v="16934493"/>
    <n v="0"/>
    <n v="0"/>
    <n v="0"/>
    <n v="0"/>
    <n v="16934493"/>
    <n v="1"/>
    <n v="16934492.487"/>
    <n v="0"/>
    <n v="0"/>
  </r>
  <r>
    <x v="2"/>
    <m/>
    <s v=".111"/>
    <m/>
    <s v="33.03.111"/>
    <x v="215"/>
    <n v="8635311"/>
    <n v="8635311"/>
    <n v="1167961.5759999999"/>
    <n v="0.13525414151267973"/>
    <n v="1167961.5759999999"/>
    <n v="0.13525414151267973"/>
    <n v="7467349.4240000006"/>
    <n v="0.86474585848732033"/>
    <n v="8847327.7399999984"/>
    <n v="507462.13013199996"/>
    <n v="5.7357672852752263E-2"/>
  </r>
  <r>
    <x v="2"/>
    <m/>
    <s v=".130"/>
    <m/>
    <s v="33.03.130"/>
    <x v="216"/>
    <n v="0"/>
    <n v="0"/>
    <n v="0"/>
    <s v="0.00%"/>
    <n v="0"/>
    <n v="0"/>
    <n v="0"/>
    <n v="0"/>
    <n v="0"/>
    <n v="0"/>
    <s v="0.00%"/>
  </r>
  <r>
    <x v="2"/>
    <m/>
    <s v=".190"/>
    <m/>
    <s v="33.03.190"/>
    <x v="217"/>
    <n v="0"/>
    <n v="0"/>
    <n v="0"/>
    <s v="0.00%"/>
    <n v="0"/>
    <n v="0"/>
    <n v="0"/>
    <n v="0"/>
    <n v="0"/>
    <n v="0"/>
    <s v="0.00%"/>
  </r>
  <r>
    <x v="2"/>
    <m/>
    <s v=".418"/>
    <m/>
    <s v="33.03.418"/>
    <x v="218"/>
    <n v="0"/>
    <n v="0"/>
    <n v="0"/>
    <s v="0.00%"/>
    <n v="0"/>
    <n v="0"/>
    <n v="0"/>
    <n v="0"/>
    <n v="0"/>
    <n v="0"/>
    <s v="0.00%"/>
  </r>
  <r>
    <x v="2"/>
    <m/>
    <s v=".421"/>
    <m/>
    <s v="33.03.421"/>
    <x v="219"/>
    <n v="0"/>
    <n v="0"/>
    <n v="0"/>
    <s v="0.00%"/>
    <n v="0"/>
    <n v="0"/>
    <n v="0"/>
    <n v="0"/>
    <n v="0"/>
    <n v="0"/>
    <s v="0.00%"/>
  </r>
  <r>
    <x v="2"/>
    <m/>
    <s v=".426"/>
    <m/>
    <s v="33.03.426"/>
    <x v="220"/>
    <n v="0"/>
    <n v="0"/>
    <n v="0"/>
    <s v="0.00%"/>
    <n v="0"/>
    <n v="0"/>
    <n v="0"/>
    <n v="0"/>
    <n v="0"/>
    <n v="0"/>
    <s v="0.00%"/>
  </r>
  <r>
    <x v="2"/>
    <m/>
    <s v=".427"/>
    <m/>
    <s v="33.03.427"/>
    <x v="221"/>
    <n v="0"/>
    <n v="0"/>
    <n v="0"/>
    <s v="0.00%"/>
    <n v="0"/>
    <n v="0"/>
    <n v="0"/>
    <n v="0"/>
    <n v="0"/>
    <n v="0"/>
    <s v="0.00%"/>
  </r>
  <r>
    <x v="2"/>
    <m/>
    <s v=".428"/>
    <m/>
    <s v="33.03.428"/>
    <x v="222"/>
    <n v="0"/>
    <n v="0"/>
    <n v="0"/>
    <s v="0.00%"/>
    <n v="0"/>
    <n v="0"/>
    <n v="0"/>
    <n v="0"/>
    <n v="0"/>
    <n v="0"/>
    <s v="0.00%"/>
  </r>
  <r>
    <x v="2"/>
    <m/>
    <s v=".429"/>
    <m/>
    <s v="33.03.429"/>
    <x v="223"/>
    <n v="0"/>
    <n v="0"/>
    <n v="0"/>
    <s v="0.00%"/>
    <n v="0"/>
    <n v="0"/>
    <n v="0"/>
    <n v="0"/>
    <n v="0"/>
    <n v="0"/>
    <s v="0.00%"/>
  </r>
  <r>
    <x v="2"/>
    <m/>
    <s v=".431"/>
    <m/>
    <s v="33.03.431"/>
    <x v="224"/>
    <n v="0"/>
    <n v="0"/>
    <n v="0"/>
    <s v="0.00%"/>
    <n v="0"/>
    <n v="0"/>
    <n v="0"/>
    <n v="0"/>
    <n v="0"/>
    <n v="0"/>
    <s v="0.00%"/>
  </r>
  <r>
    <x v="2"/>
    <m/>
    <s v=".432"/>
    <m/>
    <s v="33.03.432"/>
    <x v="225"/>
    <n v="36987209"/>
    <n v="18978292"/>
    <n v="0"/>
    <n v="0"/>
    <n v="0"/>
    <n v="0"/>
    <n v="18978292"/>
    <n v="1"/>
    <n v="33946091.805"/>
    <n v="0"/>
    <n v="0"/>
  </r>
  <r>
    <x v="2"/>
    <m/>
    <s v=".433"/>
    <m/>
    <s v="33.03.433"/>
    <x v="226"/>
    <n v="0"/>
    <n v="0"/>
    <n v="0"/>
    <s v="0.00%"/>
    <n v="0"/>
    <n v="0"/>
    <n v="0"/>
    <n v="0"/>
    <n v="0"/>
    <n v="0"/>
    <s v="0.00%"/>
  </r>
  <r>
    <x v="2"/>
    <m/>
    <s v=".602"/>
    <m/>
    <s v="33.03.602"/>
    <x v="227"/>
    <n v="1184225"/>
    <n v="1184225"/>
    <n v="68269.824999999997"/>
    <n v="5.7649369841035275E-2"/>
    <n v="180643.03"/>
    <n v="0.15254113871941566"/>
    <n v="1003581.97"/>
    <n v="0.84745886128058434"/>
    <n v="1237260.7790000001"/>
    <n v="74492.388877999998"/>
    <n v="6.0207508507792107E-2"/>
  </r>
  <r>
    <x v="2"/>
    <m/>
    <s v=".001"/>
    <m/>
    <s v="33.03.001"/>
    <x v="228"/>
    <n v="520000"/>
    <n v="520000"/>
    <n v="0"/>
    <n v="0"/>
    <n v="0"/>
    <n v="0"/>
    <n v="520000"/>
    <n v="1"/>
    <n v="552760"/>
    <n v="14882"/>
    <n v="2.6923076923076925E-2"/>
  </r>
  <r>
    <x v="2"/>
    <m/>
    <s v=".002"/>
    <m/>
    <s v="33.03.002"/>
    <x v="229"/>
    <n v="300292"/>
    <n v="300292"/>
    <n v="68269.824999999997"/>
    <n v="0.2273448010603013"/>
    <n v="173893.03"/>
    <n v="0.57907979566555223"/>
    <n v="126398.97"/>
    <n v="0.42092020433444782"/>
    <n v="297640"/>
    <n v="57786.280878000005"/>
    <n v="0.19414823571428574"/>
  </r>
  <r>
    <x v="2"/>
    <m/>
    <s v=".003"/>
    <m/>
    <s v="33.03.003"/>
    <x v="230"/>
    <n v="278933"/>
    <n v="278933"/>
    <n v="0"/>
    <n v="0"/>
    <n v="6750"/>
    <n v="2.4199359702867712E-2"/>
    <n v="272183"/>
    <n v="0.97580064029713232"/>
    <n v="296505.77899999998"/>
    <n v="0"/>
    <n v="0"/>
  </r>
  <r>
    <x v="2"/>
    <m/>
    <s v=".004"/>
    <m/>
    <s v="33.03.004"/>
    <x v="231"/>
    <n v="35000"/>
    <n v="35000"/>
    <n v="0"/>
    <n v="0"/>
    <n v="0"/>
    <n v="0"/>
    <n v="35000"/>
    <n v="1"/>
    <n v="37205"/>
    <n v="1824.1079999999999"/>
    <n v="4.9028571428571428E-2"/>
  </r>
  <r>
    <x v="2"/>
    <m/>
    <s v=".005"/>
    <m/>
    <s v="33.03.005"/>
    <x v="232"/>
    <n v="50000"/>
    <n v="50000"/>
    <n v="0"/>
    <n v="0"/>
    <n v="0"/>
    <n v="0"/>
    <n v="50000"/>
    <n v="1"/>
    <n v="53150"/>
    <n v="0"/>
    <n v="0"/>
  </r>
  <r>
    <x v="13"/>
    <m/>
    <m/>
    <m/>
    <m/>
    <x v="233"/>
    <n v="17962498"/>
    <n v="19134769"/>
    <n v="10135092.539999999"/>
    <n v="0.52966892571318724"/>
    <n v="10135092.539999999"/>
    <n v="0.52966892571318724"/>
    <n v="8999676.4600000009"/>
    <n v="0.4703310742868127"/>
    <n v="16661111.209999999"/>
    <n v="12053826.631274"/>
    <n v="0.72347075050068044"/>
  </r>
  <r>
    <x v="2"/>
    <s v="02            "/>
    <m/>
    <m/>
    <s v="34.02"/>
    <x v="234"/>
    <n v="15463357"/>
    <n v="15463357"/>
    <n v="7337591.5699999994"/>
    <n v="0.47451478808902875"/>
    <n v="7337591.5700000003"/>
    <n v="0.47451478808902881"/>
    <n v="8125765.4299999997"/>
    <n v="0.52548521191097119"/>
    <n v="14023529.704"/>
    <n v="7890517.7014290001"/>
    <n v="0.56266274382963288"/>
  </r>
  <r>
    <x v="2"/>
    <s v="04            "/>
    <m/>
    <m/>
    <s v="34.04"/>
    <x v="235"/>
    <n v="2499111"/>
    <n v="2499111"/>
    <n v="1625202.4210000001"/>
    <n v="0.65031221942522766"/>
    <n v="1625202.4210000001"/>
    <n v="0.65031221942522766"/>
    <n v="873908.57899999991"/>
    <n v="0.34968778057477234"/>
    <n v="2406447.0379999997"/>
    <n v="1509618.2881409996"/>
    <n v="0.62732246515412393"/>
  </r>
  <r>
    <x v="2"/>
    <n v="6"/>
    <m/>
    <m/>
    <n v="34.06"/>
    <x v="236"/>
    <n v="0"/>
    <n v="0"/>
    <n v="0"/>
    <s v="0.00%"/>
    <n v="0"/>
    <n v="0"/>
    <n v="0"/>
    <n v="0"/>
    <n v="231102.57799999998"/>
    <n v="101140.543475"/>
    <n v="0.43764351029870385"/>
  </r>
  <r>
    <x v="2"/>
    <n v="7"/>
    <m/>
    <m/>
    <s v="34.07"/>
    <x v="237"/>
    <n v="30"/>
    <n v="1172301"/>
    <n v="1172298.5490000001"/>
    <n v="0.99999790924003318"/>
    <n v="1172298.5490000001"/>
    <n v="0.99999790924003318"/>
    <n v="2.450999999884516"/>
    <n v="2.0907599668383087E-6"/>
    <n v="31.889999999999997"/>
    <n v="2552550.0982289994"/>
    <n v="80042.336099999986"/>
  </r>
  <r>
    <x v="14"/>
    <m/>
    <m/>
    <m/>
    <m/>
    <x v="238"/>
    <n v="0"/>
    <n v="0"/>
    <n v="0"/>
    <s v="0.00%"/>
    <n v="0"/>
    <n v="0"/>
    <n v="0"/>
    <n v="0"/>
    <n v="0"/>
    <n v="0"/>
    <s v="0.00%"/>
  </r>
</pivotCacheRecords>
</file>

<file path=xl/pivotCache/pivotCacheRecords2.xml><?xml version="1.0" encoding="utf-8"?>
<pivotCacheRecords xmlns="http://schemas.openxmlformats.org/spreadsheetml/2006/main" xmlns:r="http://schemas.openxmlformats.org/officeDocument/2006/relationships" count="4">
  <r>
    <x v="0"/>
    <m/>
    <m/>
    <m/>
    <m/>
    <m/>
    <n v="38338247.997999996"/>
    <n v="39175757"/>
    <n v="15879943.225000001"/>
    <n v="0.40535127949154887"/>
    <n v="17250602.550000001"/>
    <n v="0.4403387163648172"/>
    <n v="21925154.450000003"/>
    <n v="0.55966128363518297"/>
    <n v="35964079.311999992"/>
    <n v="15690887.097892998"/>
    <n v="0.4362933070458857"/>
    <n v="1370659.3249999993"/>
  </r>
  <r>
    <x v="1"/>
    <m/>
    <m/>
    <m/>
    <m/>
    <m/>
    <n v="7798353"/>
    <n v="8494793"/>
    <n v="1382983.4129999999"/>
    <n v="0.16280366254951709"/>
    <n v="2147455.8840000001"/>
    <n v="0.25279672900799349"/>
    <n v="6347337.1160000004"/>
    <n v="0.74720327099200656"/>
    <n v="8219493.3649999984"/>
    <n v="2092661.7241539999"/>
    <n v="0.25459741023271698"/>
    <n v="764472.47100000014"/>
  </r>
  <r>
    <x v="2"/>
    <m/>
    <m/>
    <m/>
    <m/>
    <m/>
    <n v="271469048"/>
    <n v="271447243"/>
    <n v="107574799.59900001"/>
    <n v="0.39630094750676842"/>
    <n v="113941124.605"/>
    <n v="0.41975421575749805"/>
    <n v="157506118.39499998"/>
    <n v="0.58024578424250184"/>
    <n v="213358051.875"/>
    <n v="101213162.70586899"/>
    <n v="0.4743817344431262"/>
    <n v="6366325.0059999973"/>
  </r>
  <r>
    <x v="3"/>
    <m/>
    <m/>
    <m/>
    <m/>
    <m/>
    <n v="113525861"/>
    <n v="103303834"/>
    <n v="0"/>
    <n v="0"/>
    <n v="0"/>
    <n v="0"/>
    <n v="103303834"/>
    <n v="1"/>
    <n v="83397390.746000007"/>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4"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49:C352" firstHeaderRow="1" firstDataRow="1" firstDataCol="1" rowPageCount="1" colPageCount="1"/>
  <pivotFields count="18">
    <pivotField axis="axisPage" multipleItemSelectionAllowed="1" showAll="0">
      <items count="7">
        <item h="1" x="0"/>
        <item x="1"/>
        <item h="1" x="2"/>
        <item h="1"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dataField name="Saldo por ejecutar." fld="17" baseField="0" baseItem="1041228240"/>
    <dataField name="Saldo disponible." fld="12" baseField="0" baseItem="1041228240"/>
  </dataFields>
  <formats count="1">
    <format dxfId="114">
      <pivotArea outline="0" collapsedLevelsAreSubtotals="1" fieldPosition="0"/>
    </format>
  </formats>
  <chartFormats count="5">
    <chartFormat chart="0" format="19" series="1">
      <pivotArea type="data" outline="0" fieldPosition="0">
        <references count="1">
          <reference field="4294967294" count="1" selected="0">
            <x v="1"/>
          </reference>
        </references>
      </pivotArea>
    </chartFormat>
    <chartFormat chart="0" format="20" series="1">
      <pivotArea type="data" outline="0" fieldPosition="0">
        <references count="1">
          <reference field="4294967294" count="1" selected="0">
            <x v="0"/>
          </reference>
        </references>
      </pivotArea>
    </chartFormat>
    <chartFormat chart="0" format="21">
      <pivotArea type="data" outline="0" fieldPosition="0">
        <references count="1">
          <reference field="4294967294" count="1" selected="0">
            <x v="0"/>
          </reference>
        </references>
      </pivotArea>
    </chartFormat>
    <chartFormat chart="0" format="22">
      <pivotArea type="data" outline="0" fieldPosition="0">
        <references count="1">
          <reference field="4294967294" count="1" selected="0">
            <x v="1"/>
          </reference>
        </references>
      </pivotArea>
    </chartFormat>
    <chartFormat chart="0" format="23">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0" cacheId="8"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287:D292" firstHeaderRow="0" firstDataRow="1" firstDataCol="1"/>
  <pivotFields count="18">
    <pivotField axis="axisRow" showAll="0">
      <items count="7">
        <item x="0"/>
        <item x="1"/>
        <item x="2"/>
        <item x="3"/>
        <item m="1" x="5"/>
        <item m="1" x="4"/>
        <item t="default"/>
      </items>
    </pivotField>
    <pivotField showAll="0"/>
    <pivotField showAll="0"/>
    <pivotField showAll="0"/>
    <pivotField showAll="0"/>
    <pivotField showAll="0"/>
    <pivotField numFmtId="3" showAll="0"/>
    <pivotField numFmtId="3" showAll="0"/>
    <pivotField numFmtId="3" showAll="0" defaultSubtotal="0"/>
    <pivotField dataField="1" numFmtId="172" showAll="0" defaultSubtotal="0"/>
    <pivotField numFmtId="41" showAll="0"/>
    <pivotField numFmtId="172" showAll="0"/>
    <pivotField numFmtId="41" showAll="0"/>
    <pivotField numFmtId="172" showAll="0"/>
    <pivotField numFmtId="3" showAll="0" defaultSubtotal="0"/>
    <pivotField numFmtId="3" showAll="0" defaultSubtotal="0"/>
    <pivotField dataField="1" numFmtId="172" showAll="0" defaultSubtotal="0"/>
    <pivotField numFmtId="41" showAll="0"/>
  </pivotFields>
  <rowFields count="1">
    <field x="0"/>
  </rowFields>
  <rowItems count="5">
    <i>
      <x/>
    </i>
    <i>
      <x v="1"/>
    </i>
    <i>
      <x v="2"/>
    </i>
    <i>
      <x v="3"/>
    </i>
    <i t="grand">
      <x/>
    </i>
  </rowItems>
  <colFields count="1">
    <field x="-2"/>
  </colFields>
  <colItems count="2">
    <i>
      <x/>
    </i>
    <i i="1">
      <x v="1"/>
    </i>
  </colItems>
  <dataFields count="2">
    <dataField name=" % de Ejecución 2023 M$." fld="9" baseField="0" baseItem="2132074096"/>
    <dataField name="% Ejecución 2022 M$." fld="16" baseField="0" baseItem="2132074096"/>
  </dataFields>
  <formats count="1">
    <format dxfId="115">
      <pivotArea outline="0" collapsedLevelsAreSubtotals="1" fieldPosition="0"/>
    </format>
  </formats>
  <chartFormats count="3">
    <chartFormat chart="0" format="14" series="1">
      <pivotArea type="data" outline="0" fieldPosition="0">
        <references count="1">
          <reference field="4294967294" count="1" selected="0">
            <x v="0"/>
          </reference>
        </references>
      </pivotArea>
    </chartFormat>
    <chartFormat chart="0" format="15" series="1">
      <pivotArea type="data" outline="0" fieldPosition="0">
        <references count="1">
          <reference field="4294967294" count="1" selected="0">
            <x v="1"/>
          </reference>
        </references>
      </pivotArea>
    </chartFormat>
    <chartFormat chart="0" format="16">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3"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27:C330" firstHeaderRow="1" firstDataRow="1" firstDataCol="1" rowPageCount="1" colPageCount="1"/>
  <pivotFields count="18">
    <pivotField axis="axisPage" multipleItemSelectionAllowed="1" showAll="0">
      <items count="7">
        <item x="0"/>
        <item h="1" x="1"/>
        <item h="1" x="2"/>
        <item h="1"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numFmtId="175"/>
    <dataField name="Saldo por ejecutar." fld="17" baseField="0" baseItem="1041228240"/>
    <dataField name="Saldo disponible." fld="12" baseField="0" baseItem="1041228240"/>
  </dataFields>
  <chartFormats count="4">
    <chartFormat chart="0" format="37" series="1">
      <pivotArea type="data" outline="0" fieldPosition="0">
        <references count="1">
          <reference field="4294967294" count="1" selected="0">
            <x v="0"/>
          </reference>
        </references>
      </pivotArea>
    </chartFormat>
    <chartFormat chart="0" format="38">
      <pivotArea type="data" outline="0" fieldPosition="0">
        <references count="1">
          <reference field="4294967294" count="1" selected="0">
            <x v="0"/>
          </reference>
        </references>
      </pivotArea>
    </chartFormat>
    <chartFormat chart="0" format="39">
      <pivotArea type="data" outline="0" fieldPosition="0">
        <references count="1">
          <reference field="4294967294" count="1" selected="0">
            <x v="1"/>
          </reference>
        </references>
      </pivotArea>
    </chartFormat>
    <chartFormat chart="0" format="40">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26"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410:C413" firstHeaderRow="1" firstDataRow="1" firstDataCol="1" rowPageCount="1" colPageCount="1"/>
  <pivotFields count="18">
    <pivotField axis="axisPage" multipleItemSelectionAllowed="1" showAll="0">
      <items count="7">
        <item h="1" x="0"/>
        <item h="1" x="1"/>
        <item h="1" x="2"/>
        <item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dataField name="Saldo por ejecutar." fld="17" baseField="0" baseItem="1041228240"/>
    <dataField name="Saldo disponible M$." fld="12" baseField="0" baseItem="1041228240"/>
  </dataFields>
  <formats count="1">
    <format dxfId="116">
      <pivotArea outline="0" collapsedLevelsAreSubtotals="1" fieldPosition="0"/>
    </format>
  </formats>
  <chartFormats count="4">
    <chartFormat chart="0" format="11" series="1">
      <pivotArea type="data" outline="0" fieldPosition="0">
        <references count="1">
          <reference field="4294967294" count="1" selected="0">
            <x v="0"/>
          </reference>
        </references>
      </pivotArea>
    </chartFormat>
    <chartFormat chart="0" format="12">
      <pivotArea type="data" outline="0" fieldPosition="0">
        <references count="1">
          <reference field="4294967294" count="1" selected="0">
            <x v="0"/>
          </reference>
        </references>
      </pivotArea>
    </chartFormat>
    <chartFormat chart="0" format="13">
      <pivotArea type="data" outline="0" fieldPosition="0">
        <references count="1">
          <reference field="4294967294" count="1" selected="0">
            <x v="1"/>
          </reference>
        </references>
      </pivotArea>
    </chartFormat>
    <chartFormat chart="0" format="14">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25" cacheId="8" dataOnRows="1"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76:C379" firstHeaderRow="1" firstDataRow="1" firstDataCol="1" rowPageCount="1" colPageCount="1"/>
  <pivotFields count="18">
    <pivotField axis="axisPage" multipleItemSelectionAllowed="1" showAll="0">
      <items count="7">
        <item h="1" x="0"/>
        <item h="1" x="1"/>
        <item x="2"/>
        <item h="1" x="3"/>
        <item h="1" m="1" x="5"/>
        <item h="1" m="1" x="4"/>
        <item t="default"/>
      </items>
    </pivotField>
    <pivotField showAll="0"/>
    <pivotField showAll="0"/>
    <pivotField showAll="0"/>
    <pivotField showAll="0"/>
    <pivotField showAll="0"/>
    <pivotField numFmtId="3" showAll="0"/>
    <pivotField numFmtId="3" showAll="0"/>
    <pivotField dataField="1" numFmtId="3" showAll="0" defaultSubtotal="0"/>
    <pivotField numFmtId="172" showAll="0" defaultSubtotal="0"/>
    <pivotField numFmtId="41" showAll="0"/>
    <pivotField numFmtId="172" showAll="0"/>
    <pivotField dataField="1" numFmtId="41" showAll="0"/>
    <pivotField numFmtId="172" showAll="0"/>
    <pivotField numFmtId="3" showAll="0" defaultSubtotal="0"/>
    <pivotField numFmtId="3" showAll="0" defaultSubtotal="0"/>
    <pivotField numFmtId="172" showAll="0" defaultSubtota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041228240"/>
    <dataField name="Saldo por ejecutar." fld="17" baseField="0" baseItem="1041228240"/>
    <dataField name="Saldo disponible." fld="12" baseField="0" baseItem="1041228240"/>
  </dataFields>
  <chartFormats count="4">
    <chartFormat chart="0" format="12" series="1">
      <pivotArea type="data" outline="0" fieldPosition="0">
        <references count="1">
          <reference field="4294967294" count="1" selected="0">
            <x v="0"/>
          </reference>
        </references>
      </pivotArea>
    </chartFormat>
    <chartFormat chart="0" format="13">
      <pivotArea type="data" outline="0" fieldPosition="0">
        <references count="1">
          <reference field="4294967294" count="1" selected="0">
            <x v="0"/>
          </reference>
        </references>
      </pivotArea>
    </chartFormat>
    <chartFormat chart="0" format="14">
      <pivotArea type="data" outline="0" fieldPosition="0">
        <references count="1">
          <reference field="4294967294" count="1" selected="0">
            <x v="1"/>
          </reference>
        </references>
      </pivotArea>
    </chartFormat>
    <chartFormat chart="0" format="1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8" cacheId="5"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3:D15" firstHeaderRow="0" firstDataRow="1" firstDataCol="1" rowPageCount="1" colPageCount="1"/>
  <pivotFields count="17">
    <pivotField axis="axisPage" multipleItemSelectionAllowed="1" showAll="0">
      <items count="16">
        <item x="3"/>
        <item x="4"/>
        <item x="5"/>
        <item x="7"/>
        <item x="9"/>
        <item x="10"/>
        <item x="11"/>
        <item x="12"/>
        <item x="13"/>
        <item x="14"/>
        <item h="1" x="6"/>
        <item x="1"/>
        <item h="1" x="0"/>
        <item h="1" x="2"/>
        <item h="1" x="8"/>
        <item t="default"/>
      </items>
    </pivotField>
    <pivotField showAll="0"/>
    <pivotField showAll="0"/>
    <pivotField showAll="0"/>
    <pivotField showAll="0"/>
    <pivotField axis="axisRow" showAll="0" defaultSubtotal="0">
      <items count="241">
        <item x="103"/>
        <item x="105"/>
        <item x="150"/>
        <item x="137"/>
        <item x="115"/>
        <item x="108"/>
        <item m="1" x="239"/>
        <item x="208"/>
        <item x="209"/>
        <item x="210"/>
        <item x="211"/>
        <item x="212"/>
        <item x="214"/>
        <item x="215"/>
        <item x="152"/>
        <item x="153"/>
        <item x="151"/>
        <item x="116"/>
        <item x="136"/>
        <item x="154"/>
        <item x="194"/>
        <item x="17"/>
        <item x="71"/>
        <item x="165"/>
        <item x="160"/>
        <item x="66"/>
        <item x="28"/>
        <item x="117"/>
        <item x="172"/>
        <item x="118"/>
        <item x="234"/>
        <item x="170"/>
        <item x="169"/>
        <item x="16"/>
        <item x="90"/>
        <item x="91"/>
        <item x="93"/>
        <item x="92"/>
        <item x="7"/>
        <item x="5"/>
        <item x="9"/>
        <item x="13"/>
        <item x="37"/>
        <item x="33"/>
        <item x="24"/>
        <item x="6"/>
        <item x="36"/>
        <item x="10"/>
        <item x="34"/>
        <item x="35"/>
        <item x="19"/>
        <item x="11"/>
        <item x="202"/>
        <item x="44"/>
        <item x="29"/>
        <item x="30"/>
        <item x="48"/>
        <item x="138"/>
        <item x="49"/>
        <item x="27"/>
        <item x="26"/>
        <item x="12"/>
        <item x="0"/>
        <item x="68"/>
        <item x="199"/>
        <item x="99"/>
        <item x="167"/>
        <item x="21"/>
        <item x="20"/>
        <item x="237"/>
        <item x="65"/>
        <item x="198"/>
        <item x="72"/>
        <item x="163"/>
        <item x="62"/>
        <item x="98"/>
        <item x="205"/>
        <item x="141"/>
        <item x="225"/>
        <item x="223"/>
        <item m="1" x="240"/>
        <item x="226"/>
        <item x="213"/>
        <item x="106"/>
        <item x="110"/>
        <item x="67"/>
        <item x="96"/>
        <item x="8"/>
        <item x="1"/>
        <item x="102"/>
        <item x="39"/>
        <item x="40"/>
        <item x="41"/>
        <item x="156"/>
        <item x="58"/>
        <item x="235"/>
        <item x="206"/>
        <item x="74"/>
        <item x="79"/>
        <item x="78"/>
        <item x="77"/>
        <item x="75"/>
        <item x="73"/>
        <item x="52"/>
        <item x="51"/>
        <item x="59"/>
        <item x="56"/>
        <item x="55"/>
        <item x="57"/>
        <item x="143"/>
        <item x="148"/>
        <item x="227"/>
        <item x="144"/>
        <item x="207"/>
        <item x="147"/>
        <item x="145"/>
        <item x="18"/>
        <item x="38"/>
        <item x="204"/>
        <item x="80"/>
        <item x="63"/>
        <item x="101"/>
        <item x="236"/>
        <item x="157"/>
        <item x="61"/>
        <item x="50"/>
        <item x="87"/>
        <item x="31"/>
        <item x="2"/>
        <item x="231"/>
        <item x="104"/>
        <item x="166"/>
        <item x="95"/>
        <item x="53"/>
        <item x="139"/>
        <item x="142"/>
        <item x="149"/>
        <item x="193"/>
        <item x="128"/>
        <item x="130"/>
        <item x="123"/>
        <item x="124"/>
        <item x="125"/>
        <item x="131"/>
        <item x="133"/>
        <item x="121"/>
        <item x="129"/>
        <item x="122"/>
        <item x="127"/>
        <item x="132"/>
        <item x="134"/>
        <item x="119"/>
        <item x="126"/>
        <item x="173"/>
        <item x="174"/>
        <item x="175"/>
        <item x="176"/>
        <item x="181"/>
        <item x="185"/>
        <item x="177"/>
        <item x="178"/>
        <item x="179"/>
        <item x="180"/>
        <item x="182"/>
        <item x="183"/>
        <item x="184"/>
        <item x="186"/>
        <item x="187"/>
        <item x="188"/>
        <item x="164"/>
        <item x="220"/>
        <item x="219"/>
        <item x="218"/>
        <item x="217"/>
        <item x="216"/>
        <item x="224"/>
        <item x="221"/>
        <item x="222"/>
        <item x="81"/>
        <item x="23"/>
        <item x="60"/>
        <item x="88"/>
        <item x="238"/>
        <item x="100"/>
        <item x="233"/>
        <item x="192"/>
        <item x="64"/>
        <item x="85"/>
        <item x="83"/>
        <item x="82"/>
        <item x="89"/>
        <item x="86"/>
        <item x="94"/>
        <item x="84"/>
        <item x="232"/>
        <item x="97"/>
        <item x="228"/>
        <item x="230"/>
        <item x="189"/>
        <item x="4"/>
        <item x="32"/>
        <item x="3"/>
        <item x="42"/>
        <item x="70"/>
        <item x="69"/>
        <item x="203"/>
        <item x="46"/>
        <item x="45"/>
        <item x="25"/>
        <item x="197"/>
        <item x="107"/>
        <item x="171"/>
        <item x="229"/>
        <item x="111"/>
        <item x="112"/>
        <item x="109"/>
        <item x="47"/>
        <item x="43"/>
        <item x="113"/>
        <item x="114"/>
        <item x="168"/>
        <item x="54"/>
        <item x="76"/>
        <item x="200"/>
        <item x="155"/>
        <item x="120"/>
        <item x="191"/>
        <item x="146"/>
        <item x="158"/>
        <item x="159"/>
        <item x="15"/>
        <item x="22"/>
        <item x="161"/>
        <item x="140"/>
        <item x="196"/>
        <item x="201"/>
        <item x="14"/>
        <item x="195"/>
        <item x="162"/>
        <item x="135"/>
        <item x="190"/>
      </items>
    </pivotField>
    <pivotField dataField="1" numFmtId="3" showAll="0"/>
    <pivotField dataField="1" numFmtId="3" showAll="0"/>
    <pivotField numFmtId="3" showAll="0" defaultSubtotal="0"/>
    <pivotField showAll="0" defaultSubtotal="0"/>
    <pivotField showAll="0"/>
    <pivotField showAll="0"/>
    <pivotField showAll="0"/>
    <pivotField numFmtId="172" showAll="0"/>
    <pivotField numFmtId="3" showAll="0" defaultSubtotal="0"/>
    <pivotField numFmtId="3" showAll="0" defaultSubtotal="0"/>
    <pivotField showAll="0" defaultSubtotal="0"/>
  </pivotFields>
  <rowFields count="1">
    <field x="5"/>
  </rowFields>
  <rowItems count="12">
    <i>
      <x v="23"/>
    </i>
    <i>
      <x v="24"/>
    </i>
    <i>
      <x v="53"/>
    </i>
    <i>
      <x v="88"/>
    </i>
    <i>
      <x v="93"/>
    </i>
    <i>
      <x v="130"/>
    </i>
    <i>
      <x v="131"/>
    </i>
    <i>
      <x v="182"/>
    </i>
    <i>
      <x v="184"/>
    </i>
    <i>
      <x v="210"/>
    </i>
    <i>
      <x v="211"/>
    </i>
    <i t="grand">
      <x/>
    </i>
  </rowItems>
  <colFields count="1">
    <field x="-2"/>
  </colFields>
  <colItems count="2">
    <i>
      <x/>
    </i>
    <i i="1">
      <x v="1"/>
    </i>
  </colItems>
  <pageFields count="1">
    <pageField fld="0" hier="-1"/>
  </pageFields>
  <dataFields count="2">
    <dataField name=" Presupuesto Inicial 2023 M$." fld="6" baseField="0" baseItem="2132074096"/>
    <dataField name="Presupuesto Vigente 2023 M$" fld="7" baseField="0" baseItem="2132074096"/>
  </dataFields>
  <chartFormats count="9">
    <chartFormat chart="0" format="14" series="1">
      <pivotArea type="data" outline="0" fieldPosition="0">
        <references count="1">
          <reference field="4294967294" count="1" selected="0">
            <x v="0"/>
          </reference>
        </references>
      </pivotArea>
    </chartFormat>
    <chartFormat chart="0" format="15" series="1">
      <pivotArea type="data" outline="0" fieldPosition="0">
        <references count="1">
          <reference field="4294967294" count="1" selected="0">
            <x v="1"/>
          </reference>
        </references>
      </pivotArea>
    </chartFormat>
    <chartFormat chart="0" format="16">
      <pivotArea type="data" outline="0" fieldPosition="0">
        <references count="2">
          <reference field="4294967294" count="1" selected="0">
            <x v="1"/>
          </reference>
          <reference field="5" count="1" selected="0">
            <x v="211"/>
          </reference>
        </references>
      </pivotArea>
    </chartFormat>
    <chartFormat chart="0" format="17">
      <pivotArea type="data" outline="0" fieldPosition="0">
        <references count="2">
          <reference field="4294967294" count="1" selected="0">
            <x v="1"/>
          </reference>
          <reference field="5" count="1" selected="0">
            <x v="210"/>
          </reference>
        </references>
      </pivotArea>
    </chartFormat>
    <chartFormat chart="0" format="18">
      <pivotArea type="data" outline="0" fieldPosition="0">
        <references count="2">
          <reference field="4294967294" count="1" selected="0">
            <x v="0"/>
          </reference>
          <reference field="5" count="1" selected="0">
            <x v="184"/>
          </reference>
        </references>
      </pivotArea>
    </chartFormat>
    <chartFormat chart="0" format="19">
      <pivotArea type="data" outline="0" fieldPosition="0">
        <references count="2">
          <reference field="4294967294" count="1" selected="0">
            <x v="1"/>
          </reference>
          <reference field="5" count="1" selected="0">
            <x v="184"/>
          </reference>
        </references>
      </pivotArea>
    </chartFormat>
    <chartFormat chart="0" format="20">
      <pivotArea type="data" outline="0" fieldPosition="0">
        <references count="2">
          <reference field="4294967294" count="1" selected="0">
            <x v="1"/>
          </reference>
          <reference field="5" count="1" selected="0">
            <x v="131"/>
          </reference>
        </references>
      </pivotArea>
    </chartFormat>
    <chartFormat chart="0" format="21">
      <pivotArea type="data" outline="0" fieldPosition="0">
        <references count="2">
          <reference field="4294967294" count="1" selected="0">
            <x v="1"/>
          </reference>
          <reference field="5" count="1" selected="0">
            <x v="88"/>
          </reference>
        </references>
      </pivotArea>
    </chartFormat>
    <chartFormat chart="0" format="22">
      <pivotArea type="data" outline="0" fieldPosition="0">
        <references count="2">
          <reference field="4294967294" count="1" selected="0">
            <x v="1"/>
          </reference>
          <reference field="5" count="1" selected="0">
            <x v="5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7" cacheId="5"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chartFormat="1">
  <location ref="B136:D146" firstHeaderRow="0" firstDataRow="1" firstDataCol="1" rowPageCount="1" colPageCount="1"/>
  <pivotFields count="17">
    <pivotField axis="axisPage" multipleItemSelectionAllowed="1" showAll="0" defaultSubtotal="0">
      <items count="15">
        <item x="3"/>
        <item x="4"/>
        <item x="5"/>
        <item x="7"/>
        <item x="9"/>
        <item h="1" x="10"/>
        <item x="11"/>
        <item x="12"/>
        <item x="13"/>
        <item h="1" x="14"/>
        <item h="1" x="6"/>
        <item x="1"/>
        <item h="1" x="0"/>
        <item h="1" x="2"/>
        <item h="1" x="8"/>
      </items>
    </pivotField>
    <pivotField showAll="0"/>
    <pivotField showAll="0"/>
    <pivotField showAll="0"/>
    <pivotField showAll="0"/>
    <pivotField axis="axisRow" showAll="0" defaultSubtotal="0">
      <items count="241">
        <item x="103"/>
        <item x="105"/>
        <item x="150"/>
        <item x="137"/>
        <item x="115"/>
        <item x="108"/>
        <item m="1" x="239"/>
        <item x="208"/>
        <item x="209"/>
        <item x="210"/>
        <item x="211"/>
        <item x="212"/>
        <item x="214"/>
        <item x="215"/>
        <item x="152"/>
        <item x="153"/>
        <item x="151"/>
        <item x="116"/>
        <item x="136"/>
        <item x="154"/>
        <item x="194"/>
        <item x="17"/>
        <item x="71"/>
        <item x="165"/>
        <item x="160"/>
        <item x="66"/>
        <item x="28"/>
        <item x="117"/>
        <item x="172"/>
        <item x="118"/>
        <item x="234"/>
        <item x="170"/>
        <item x="169"/>
        <item x="16"/>
        <item x="90"/>
        <item x="91"/>
        <item x="93"/>
        <item x="92"/>
        <item x="7"/>
        <item x="5"/>
        <item x="9"/>
        <item x="13"/>
        <item x="37"/>
        <item x="33"/>
        <item x="24"/>
        <item x="6"/>
        <item x="36"/>
        <item x="10"/>
        <item x="34"/>
        <item x="35"/>
        <item x="19"/>
        <item x="11"/>
        <item x="202"/>
        <item x="44"/>
        <item x="29"/>
        <item x="30"/>
        <item x="48"/>
        <item x="138"/>
        <item x="49"/>
        <item x="27"/>
        <item x="26"/>
        <item x="12"/>
        <item x="0"/>
        <item x="68"/>
        <item x="199"/>
        <item x="99"/>
        <item x="167"/>
        <item x="21"/>
        <item x="20"/>
        <item x="237"/>
        <item x="65"/>
        <item x="198"/>
        <item x="72"/>
        <item x="163"/>
        <item x="62"/>
        <item x="98"/>
        <item x="205"/>
        <item x="141"/>
        <item x="225"/>
        <item x="223"/>
        <item m="1" x="240"/>
        <item x="226"/>
        <item x="213"/>
        <item x="106"/>
        <item x="110"/>
        <item x="67"/>
        <item x="96"/>
        <item x="8"/>
        <item x="1"/>
        <item x="102"/>
        <item x="39"/>
        <item x="40"/>
        <item x="41"/>
        <item x="156"/>
        <item x="58"/>
        <item x="235"/>
        <item x="206"/>
        <item x="74"/>
        <item x="79"/>
        <item x="78"/>
        <item x="77"/>
        <item x="75"/>
        <item x="73"/>
        <item x="52"/>
        <item x="51"/>
        <item x="59"/>
        <item x="56"/>
        <item x="55"/>
        <item x="57"/>
        <item x="143"/>
        <item x="148"/>
        <item x="227"/>
        <item x="144"/>
        <item x="207"/>
        <item x="147"/>
        <item x="145"/>
        <item x="18"/>
        <item x="38"/>
        <item x="204"/>
        <item x="80"/>
        <item x="63"/>
        <item x="101"/>
        <item x="236"/>
        <item x="157"/>
        <item x="61"/>
        <item x="50"/>
        <item x="87"/>
        <item x="31"/>
        <item x="2"/>
        <item x="231"/>
        <item x="104"/>
        <item x="166"/>
        <item x="95"/>
        <item x="53"/>
        <item x="139"/>
        <item x="142"/>
        <item x="149"/>
        <item x="193"/>
        <item x="128"/>
        <item x="130"/>
        <item x="123"/>
        <item x="124"/>
        <item x="125"/>
        <item x="131"/>
        <item x="133"/>
        <item x="121"/>
        <item x="129"/>
        <item x="122"/>
        <item x="127"/>
        <item x="132"/>
        <item x="134"/>
        <item x="119"/>
        <item x="126"/>
        <item x="173"/>
        <item x="174"/>
        <item x="175"/>
        <item x="176"/>
        <item x="181"/>
        <item x="185"/>
        <item x="177"/>
        <item x="178"/>
        <item x="179"/>
        <item x="180"/>
        <item x="182"/>
        <item x="183"/>
        <item x="184"/>
        <item x="186"/>
        <item x="187"/>
        <item x="188"/>
        <item x="164"/>
        <item x="220"/>
        <item x="219"/>
        <item x="218"/>
        <item x="217"/>
        <item x="216"/>
        <item x="224"/>
        <item x="221"/>
        <item x="222"/>
        <item x="81"/>
        <item x="23"/>
        <item x="60"/>
        <item x="88"/>
        <item x="238"/>
        <item x="100"/>
        <item x="233"/>
        <item x="192"/>
        <item x="64"/>
        <item x="85"/>
        <item x="83"/>
        <item x="82"/>
        <item x="89"/>
        <item x="86"/>
        <item x="94"/>
        <item x="84"/>
        <item x="232"/>
        <item x="97"/>
        <item x="228"/>
        <item x="230"/>
        <item x="189"/>
        <item x="4"/>
        <item x="32"/>
        <item x="3"/>
        <item x="42"/>
        <item x="70"/>
        <item x="69"/>
        <item x="203"/>
        <item x="46"/>
        <item x="45"/>
        <item x="25"/>
        <item x="197"/>
        <item x="107"/>
        <item x="171"/>
        <item x="229"/>
        <item x="111"/>
        <item x="112"/>
        <item x="109"/>
        <item x="47"/>
        <item x="43"/>
        <item x="113"/>
        <item x="114"/>
        <item x="168"/>
        <item x="54"/>
        <item x="76"/>
        <item x="200"/>
        <item x="155"/>
        <item x="120"/>
        <item x="191"/>
        <item x="146"/>
        <item x="158"/>
        <item x="159"/>
        <item x="15"/>
        <item x="22"/>
        <item x="161"/>
        <item x="140"/>
        <item x="196"/>
        <item x="201"/>
        <item x="14"/>
        <item x="195"/>
        <item x="162"/>
        <item x="135"/>
        <item x="190"/>
      </items>
    </pivotField>
    <pivotField numFmtId="3" showAll="0"/>
    <pivotField numFmtId="3" showAll="0"/>
    <pivotField numFmtId="3" showAll="0" defaultSubtotal="0"/>
    <pivotField dataField="1" showAll="0" defaultSubtotal="0"/>
    <pivotField showAll="0"/>
    <pivotField showAll="0"/>
    <pivotField showAll="0"/>
    <pivotField numFmtId="172" showAll="0"/>
    <pivotField numFmtId="3" showAll="0" defaultSubtotal="0"/>
    <pivotField numFmtId="3" showAll="0" defaultSubtotal="0"/>
    <pivotField dataField="1" showAll="0" defaultSubtotal="0"/>
  </pivotFields>
  <rowFields count="1">
    <field x="5"/>
  </rowFields>
  <rowItems count="10">
    <i>
      <x v="24"/>
    </i>
    <i>
      <x v="53"/>
    </i>
    <i>
      <x v="88"/>
    </i>
    <i>
      <x v="93"/>
    </i>
    <i>
      <x v="130"/>
    </i>
    <i>
      <x v="131"/>
    </i>
    <i>
      <x v="184"/>
    </i>
    <i>
      <x v="210"/>
    </i>
    <i>
      <x v="211"/>
    </i>
    <i t="grand">
      <x/>
    </i>
  </rowItems>
  <colFields count="1">
    <field x="-2"/>
  </colFields>
  <colItems count="2">
    <i>
      <x/>
    </i>
    <i i="1">
      <x v="1"/>
    </i>
  </colItems>
  <pageFields count="1">
    <pageField fld="0" hier="-1"/>
  </pageFields>
  <dataFields count="2">
    <dataField name="% de Ejecución  2023 M$." fld="9" baseField="0" baseItem="2132074096"/>
    <dataField name="% Ejecución 2022 M$." fld="16" baseField="0" baseItem="2132074096"/>
  </dataFields>
  <formats count="1">
    <format dxfId="117">
      <pivotArea outline="0" collapsedLevelsAreSubtotals="1" fieldPosition="0"/>
    </format>
  </formats>
  <chartFormats count="2">
    <chartFormat chart="0" format="28" series="1">
      <pivotArea type="data" outline="0" fieldPosition="0">
        <references count="1">
          <reference field="4294967294" count="1" selected="0">
            <x v="1"/>
          </reference>
        </references>
      </pivotArea>
    </chartFormat>
    <chartFormat chart="0" format="3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5"/>
  <sheetViews>
    <sheetView topLeftCell="B304" zoomScale="90" zoomScaleNormal="90" workbookViewId="0">
      <selection activeCell="R14" sqref="R14"/>
    </sheetView>
  </sheetViews>
  <sheetFormatPr baseColWidth="10" defaultColWidth="11.42578125" defaultRowHeight="15" x14ac:dyDescent="0.25"/>
  <cols>
    <col min="1" max="1" width="0" style="531" hidden="1" customWidth="1"/>
    <col min="2" max="2" width="17.7109375" style="148" customWidth="1"/>
    <col min="3" max="3" width="35.7109375" style="148" customWidth="1"/>
    <col min="4" max="4" width="19.85546875" style="148" customWidth="1"/>
    <col min="5" max="5" width="27.85546875" style="148" customWidth="1"/>
    <col min="6" max="9" width="13" style="148" customWidth="1"/>
    <col min="10" max="10" width="11.5703125" style="148" customWidth="1"/>
    <col min="11" max="11" width="8.140625" style="148" customWidth="1"/>
    <col min="12" max="12" width="11.5703125" style="148" customWidth="1"/>
    <col min="13" max="13" width="8.140625" style="148" customWidth="1"/>
    <col min="14" max="14" width="11.5703125" style="148" customWidth="1"/>
    <col min="15" max="15" width="14.140625" style="148" customWidth="1"/>
    <col min="16" max="16" width="27.85546875" style="148" customWidth="1"/>
    <col min="17" max="17" width="40.7109375" style="148" bestFit="1" customWidth="1"/>
    <col min="18" max="18" width="16" style="148" bestFit="1" customWidth="1"/>
    <col min="19" max="19" width="50.140625" style="148" bestFit="1" customWidth="1"/>
    <col min="20" max="20" width="34.28515625" style="148" bestFit="1" customWidth="1"/>
    <col min="21" max="21" width="37.140625" style="148" bestFit="1" customWidth="1"/>
    <col min="22" max="22" width="55.28515625" style="148" bestFit="1" customWidth="1"/>
    <col min="23" max="23" width="25" style="148" bestFit="1" customWidth="1"/>
    <col min="24" max="24" width="22.7109375" style="148" bestFit="1" customWidth="1"/>
    <col min="25" max="25" width="16.42578125" style="148" bestFit="1" customWidth="1"/>
    <col min="26" max="26" width="38.5703125" style="148" bestFit="1" customWidth="1"/>
    <col min="27" max="27" width="41.5703125" style="148" bestFit="1" customWidth="1"/>
    <col min="28" max="28" width="5.7109375" style="148" customWidth="1"/>
    <col min="29" max="29" width="10.85546875" style="148" customWidth="1"/>
    <col min="30" max="30" width="36.28515625" style="148" bestFit="1" customWidth="1"/>
    <col min="31" max="31" width="18.7109375" style="148" bestFit="1" customWidth="1"/>
    <col min="32" max="32" width="40.28515625" style="148" bestFit="1" customWidth="1"/>
    <col min="33" max="33" width="31.7109375" style="148" bestFit="1" customWidth="1"/>
    <col min="34" max="34" width="50.140625" style="148" bestFit="1" customWidth="1"/>
    <col min="35" max="35" width="45.28515625" style="148" bestFit="1" customWidth="1"/>
    <col min="36" max="36" width="21.5703125" style="148" bestFit="1" customWidth="1"/>
    <col min="37" max="37" width="8.85546875" style="148" customWidth="1"/>
    <col min="38" max="38" width="19.5703125" style="148" bestFit="1" customWidth="1"/>
    <col min="39" max="40" width="31" style="148" bestFit="1" customWidth="1"/>
    <col min="41" max="41" width="28.5703125" style="148" bestFit="1" customWidth="1"/>
    <col min="42" max="42" width="24.28515625" style="148" bestFit="1" customWidth="1"/>
    <col min="43" max="43" width="30.5703125" style="148" bestFit="1" customWidth="1"/>
    <col min="44" max="44" width="37" style="148" bestFit="1" customWidth="1"/>
    <col min="45" max="45" width="37.42578125" style="148" bestFit="1" customWidth="1"/>
    <col min="46" max="46" width="18.42578125" style="148" bestFit="1" customWidth="1"/>
    <col min="47" max="47" width="45.140625" style="148" bestFit="1" customWidth="1"/>
    <col min="48" max="48" width="21.42578125" style="148" bestFit="1" customWidth="1"/>
    <col min="49" max="49" width="25.7109375" style="148" bestFit="1" customWidth="1"/>
    <col min="50" max="50" width="27.7109375" style="148" bestFit="1" customWidth="1"/>
    <col min="51" max="52" width="35.5703125" style="148" bestFit="1" customWidth="1"/>
    <col min="53" max="53" width="27.5703125" style="148" bestFit="1" customWidth="1"/>
    <col min="54" max="54" width="23.85546875" style="148" bestFit="1" customWidth="1"/>
    <col min="55" max="55" width="23.7109375" style="148" bestFit="1" customWidth="1"/>
    <col min="56" max="56" width="32.85546875" style="148" bestFit="1" customWidth="1"/>
    <col min="57" max="57" width="19.140625" style="148" bestFit="1" customWidth="1"/>
    <col min="58" max="58" width="16.7109375" style="148" bestFit="1" customWidth="1"/>
    <col min="59" max="59" width="8" style="148" customWidth="1"/>
    <col min="60" max="60" width="43.5703125" style="148" bestFit="1" customWidth="1"/>
    <col min="61" max="61" width="25.5703125" style="148" bestFit="1" customWidth="1"/>
    <col min="62" max="62" width="35.28515625" style="148" bestFit="1" customWidth="1"/>
    <col min="63" max="63" width="31.7109375" style="148" bestFit="1" customWidth="1"/>
    <col min="64" max="64" width="41.85546875" style="148" bestFit="1" customWidth="1"/>
    <col min="65" max="65" width="27.28515625" style="148" bestFit="1" customWidth="1"/>
    <col min="66" max="66" width="7" style="148" customWidth="1"/>
    <col min="67" max="67" width="24" style="148" bestFit="1" customWidth="1"/>
    <col min="68" max="68" width="21.42578125" style="148" bestFit="1" customWidth="1"/>
    <col min="69" max="69" width="12.140625" style="148" bestFit="1" customWidth="1"/>
    <col min="70" max="70" width="20.5703125" style="148" bestFit="1" customWidth="1"/>
    <col min="71" max="71" width="23.42578125" style="148" bestFit="1" customWidth="1"/>
    <col min="72" max="72" width="14.85546875" style="148" bestFit="1" customWidth="1"/>
    <col min="73" max="73" width="11.42578125" style="148"/>
    <col min="74" max="74" width="18" style="148" bestFit="1" customWidth="1"/>
    <col min="75" max="75" width="29.28515625" style="148" bestFit="1" customWidth="1"/>
    <col min="76" max="76" width="35.7109375" style="148" bestFit="1" customWidth="1"/>
    <col min="77" max="77" width="17" style="148" bestFit="1" customWidth="1"/>
    <col min="78" max="78" width="24.5703125" style="148" bestFit="1" customWidth="1"/>
    <col min="79" max="79" width="23.7109375" style="148" bestFit="1" customWidth="1"/>
    <col min="80" max="80" width="37.42578125" style="148" bestFit="1" customWidth="1"/>
    <col min="81" max="81" width="36.140625" style="148" bestFit="1" customWidth="1"/>
    <col min="82" max="82" width="24.28515625" style="148" bestFit="1" customWidth="1"/>
    <col min="83" max="83" width="46.42578125" style="148" bestFit="1" customWidth="1"/>
    <col min="84" max="84" width="29.28515625" style="148" bestFit="1" customWidth="1"/>
    <col min="85" max="85" width="27.85546875" style="148" bestFit="1" customWidth="1"/>
    <col min="86" max="86" width="45.5703125" style="148" bestFit="1" customWidth="1"/>
    <col min="87" max="87" width="42.28515625" style="148" bestFit="1" customWidth="1"/>
    <col min="88" max="88" width="4.5703125" style="148" customWidth="1"/>
    <col min="89" max="89" width="16.42578125" style="148" bestFit="1" customWidth="1"/>
    <col min="90" max="90" width="24.42578125" style="148" bestFit="1" customWidth="1"/>
    <col min="91" max="91" width="21.7109375" style="148" bestFit="1" customWidth="1"/>
    <col min="92" max="92" width="15.5703125" style="148" bestFit="1" customWidth="1"/>
    <col min="93" max="93" width="44.140625" style="148" bestFit="1" customWidth="1"/>
    <col min="94" max="94" width="35.5703125" style="148" bestFit="1" customWidth="1"/>
    <col min="95" max="95" width="32.7109375" style="148" bestFit="1" customWidth="1"/>
    <col min="96" max="96" width="19.140625" style="148" bestFit="1" customWidth="1"/>
    <col min="97" max="97" width="46.7109375" style="148" bestFit="1" customWidth="1"/>
    <col min="98" max="98" width="23.140625" style="148" bestFit="1" customWidth="1"/>
    <col min="99" max="99" width="46.7109375" style="148" bestFit="1" customWidth="1"/>
    <col min="100" max="100" width="42.85546875" style="148" bestFit="1" customWidth="1"/>
    <col min="101" max="101" width="49.42578125" style="148" bestFit="1" customWidth="1"/>
    <col min="102" max="102" width="58.42578125" style="148" bestFit="1" customWidth="1"/>
    <col min="103" max="103" width="48.42578125" style="148" bestFit="1" customWidth="1"/>
    <col min="104" max="104" width="39.28515625" style="148" bestFit="1" customWidth="1"/>
    <col min="105" max="105" width="29.85546875" style="148" bestFit="1" customWidth="1"/>
    <col min="106" max="106" width="20.85546875" style="148" bestFit="1" customWidth="1"/>
    <col min="107" max="107" width="27.85546875" style="148" bestFit="1" customWidth="1"/>
    <col min="108" max="108" width="57" style="148" bestFit="1" customWidth="1"/>
    <col min="109" max="109" width="26" style="148" bestFit="1" customWidth="1"/>
    <col min="110" max="110" width="29.140625" style="148" bestFit="1" customWidth="1"/>
    <col min="111" max="111" width="34.140625" style="148" bestFit="1" customWidth="1"/>
    <col min="112" max="112" width="50" style="148" bestFit="1" customWidth="1"/>
    <col min="113" max="113" width="49.7109375" style="148" bestFit="1" customWidth="1"/>
    <col min="114" max="114" width="43.28515625" style="148" bestFit="1" customWidth="1"/>
    <col min="115" max="115" width="82" style="148" bestFit="1" customWidth="1"/>
    <col min="116" max="116" width="12.42578125" style="148" bestFit="1" customWidth="1"/>
    <col min="117" max="117" width="27.7109375" style="148" bestFit="1" customWidth="1"/>
    <col min="118" max="118" width="57.7109375" style="148" bestFit="1" customWidth="1"/>
    <col min="119" max="119" width="30.140625" style="148" bestFit="1" customWidth="1"/>
    <col min="120" max="120" width="22" style="148" bestFit="1" customWidth="1"/>
    <col min="121" max="121" width="25.85546875" style="148" bestFit="1" customWidth="1"/>
    <col min="122" max="122" width="6" style="148" customWidth="1"/>
    <col min="123" max="123" width="6.5703125" style="148" customWidth="1"/>
    <col min="124" max="124" width="43.85546875" style="148" bestFit="1" customWidth="1"/>
    <col min="125" max="125" width="37.42578125" style="148" bestFit="1" customWidth="1"/>
    <col min="126" max="126" width="21.28515625" style="148" bestFit="1" customWidth="1"/>
    <col min="127" max="127" width="62.42578125" style="148" bestFit="1" customWidth="1"/>
    <col min="128" max="128" width="14.5703125" style="148" bestFit="1" customWidth="1"/>
    <col min="129" max="129" width="25.5703125" style="148" bestFit="1" customWidth="1"/>
    <col min="130" max="130" width="18.5703125" style="148" bestFit="1" customWidth="1"/>
    <col min="131" max="131" width="17.7109375" style="148" bestFit="1" customWidth="1"/>
    <col min="132" max="132" width="26.7109375" style="148" bestFit="1" customWidth="1"/>
    <col min="133" max="133" width="36.5703125" style="148" bestFit="1" customWidth="1"/>
    <col min="134" max="134" width="12.85546875" style="148" bestFit="1" customWidth="1"/>
    <col min="135" max="135" width="26.5703125" style="148" bestFit="1" customWidth="1"/>
    <col min="136" max="136" width="18.7109375" style="148" bestFit="1" customWidth="1"/>
    <col min="137" max="137" width="50.140625" style="148" bestFit="1" customWidth="1"/>
    <col min="138" max="138" width="67.85546875" style="148" bestFit="1" customWidth="1"/>
    <col min="139" max="139" width="35.7109375" style="148" bestFit="1" customWidth="1"/>
    <col min="140" max="140" width="44.42578125" style="148" bestFit="1" customWidth="1"/>
    <col min="141" max="141" width="52.28515625" style="148" bestFit="1" customWidth="1"/>
    <col min="142" max="142" width="54.140625" style="148" bestFit="1" customWidth="1"/>
    <col min="143" max="143" width="53.140625" style="148" bestFit="1" customWidth="1"/>
    <col min="144" max="144" width="65.140625" style="148" bestFit="1" customWidth="1"/>
    <col min="145" max="145" width="49.85546875" style="148" bestFit="1" customWidth="1"/>
    <col min="146" max="146" width="53.7109375" style="148" bestFit="1" customWidth="1"/>
    <col min="147" max="147" width="59.28515625" style="148" bestFit="1" customWidth="1"/>
    <col min="148" max="148" width="52.7109375" style="148" bestFit="1" customWidth="1"/>
    <col min="149" max="149" width="84.42578125" style="148" bestFit="1" customWidth="1"/>
    <col min="150" max="150" width="53.5703125" style="148" bestFit="1" customWidth="1"/>
    <col min="151" max="151" width="56.28515625" style="148" bestFit="1" customWidth="1"/>
    <col min="152" max="152" width="52" style="148" bestFit="1" customWidth="1"/>
    <col min="153" max="153" width="49.85546875" style="148" bestFit="1" customWidth="1"/>
    <col min="154" max="154" width="52.85546875" style="148" bestFit="1" customWidth="1"/>
    <col min="155" max="155" width="51.5703125" style="148" bestFit="1" customWidth="1"/>
    <col min="156" max="156" width="44.28515625" style="148" bestFit="1" customWidth="1"/>
    <col min="157" max="157" width="47.7109375" style="148" bestFit="1" customWidth="1"/>
    <col min="158" max="158" width="44.5703125" style="148" bestFit="1" customWidth="1"/>
    <col min="159" max="159" width="45.85546875" style="148" bestFit="1" customWidth="1"/>
    <col min="160" max="160" width="48.42578125" style="148" bestFit="1" customWidth="1"/>
    <col min="161" max="161" width="47.28515625" style="148" bestFit="1" customWidth="1"/>
    <col min="162" max="162" width="45.85546875" style="148" bestFit="1" customWidth="1"/>
    <col min="163" max="163" width="49.85546875" style="148" bestFit="1" customWidth="1"/>
    <col min="164" max="164" width="43.5703125" style="148" bestFit="1" customWidth="1"/>
    <col min="165" max="165" width="44.85546875" style="148" bestFit="1" customWidth="1"/>
    <col min="166" max="166" width="45.5703125" style="148" bestFit="1" customWidth="1"/>
    <col min="167" max="167" width="42.85546875" style="148" bestFit="1" customWidth="1"/>
    <col min="168" max="168" width="48.42578125" style="148" bestFit="1" customWidth="1"/>
    <col min="169" max="169" width="45.5703125" style="148" bestFit="1" customWidth="1"/>
    <col min="170" max="170" width="54.42578125" style="148" bestFit="1" customWidth="1"/>
    <col min="171" max="171" width="43.85546875" style="148" bestFit="1" customWidth="1"/>
    <col min="172" max="172" width="22.42578125" style="148" bestFit="1" customWidth="1"/>
    <col min="173" max="173" width="21" style="148" bestFit="1" customWidth="1"/>
    <col min="174" max="174" width="45.85546875" style="148" bestFit="1" customWidth="1"/>
    <col min="175" max="175" width="47.7109375" style="148" bestFit="1" customWidth="1"/>
    <col min="176" max="176" width="34.28515625" style="148" bestFit="1" customWidth="1"/>
    <col min="177" max="177" width="39.85546875" style="148" bestFit="1" customWidth="1"/>
    <col min="178" max="178" width="38" style="148" bestFit="1" customWidth="1"/>
    <col min="179" max="179" width="27.140625" style="148" bestFit="1" customWidth="1"/>
    <col min="180" max="180" width="29.42578125" style="148" bestFit="1" customWidth="1"/>
    <col min="181" max="181" width="19.85546875" style="148" bestFit="1" customWidth="1"/>
    <col min="182" max="182" width="25" style="148" bestFit="1" customWidth="1"/>
    <col min="183" max="183" width="67.7109375" style="148" bestFit="1" customWidth="1"/>
    <col min="184" max="184" width="32.7109375" style="148" bestFit="1" customWidth="1"/>
    <col min="185" max="185" width="21" style="148" bestFit="1" customWidth="1"/>
    <col min="186" max="186" width="20.7109375" style="148" bestFit="1" customWidth="1"/>
    <col min="187" max="187" width="22.42578125" style="148" bestFit="1" customWidth="1"/>
    <col min="188" max="188" width="37.85546875" style="148" bestFit="1" customWidth="1"/>
    <col min="189" max="189" width="16.28515625" style="148" bestFit="1" customWidth="1"/>
    <col min="190" max="190" width="16.5703125" style="148" bestFit="1" customWidth="1"/>
    <col min="191" max="191" width="21.28515625" style="148" bestFit="1" customWidth="1"/>
    <col min="192" max="192" width="21.5703125" style="148" bestFit="1" customWidth="1"/>
    <col min="193" max="193" width="33" style="148" bestFit="1" customWidth="1"/>
    <col min="194" max="194" width="21" style="148" bestFit="1" customWidth="1"/>
    <col min="195" max="195" width="32.42578125" style="148" bestFit="1" customWidth="1"/>
    <col min="196" max="196" width="18.7109375" style="148" bestFit="1" customWidth="1"/>
    <col min="197" max="197" width="15" style="148" bestFit="1" customWidth="1"/>
    <col min="198" max="198" width="31.5703125" style="148" bestFit="1" customWidth="1"/>
    <col min="199" max="199" width="38.85546875" style="148" bestFit="1" customWidth="1"/>
    <col min="200" max="200" width="35.140625" style="148" bestFit="1" customWidth="1"/>
    <col min="201" max="201" width="50" style="148" bestFit="1" customWidth="1"/>
    <col min="202" max="202" width="12.85546875" style="148" bestFit="1" customWidth="1"/>
    <col min="203" max="203" width="12.42578125" style="148" bestFit="1" customWidth="1"/>
    <col min="204" max="204" width="22.140625" style="148" bestFit="1" customWidth="1"/>
    <col min="205" max="205" width="23.7109375" style="148" bestFit="1" customWidth="1"/>
    <col min="206" max="206" width="16.28515625" style="148" bestFit="1" customWidth="1"/>
    <col min="207" max="207" width="13.140625" style="148" bestFit="1" customWidth="1"/>
    <col min="208" max="208" width="15" style="148" bestFit="1" customWidth="1"/>
    <col min="209" max="209" width="26.5703125" style="148" bestFit="1" customWidth="1"/>
    <col min="210" max="210" width="27" style="148" bestFit="1" customWidth="1"/>
    <col min="211" max="211" width="23" style="148" bestFit="1" customWidth="1"/>
    <col min="212" max="212" width="17.140625" style="148" bestFit="1" customWidth="1"/>
    <col min="213" max="213" width="30" style="148" bestFit="1" customWidth="1"/>
    <col min="214" max="214" width="28.85546875" style="148" bestFit="1" customWidth="1"/>
    <col min="215" max="215" width="34.7109375" style="148" bestFit="1" customWidth="1"/>
    <col min="216" max="216" width="44.28515625" style="148" bestFit="1" customWidth="1"/>
    <col min="217" max="217" width="41.85546875" style="148" bestFit="1" customWidth="1"/>
    <col min="218" max="218" width="25" style="148" bestFit="1" customWidth="1"/>
    <col min="219" max="219" width="38" style="148" bestFit="1" customWidth="1"/>
    <col min="220" max="220" width="12.85546875" style="148" bestFit="1" customWidth="1"/>
    <col min="221" max="16384" width="11.42578125" style="148"/>
  </cols>
  <sheetData>
    <row r="1" spans="1:4" x14ac:dyDescent="0.25">
      <c r="B1" s="284" t="s">
        <v>855</v>
      </c>
      <c r="C1" s="75" t="s">
        <v>857</v>
      </c>
      <c r="D1"/>
    </row>
    <row r="2" spans="1:4" x14ac:dyDescent="0.25">
      <c r="A2" s="531">
        <v>1</v>
      </c>
      <c r="B2"/>
      <c r="C2"/>
      <c r="D2"/>
    </row>
    <row r="3" spans="1:4" x14ac:dyDescent="0.25">
      <c r="A3" s="531">
        <v>2</v>
      </c>
      <c r="B3" s="284" t="s">
        <v>793</v>
      </c>
      <c r="C3" s="75" t="s">
        <v>1003</v>
      </c>
      <c r="D3" s="75" t="s">
        <v>990</v>
      </c>
    </row>
    <row r="4" spans="1:4" x14ac:dyDescent="0.25">
      <c r="A4" s="531">
        <v>3</v>
      </c>
      <c r="B4" s="70" t="s">
        <v>670</v>
      </c>
      <c r="C4" s="290">
        <v>0</v>
      </c>
      <c r="D4" s="290">
        <v>0</v>
      </c>
    </row>
    <row r="5" spans="1:4" x14ac:dyDescent="0.25">
      <c r="A5" s="531">
        <v>4</v>
      </c>
      <c r="B5" s="70" t="s">
        <v>315</v>
      </c>
      <c r="C5" s="290">
        <v>332151</v>
      </c>
      <c r="D5" s="290">
        <v>332151</v>
      </c>
    </row>
    <row r="6" spans="1:4" x14ac:dyDescent="0.25">
      <c r="A6" s="531">
        <v>5</v>
      </c>
      <c r="B6" s="70" t="s">
        <v>15</v>
      </c>
      <c r="C6" s="290">
        <v>2322767.9980000001</v>
      </c>
      <c r="D6" s="290">
        <v>2702640.9990000003</v>
      </c>
    </row>
    <row r="7" spans="1:4" x14ac:dyDescent="0.25">
      <c r="A7" s="531">
        <v>6</v>
      </c>
      <c r="B7" s="70" t="s">
        <v>16</v>
      </c>
      <c r="C7" s="290">
        <v>17419021</v>
      </c>
      <c r="D7" s="290">
        <v>17419021</v>
      </c>
    </row>
    <row r="8" spans="1:4" x14ac:dyDescent="0.25">
      <c r="A8" s="531">
        <v>7</v>
      </c>
      <c r="B8" s="70" t="s">
        <v>542</v>
      </c>
      <c r="C8" s="290">
        <v>165399</v>
      </c>
      <c r="D8" s="290">
        <v>165399</v>
      </c>
    </row>
    <row r="9" spans="1:4" x14ac:dyDescent="0.25">
      <c r="A9" s="531">
        <v>8</v>
      </c>
      <c r="B9" s="70" t="s">
        <v>280</v>
      </c>
      <c r="C9" s="290">
        <v>10</v>
      </c>
      <c r="D9" s="290">
        <v>10</v>
      </c>
    </row>
    <row r="10" spans="1:4" x14ac:dyDescent="0.25">
      <c r="A10" s="531">
        <v>9</v>
      </c>
      <c r="B10" s="70" t="s">
        <v>149</v>
      </c>
      <c r="C10" s="290">
        <v>5667935</v>
      </c>
      <c r="D10" s="290">
        <v>5667935</v>
      </c>
    </row>
    <row r="11" spans="1:4" x14ac:dyDescent="0.25">
      <c r="A11" s="531">
        <v>10</v>
      </c>
      <c r="B11" s="70" t="s">
        <v>125</v>
      </c>
      <c r="C11" s="290">
        <v>0</v>
      </c>
      <c r="D11" s="290">
        <v>0</v>
      </c>
    </row>
    <row r="12" spans="1:4" x14ac:dyDescent="0.25">
      <c r="A12" s="531">
        <v>11</v>
      </c>
      <c r="B12" s="70" t="s">
        <v>83</v>
      </c>
      <c r="C12" s="290">
        <v>17962498</v>
      </c>
      <c r="D12" s="290">
        <v>19134769</v>
      </c>
    </row>
    <row r="13" spans="1:4" x14ac:dyDescent="0.25">
      <c r="A13" s="531">
        <v>12</v>
      </c>
      <c r="B13" s="70" t="s">
        <v>148</v>
      </c>
      <c r="C13" s="290">
        <v>85436322</v>
      </c>
      <c r="D13" s="290">
        <v>85436322</v>
      </c>
    </row>
    <row r="14" spans="1:4" x14ac:dyDescent="0.25">
      <c r="A14" s="531">
        <v>13</v>
      </c>
      <c r="B14" s="70" t="s">
        <v>150</v>
      </c>
      <c r="C14" s="290">
        <v>301825406</v>
      </c>
      <c r="D14" s="290">
        <v>291563379</v>
      </c>
    </row>
    <row r="15" spans="1:4" x14ac:dyDescent="0.25">
      <c r="A15" s="531">
        <v>14</v>
      </c>
      <c r="B15" s="70" t="s">
        <v>794</v>
      </c>
      <c r="C15" s="290">
        <v>431131509.99800003</v>
      </c>
      <c r="D15" s="290">
        <v>422421626.99900001</v>
      </c>
    </row>
    <row r="16" spans="1:4" x14ac:dyDescent="0.25">
      <c r="A16" s="531">
        <v>15</v>
      </c>
      <c r="B16"/>
      <c r="C16"/>
      <c r="D16"/>
    </row>
    <row r="17" spans="1:4" x14ac:dyDescent="0.25">
      <c r="A17" s="531">
        <v>16</v>
      </c>
      <c r="B17"/>
      <c r="C17"/>
      <c r="D17"/>
    </row>
    <row r="18" spans="1:4" x14ac:dyDescent="0.25">
      <c r="A18" s="531">
        <v>17</v>
      </c>
      <c r="B18"/>
      <c r="C18"/>
      <c r="D18"/>
    </row>
    <row r="19" spans="1:4" x14ac:dyDescent="0.25">
      <c r="A19" s="531">
        <v>18</v>
      </c>
    </row>
    <row r="20" spans="1:4" x14ac:dyDescent="0.25">
      <c r="A20" s="531">
        <v>19</v>
      </c>
    </row>
    <row r="21" spans="1:4" x14ac:dyDescent="0.25">
      <c r="A21" s="531">
        <v>20</v>
      </c>
    </row>
    <row r="22" spans="1:4" x14ac:dyDescent="0.25">
      <c r="A22" s="531">
        <v>21</v>
      </c>
    </row>
    <row r="23" spans="1:4" x14ac:dyDescent="0.25">
      <c r="A23" s="531">
        <v>22</v>
      </c>
    </row>
    <row r="24" spans="1:4" x14ac:dyDescent="0.25">
      <c r="A24" s="531">
        <v>23</v>
      </c>
    </row>
    <row r="25" spans="1:4" x14ac:dyDescent="0.25">
      <c r="A25" s="531">
        <v>24</v>
      </c>
    </row>
    <row r="26" spans="1:4" x14ac:dyDescent="0.25">
      <c r="A26" s="531">
        <v>25</v>
      </c>
    </row>
    <row r="27" spans="1:4" x14ac:dyDescent="0.25">
      <c r="A27" s="531">
        <v>26</v>
      </c>
    </row>
    <row r="28" spans="1:4" x14ac:dyDescent="0.25">
      <c r="A28" s="531">
        <v>27</v>
      </c>
    </row>
    <row r="29" spans="1:4" x14ac:dyDescent="0.25">
      <c r="A29" s="531">
        <v>28</v>
      </c>
    </row>
    <row r="30" spans="1:4" x14ac:dyDescent="0.25">
      <c r="A30" s="531">
        <v>29</v>
      </c>
    </row>
    <row r="31" spans="1:4" x14ac:dyDescent="0.25">
      <c r="A31" s="531">
        <v>30</v>
      </c>
    </row>
    <row r="32" spans="1:4" x14ac:dyDescent="0.25">
      <c r="A32" s="531">
        <v>31</v>
      </c>
    </row>
    <row r="33" spans="1:1" x14ac:dyDescent="0.25">
      <c r="A33" s="531">
        <v>32</v>
      </c>
    </row>
    <row r="34" spans="1:1" x14ac:dyDescent="0.25">
      <c r="A34" s="531">
        <v>33</v>
      </c>
    </row>
    <row r="35" spans="1:1" x14ac:dyDescent="0.25">
      <c r="A35" s="531">
        <v>34</v>
      </c>
    </row>
    <row r="36" spans="1:1" x14ac:dyDescent="0.25">
      <c r="A36" s="531">
        <v>35</v>
      </c>
    </row>
    <row r="37" spans="1:1" ht="15" hidden="1" customHeight="1" x14ac:dyDescent="0.25">
      <c r="A37" s="531">
        <v>36</v>
      </c>
    </row>
    <row r="38" spans="1:1" hidden="1" x14ac:dyDescent="0.25">
      <c r="A38" s="531">
        <v>37</v>
      </c>
    </row>
    <row r="39" spans="1:1" hidden="1" x14ac:dyDescent="0.25">
      <c r="A39" s="531">
        <v>38</v>
      </c>
    </row>
    <row r="40" spans="1:1" hidden="1" x14ac:dyDescent="0.25">
      <c r="A40" s="531">
        <v>39</v>
      </c>
    </row>
    <row r="41" spans="1:1" hidden="1" x14ac:dyDescent="0.25">
      <c r="A41" s="531">
        <v>40</v>
      </c>
    </row>
    <row r="42" spans="1:1" hidden="1" x14ac:dyDescent="0.25">
      <c r="A42" s="531">
        <v>41</v>
      </c>
    </row>
    <row r="43" spans="1:1" hidden="1" x14ac:dyDescent="0.25">
      <c r="A43" s="531">
        <v>42</v>
      </c>
    </row>
    <row r="44" spans="1:1" hidden="1" x14ac:dyDescent="0.25">
      <c r="A44" s="531">
        <v>43</v>
      </c>
    </row>
    <row r="45" spans="1:1" hidden="1" x14ac:dyDescent="0.25">
      <c r="A45" s="531">
        <v>44</v>
      </c>
    </row>
    <row r="46" spans="1:1" hidden="1" x14ac:dyDescent="0.25">
      <c r="A46" s="531">
        <v>45</v>
      </c>
    </row>
    <row r="47" spans="1:1" hidden="1" x14ac:dyDescent="0.25">
      <c r="A47" s="531">
        <v>46</v>
      </c>
    </row>
    <row r="48" spans="1:1" hidden="1" x14ac:dyDescent="0.25">
      <c r="A48" s="531">
        <v>47</v>
      </c>
    </row>
    <row r="49" spans="1:1" hidden="1" x14ac:dyDescent="0.25">
      <c r="A49" s="531">
        <v>48</v>
      </c>
    </row>
    <row r="50" spans="1:1" hidden="1" x14ac:dyDescent="0.25">
      <c r="A50" s="531">
        <v>49</v>
      </c>
    </row>
    <row r="51" spans="1:1" hidden="1" x14ac:dyDescent="0.25">
      <c r="A51" s="531">
        <v>50</v>
      </c>
    </row>
    <row r="52" spans="1:1" hidden="1" x14ac:dyDescent="0.25">
      <c r="A52" s="531">
        <v>51</v>
      </c>
    </row>
    <row r="53" spans="1:1" hidden="1" x14ac:dyDescent="0.25">
      <c r="A53" s="531">
        <v>52</v>
      </c>
    </row>
    <row r="54" spans="1:1" hidden="1" x14ac:dyDescent="0.25">
      <c r="A54" s="531">
        <v>53</v>
      </c>
    </row>
    <row r="55" spans="1:1" hidden="1" x14ac:dyDescent="0.25">
      <c r="A55" s="531">
        <v>54</v>
      </c>
    </row>
    <row r="56" spans="1:1" hidden="1" x14ac:dyDescent="0.25">
      <c r="A56" s="531">
        <v>55</v>
      </c>
    </row>
    <row r="57" spans="1:1" hidden="1" x14ac:dyDescent="0.25">
      <c r="A57" s="531">
        <v>56</v>
      </c>
    </row>
    <row r="58" spans="1:1" hidden="1" x14ac:dyDescent="0.25">
      <c r="A58" s="531">
        <v>57</v>
      </c>
    </row>
    <row r="59" spans="1:1" hidden="1" x14ac:dyDescent="0.25">
      <c r="A59" s="531">
        <v>58</v>
      </c>
    </row>
    <row r="60" spans="1:1" hidden="1" x14ac:dyDescent="0.25">
      <c r="A60" s="531">
        <v>59</v>
      </c>
    </row>
    <row r="61" spans="1:1" hidden="1" x14ac:dyDescent="0.25">
      <c r="A61" s="531">
        <v>60</v>
      </c>
    </row>
    <row r="62" spans="1:1" hidden="1" x14ac:dyDescent="0.25">
      <c r="A62" s="531">
        <v>61</v>
      </c>
    </row>
    <row r="63" spans="1:1" hidden="1" x14ac:dyDescent="0.25">
      <c r="A63" s="531">
        <v>62</v>
      </c>
    </row>
    <row r="64" spans="1:1" hidden="1" x14ac:dyDescent="0.25">
      <c r="A64" s="531">
        <v>63</v>
      </c>
    </row>
    <row r="65" spans="1:1" hidden="1" x14ac:dyDescent="0.25">
      <c r="A65" s="531">
        <v>64</v>
      </c>
    </row>
    <row r="66" spans="1:1" hidden="1" x14ac:dyDescent="0.25">
      <c r="A66" s="531">
        <v>65</v>
      </c>
    </row>
    <row r="67" spans="1:1" hidden="1" x14ac:dyDescent="0.25">
      <c r="A67" s="531">
        <v>66</v>
      </c>
    </row>
    <row r="68" spans="1:1" hidden="1" x14ac:dyDescent="0.25">
      <c r="A68" s="531">
        <v>67</v>
      </c>
    </row>
    <row r="69" spans="1:1" hidden="1" x14ac:dyDescent="0.25">
      <c r="A69" s="531">
        <v>68</v>
      </c>
    </row>
    <row r="70" spans="1:1" hidden="1" x14ac:dyDescent="0.25">
      <c r="A70" s="531">
        <v>69</v>
      </c>
    </row>
    <row r="71" spans="1:1" hidden="1" x14ac:dyDescent="0.25">
      <c r="A71" s="531">
        <v>70</v>
      </c>
    </row>
    <row r="72" spans="1:1" hidden="1" x14ac:dyDescent="0.25">
      <c r="A72" s="531">
        <v>71</v>
      </c>
    </row>
    <row r="73" spans="1:1" hidden="1" x14ac:dyDescent="0.25">
      <c r="A73" s="531">
        <v>72</v>
      </c>
    </row>
    <row r="74" spans="1:1" hidden="1" x14ac:dyDescent="0.25">
      <c r="A74" s="531">
        <v>73</v>
      </c>
    </row>
    <row r="75" spans="1:1" hidden="1" x14ac:dyDescent="0.25">
      <c r="A75" s="531">
        <v>74</v>
      </c>
    </row>
    <row r="76" spans="1:1" hidden="1" x14ac:dyDescent="0.25">
      <c r="A76" s="531">
        <v>75</v>
      </c>
    </row>
    <row r="77" spans="1:1" hidden="1" x14ac:dyDescent="0.25">
      <c r="A77" s="531">
        <v>76</v>
      </c>
    </row>
    <row r="78" spans="1:1" hidden="1" x14ac:dyDescent="0.25">
      <c r="A78" s="531">
        <v>77</v>
      </c>
    </row>
    <row r="79" spans="1:1" hidden="1" x14ac:dyDescent="0.25">
      <c r="A79" s="531">
        <v>78</v>
      </c>
    </row>
    <row r="80" spans="1:1" hidden="1" x14ac:dyDescent="0.25">
      <c r="A80" s="531">
        <v>79</v>
      </c>
    </row>
    <row r="81" spans="1:1" hidden="1" x14ac:dyDescent="0.25">
      <c r="A81" s="531">
        <v>80</v>
      </c>
    </row>
    <row r="82" spans="1:1" hidden="1" x14ac:dyDescent="0.25">
      <c r="A82" s="531">
        <v>81</v>
      </c>
    </row>
    <row r="83" spans="1:1" hidden="1" x14ac:dyDescent="0.25">
      <c r="A83" s="531">
        <v>82</v>
      </c>
    </row>
    <row r="84" spans="1:1" hidden="1" x14ac:dyDescent="0.25">
      <c r="A84" s="531">
        <v>83</v>
      </c>
    </row>
    <row r="85" spans="1:1" hidden="1" x14ac:dyDescent="0.25">
      <c r="A85" s="531">
        <v>84</v>
      </c>
    </row>
    <row r="86" spans="1:1" hidden="1" x14ac:dyDescent="0.25">
      <c r="A86" s="531">
        <v>85</v>
      </c>
    </row>
    <row r="87" spans="1:1" hidden="1" x14ac:dyDescent="0.25">
      <c r="A87" s="531">
        <v>86</v>
      </c>
    </row>
    <row r="88" spans="1:1" hidden="1" x14ac:dyDescent="0.25">
      <c r="A88" s="531">
        <v>87</v>
      </c>
    </row>
    <row r="89" spans="1:1" hidden="1" x14ac:dyDescent="0.25">
      <c r="A89" s="531">
        <v>88</v>
      </c>
    </row>
    <row r="90" spans="1:1" hidden="1" x14ac:dyDescent="0.25">
      <c r="A90" s="531">
        <v>89</v>
      </c>
    </row>
    <row r="91" spans="1:1" hidden="1" x14ac:dyDescent="0.25">
      <c r="A91" s="531">
        <v>90</v>
      </c>
    </row>
    <row r="92" spans="1:1" hidden="1" x14ac:dyDescent="0.25">
      <c r="A92" s="531">
        <v>91</v>
      </c>
    </row>
    <row r="93" spans="1:1" hidden="1" x14ac:dyDescent="0.25">
      <c r="A93" s="531">
        <v>92</v>
      </c>
    </row>
    <row r="94" spans="1:1" hidden="1" x14ac:dyDescent="0.25">
      <c r="A94" s="531">
        <v>93</v>
      </c>
    </row>
    <row r="95" spans="1:1" hidden="1" x14ac:dyDescent="0.25">
      <c r="A95" s="531">
        <v>94</v>
      </c>
    </row>
    <row r="96" spans="1:1" hidden="1" x14ac:dyDescent="0.25">
      <c r="A96" s="531">
        <v>95</v>
      </c>
    </row>
    <row r="97" spans="1:1" hidden="1" x14ac:dyDescent="0.25">
      <c r="A97" s="531">
        <v>96</v>
      </c>
    </row>
    <row r="98" spans="1:1" hidden="1" x14ac:dyDescent="0.25">
      <c r="A98" s="531">
        <v>97</v>
      </c>
    </row>
    <row r="99" spans="1:1" hidden="1" x14ac:dyDescent="0.25">
      <c r="A99" s="531">
        <v>98</v>
      </c>
    </row>
    <row r="100" spans="1:1" hidden="1" x14ac:dyDescent="0.25">
      <c r="A100" s="531">
        <v>99</v>
      </c>
    </row>
    <row r="101" spans="1:1" hidden="1" x14ac:dyDescent="0.25">
      <c r="A101" s="531">
        <v>100</v>
      </c>
    </row>
    <row r="102" spans="1:1" hidden="1" x14ac:dyDescent="0.25">
      <c r="A102" s="531">
        <v>101</v>
      </c>
    </row>
    <row r="103" spans="1:1" hidden="1" x14ac:dyDescent="0.25">
      <c r="A103" s="531">
        <v>102</v>
      </c>
    </row>
    <row r="104" spans="1:1" hidden="1" x14ac:dyDescent="0.25">
      <c r="A104" s="531">
        <v>103</v>
      </c>
    </row>
    <row r="105" spans="1:1" hidden="1" x14ac:dyDescent="0.25">
      <c r="A105" s="531">
        <v>104</v>
      </c>
    </row>
    <row r="106" spans="1:1" hidden="1" x14ac:dyDescent="0.25">
      <c r="A106" s="531">
        <v>105</v>
      </c>
    </row>
    <row r="107" spans="1:1" hidden="1" x14ac:dyDescent="0.25">
      <c r="A107" s="531">
        <v>106</v>
      </c>
    </row>
    <row r="108" spans="1:1" hidden="1" x14ac:dyDescent="0.25">
      <c r="A108" s="531">
        <v>107</v>
      </c>
    </row>
    <row r="109" spans="1:1" hidden="1" x14ac:dyDescent="0.25">
      <c r="A109" s="531">
        <v>108</v>
      </c>
    </row>
    <row r="110" spans="1:1" hidden="1" x14ac:dyDescent="0.25">
      <c r="A110" s="531">
        <v>109</v>
      </c>
    </row>
    <row r="111" spans="1:1" hidden="1" x14ac:dyDescent="0.25">
      <c r="A111" s="531">
        <v>110</v>
      </c>
    </row>
    <row r="112" spans="1:1" hidden="1" x14ac:dyDescent="0.25">
      <c r="A112" s="531">
        <v>111</v>
      </c>
    </row>
    <row r="113" spans="1:4" hidden="1" x14ac:dyDescent="0.25">
      <c r="A113" s="531">
        <v>112</v>
      </c>
    </row>
    <row r="114" spans="1:4" hidden="1" x14ac:dyDescent="0.25">
      <c r="A114" s="531">
        <v>113</v>
      </c>
    </row>
    <row r="115" spans="1:4" hidden="1" x14ac:dyDescent="0.25">
      <c r="A115" s="531">
        <v>114</v>
      </c>
    </row>
    <row r="116" spans="1:4" hidden="1" x14ac:dyDescent="0.25">
      <c r="A116" s="531">
        <v>115</v>
      </c>
    </row>
    <row r="117" spans="1:4" hidden="1" x14ac:dyDescent="0.25">
      <c r="A117" s="531">
        <v>116</v>
      </c>
    </row>
    <row r="118" spans="1:4" hidden="1" x14ac:dyDescent="0.25">
      <c r="A118" s="531">
        <v>117</v>
      </c>
    </row>
    <row r="119" spans="1:4" hidden="1" x14ac:dyDescent="0.25">
      <c r="A119" s="531">
        <v>118</v>
      </c>
    </row>
    <row r="120" spans="1:4" hidden="1" x14ac:dyDescent="0.25">
      <c r="A120" s="531">
        <v>119</v>
      </c>
      <c r="B120" s="164"/>
      <c r="C120" s="343"/>
      <c r="D120" s="141"/>
    </row>
    <row r="121" spans="1:4" hidden="1" x14ac:dyDescent="0.25">
      <c r="A121" s="531">
        <v>120</v>
      </c>
      <c r="B121" s="164"/>
      <c r="C121" s="343"/>
      <c r="D121" s="141"/>
    </row>
    <row r="122" spans="1:4" hidden="1" x14ac:dyDescent="0.25">
      <c r="A122" s="531">
        <v>121</v>
      </c>
      <c r="B122" s="164"/>
      <c r="C122" s="343"/>
      <c r="D122" s="141"/>
    </row>
    <row r="123" spans="1:4" hidden="1" x14ac:dyDescent="0.25">
      <c r="A123" s="531">
        <v>122</v>
      </c>
      <c r="B123" s="164"/>
      <c r="C123" s="343"/>
      <c r="D123" s="141"/>
    </row>
    <row r="124" spans="1:4" hidden="1" x14ac:dyDescent="0.25">
      <c r="A124" s="531">
        <v>123</v>
      </c>
      <c r="B124" s="164"/>
      <c r="C124" s="343"/>
      <c r="D124" s="141"/>
    </row>
    <row r="125" spans="1:4" hidden="1" x14ac:dyDescent="0.25">
      <c r="A125" s="531">
        <v>124</v>
      </c>
    </row>
    <row r="126" spans="1:4" hidden="1" x14ac:dyDescent="0.25">
      <c r="A126" s="531">
        <v>125</v>
      </c>
    </row>
    <row r="127" spans="1:4" hidden="1" x14ac:dyDescent="0.25">
      <c r="A127" s="531">
        <v>126</v>
      </c>
    </row>
    <row r="128" spans="1:4" hidden="1" x14ac:dyDescent="0.25">
      <c r="A128" s="531">
        <v>127</v>
      </c>
    </row>
    <row r="129" spans="1:5" hidden="1" x14ac:dyDescent="0.25">
      <c r="A129" s="531">
        <v>128</v>
      </c>
    </row>
    <row r="130" spans="1:5" hidden="1" x14ac:dyDescent="0.25">
      <c r="A130" s="531">
        <v>129</v>
      </c>
    </row>
    <row r="131" spans="1:5" hidden="1" x14ac:dyDescent="0.25">
      <c r="A131" s="531">
        <v>130</v>
      </c>
    </row>
    <row r="132" spans="1:5" hidden="1" x14ac:dyDescent="0.25">
      <c r="A132" s="531">
        <v>131</v>
      </c>
    </row>
    <row r="133" spans="1:5" x14ac:dyDescent="0.25">
      <c r="A133" s="531">
        <v>1</v>
      </c>
    </row>
    <row r="134" spans="1:5" x14ac:dyDescent="0.25">
      <c r="A134" s="531">
        <v>2</v>
      </c>
      <c r="B134" s="284" t="s">
        <v>855</v>
      </c>
      <c r="C134" s="75" t="s">
        <v>857</v>
      </c>
    </row>
    <row r="135" spans="1:5" x14ac:dyDescent="0.25">
      <c r="A135" s="531">
        <v>3</v>
      </c>
      <c r="B135" s="528"/>
      <c r="C135" s="528"/>
      <c r="D135" s="528"/>
    </row>
    <row r="136" spans="1:5" x14ac:dyDescent="0.25">
      <c r="A136" s="531">
        <v>4</v>
      </c>
      <c r="B136" s="284" t="s">
        <v>793</v>
      </c>
      <c r="C136" s="75" t="s">
        <v>1004</v>
      </c>
      <c r="D136" s="75" t="s">
        <v>1005</v>
      </c>
      <c r="E136"/>
    </row>
    <row r="137" spans="1:5" x14ac:dyDescent="0.25">
      <c r="A137" s="531">
        <v>5</v>
      </c>
      <c r="B137" s="70" t="s">
        <v>315</v>
      </c>
      <c r="C137" s="342">
        <v>1.246421055483801E-2</v>
      </c>
      <c r="D137" s="342">
        <v>3.849826907007282E-3</v>
      </c>
      <c r="E137"/>
    </row>
    <row r="138" spans="1:5" x14ac:dyDescent="0.25">
      <c r="A138" s="531">
        <v>6</v>
      </c>
      <c r="B138" s="70" t="s">
        <v>15</v>
      </c>
      <c r="C138" s="342">
        <v>0.23390632726799687</v>
      </c>
      <c r="D138" s="342">
        <v>0.21730259243338432</v>
      </c>
      <c r="E138"/>
    </row>
    <row r="139" spans="1:5" x14ac:dyDescent="0.25">
      <c r="A139" s="531">
        <v>7</v>
      </c>
      <c r="B139" s="70" t="s">
        <v>16</v>
      </c>
      <c r="C139" s="342">
        <v>0.3284845567957006</v>
      </c>
      <c r="D139" s="342">
        <v>0.31828236021690581</v>
      </c>
      <c r="E139"/>
    </row>
    <row r="140" spans="1:5" x14ac:dyDescent="0.25">
      <c r="A140" s="531">
        <v>8</v>
      </c>
      <c r="B140" s="70" t="s">
        <v>542</v>
      </c>
      <c r="C140" s="342">
        <v>0.44587933421604725</v>
      </c>
      <c r="D140" s="342">
        <v>0</v>
      </c>
      <c r="E140"/>
    </row>
    <row r="141" spans="1:5" x14ac:dyDescent="0.25">
      <c r="A141" s="531">
        <v>9</v>
      </c>
      <c r="B141" s="70" t="s">
        <v>280</v>
      </c>
      <c r="C141" s="342">
        <v>0</v>
      </c>
      <c r="D141" s="342">
        <v>1</v>
      </c>
      <c r="E141"/>
    </row>
    <row r="142" spans="1:5" x14ac:dyDescent="0.25">
      <c r="A142" s="531">
        <v>10</v>
      </c>
      <c r="B142" s="70" t="s">
        <v>149</v>
      </c>
      <c r="C142" s="342">
        <v>5.6867441316811151E-2</v>
      </c>
      <c r="D142" s="342">
        <v>0</v>
      </c>
      <c r="E142"/>
    </row>
    <row r="143" spans="1:5" x14ac:dyDescent="0.25">
      <c r="A143" s="531">
        <v>11</v>
      </c>
      <c r="B143" s="70" t="s">
        <v>83</v>
      </c>
      <c r="C143" s="342">
        <v>0.52966892571318724</v>
      </c>
      <c r="D143" s="342">
        <v>0.72347075050068044</v>
      </c>
      <c r="E143"/>
    </row>
    <row r="144" spans="1:5" x14ac:dyDescent="0.25">
      <c r="A144" s="531">
        <v>12</v>
      </c>
      <c r="B144" s="70" t="s">
        <v>148</v>
      </c>
      <c r="C144" s="342">
        <v>0.89308974556512399</v>
      </c>
      <c r="D144" s="342">
        <v>0.89255828944957494</v>
      </c>
      <c r="E144"/>
    </row>
    <row r="145" spans="1:5" x14ac:dyDescent="0.25">
      <c r="A145" s="531">
        <v>13</v>
      </c>
      <c r="B145" s="70" t="s">
        <v>150</v>
      </c>
      <c r="C145" s="342">
        <v>0.10853927385716025</v>
      </c>
      <c r="D145" s="342">
        <v>0.11979588536377889</v>
      </c>
      <c r="E145"/>
    </row>
    <row r="146" spans="1:5" x14ac:dyDescent="0.25">
      <c r="A146" s="531">
        <v>14</v>
      </c>
      <c r="B146" s="70" t="s">
        <v>794</v>
      </c>
      <c r="C146" s="342">
        <v>2.6088998152868657</v>
      </c>
      <c r="D146" s="342">
        <v>3.2752597048713317</v>
      </c>
      <c r="E146"/>
    </row>
    <row r="147" spans="1:5" x14ac:dyDescent="0.25">
      <c r="A147" s="531">
        <v>15</v>
      </c>
      <c r="B147"/>
      <c r="C147"/>
      <c r="D147"/>
      <c r="E147"/>
    </row>
    <row r="148" spans="1:5" x14ac:dyDescent="0.25">
      <c r="A148" s="531">
        <v>16</v>
      </c>
      <c r="B148"/>
      <c r="C148"/>
      <c r="D148"/>
      <c r="E148"/>
    </row>
    <row r="149" spans="1:5" x14ac:dyDescent="0.25">
      <c r="A149" s="531">
        <v>17</v>
      </c>
      <c r="B149"/>
      <c r="C149"/>
      <c r="D149"/>
    </row>
    <row r="150" spans="1:5" x14ac:dyDescent="0.25">
      <c r="A150" s="531">
        <v>18</v>
      </c>
      <c r="B150"/>
      <c r="C150"/>
      <c r="D150"/>
    </row>
    <row r="151" spans="1:5" x14ac:dyDescent="0.25">
      <c r="A151" s="531">
        <v>19</v>
      </c>
      <c r="B151"/>
      <c r="C151"/>
      <c r="D151"/>
    </row>
    <row r="152" spans="1:5" x14ac:dyDescent="0.25">
      <c r="A152" s="531">
        <v>20</v>
      </c>
      <c r="B152"/>
      <c r="C152"/>
      <c r="D152"/>
    </row>
    <row r="153" spans="1:5" x14ac:dyDescent="0.25">
      <c r="A153" s="531">
        <v>21</v>
      </c>
      <c r="B153"/>
      <c r="C153"/>
      <c r="D153"/>
    </row>
    <row r="154" spans="1:5" x14ac:dyDescent="0.25">
      <c r="A154" s="531">
        <v>22</v>
      </c>
      <c r="B154"/>
      <c r="C154"/>
      <c r="D154"/>
    </row>
    <row r="155" spans="1:5" x14ac:dyDescent="0.25">
      <c r="A155" s="531">
        <v>23</v>
      </c>
      <c r="B155"/>
      <c r="C155"/>
      <c r="D155"/>
    </row>
    <row r="156" spans="1:5" x14ac:dyDescent="0.25">
      <c r="A156" s="531">
        <v>24</v>
      </c>
      <c r="B156"/>
      <c r="C156"/>
      <c r="D156"/>
    </row>
    <row r="157" spans="1:5" x14ac:dyDescent="0.25">
      <c r="A157" s="531">
        <v>25</v>
      </c>
      <c r="B157"/>
      <c r="C157"/>
      <c r="D157"/>
    </row>
    <row r="158" spans="1:5" x14ac:dyDescent="0.25">
      <c r="A158" s="531">
        <v>26</v>
      </c>
      <c r="B158"/>
      <c r="C158"/>
      <c r="D158"/>
    </row>
    <row r="159" spans="1:5" x14ac:dyDescent="0.25">
      <c r="A159" s="531">
        <v>27</v>
      </c>
      <c r="B159"/>
      <c r="C159"/>
      <c r="D159"/>
    </row>
    <row r="160" spans="1:5" x14ac:dyDescent="0.25">
      <c r="A160" s="531">
        <v>28</v>
      </c>
      <c r="B160" s="70"/>
      <c r="C160" s="342"/>
      <c r="D160" s="342"/>
    </row>
    <row r="161" spans="1:4" x14ac:dyDescent="0.25">
      <c r="A161" s="531">
        <v>29</v>
      </c>
      <c r="B161" s="70"/>
      <c r="C161" s="342"/>
      <c r="D161" s="342"/>
    </row>
    <row r="162" spans="1:4" x14ac:dyDescent="0.25">
      <c r="A162" s="531">
        <v>30</v>
      </c>
      <c r="B162" s="70"/>
      <c r="C162" s="342"/>
      <c r="D162" s="342"/>
    </row>
    <row r="163" spans="1:4" x14ac:dyDescent="0.25">
      <c r="A163" s="531">
        <v>31</v>
      </c>
      <c r="B163" s="70"/>
      <c r="C163" s="342"/>
      <c r="D163" s="342"/>
    </row>
    <row r="164" spans="1:4" x14ac:dyDescent="0.25">
      <c r="A164" s="531">
        <v>32</v>
      </c>
      <c r="B164" s="70"/>
      <c r="C164" s="342"/>
      <c r="D164" s="342"/>
    </row>
    <row r="165" spans="1:4" x14ac:dyDescent="0.25">
      <c r="A165" s="531">
        <v>33</v>
      </c>
      <c r="B165" s="70"/>
      <c r="C165" s="342"/>
      <c r="D165" s="342"/>
    </row>
    <row r="166" spans="1:4" x14ac:dyDescent="0.25">
      <c r="A166" s="531">
        <v>34</v>
      </c>
      <c r="B166" s="70"/>
      <c r="C166" s="342"/>
      <c r="D166" s="342"/>
    </row>
    <row r="167" spans="1:4" x14ac:dyDescent="0.25">
      <c r="A167" s="531">
        <v>35</v>
      </c>
      <c r="B167" s="70"/>
      <c r="C167" s="342"/>
      <c r="D167" s="342"/>
    </row>
    <row r="168" spans="1:4" hidden="1" x14ac:dyDescent="0.25">
      <c r="A168" s="531">
        <v>36</v>
      </c>
      <c r="B168" s="70"/>
      <c r="C168" s="342"/>
      <c r="D168" s="342"/>
    </row>
    <row r="169" spans="1:4" hidden="1" x14ac:dyDescent="0.25">
      <c r="A169" s="531">
        <v>37</v>
      </c>
      <c r="B169" s="70"/>
      <c r="C169" s="342"/>
      <c r="D169" s="342"/>
    </row>
    <row r="170" spans="1:4" hidden="1" x14ac:dyDescent="0.25">
      <c r="A170" s="531">
        <v>38</v>
      </c>
      <c r="B170" s="70"/>
      <c r="C170" s="342"/>
      <c r="D170" s="342"/>
    </row>
    <row r="171" spans="1:4" hidden="1" x14ac:dyDescent="0.25">
      <c r="A171" s="531">
        <v>39</v>
      </c>
      <c r="B171" s="70"/>
      <c r="C171" s="342"/>
      <c r="D171" s="342"/>
    </row>
    <row r="172" spans="1:4" hidden="1" x14ac:dyDescent="0.25">
      <c r="A172" s="531">
        <v>40</v>
      </c>
      <c r="B172" s="70"/>
      <c r="C172" s="342"/>
      <c r="D172" s="342"/>
    </row>
    <row r="173" spans="1:4" hidden="1" x14ac:dyDescent="0.25">
      <c r="A173" s="531">
        <v>41</v>
      </c>
      <c r="B173" s="70"/>
      <c r="C173" s="342"/>
      <c r="D173" s="342"/>
    </row>
    <row r="174" spans="1:4" hidden="1" x14ac:dyDescent="0.25">
      <c r="A174" s="531">
        <v>42</v>
      </c>
      <c r="B174" s="70"/>
      <c r="C174" s="342"/>
      <c r="D174" s="342"/>
    </row>
    <row r="175" spans="1:4" hidden="1" x14ac:dyDescent="0.25">
      <c r="A175" s="531">
        <v>43</v>
      </c>
      <c r="B175" s="70"/>
      <c r="C175" s="342"/>
      <c r="D175" s="342"/>
    </row>
    <row r="176" spans="1:4" hidden="1" x14ac:dyDescent="0.25">
      <c r="A176" s="531">
        <v>44</v>
      </c>
      <c r="B176" s="70"/>
      <c r="C176" s="342"/>
      <c r="D176" s="342"/>
    </row>
    <row r="177" spans="1:4" hidden="1" x14ac:dyDescent="0.25">
      <c r="A177" s="531">
        <v>45</v>
      </c>
      <c r="B177" s="70"/>
      <c r="C177" s="342"/>
      <c r="D177" s="342"/>
    </row>
    <row r="178" spans="1:4" hidden="1" x14ac:dyDescent="0.25">
      <c r="A178" s="531">
        <v>46</v>
      </c>
      <c r="B178" s="70"/>
      <c r="C178" s="342"/>
      <c r="D178" s="342"/>
    </row>
    <row r="179" spans="1:4" hidden="1" x14ac:dyDescent="0.25">
      <c r="A179" s="531">
        <v>47</v>
      </c>
      <c r="B179" s="70"/>
      <c r="C179" s="342"/>
      <c r="D179" s="342"/>
    </row>
    <row r="180" spans="1:4" hidden="1" x14ac:dyDescent="0.25">
      <c r="A180" s="531">
        <v>48</v>
      </c>
      <c r="B180" s="70"/>
      <c r="C180" s="342"/>
      <c r="D180" s="342"/>
    </row>
    <row r="181" spans="1:4" hidden="1" x14ac:dyDescent="0.25">
      <c r="A181" s="531">
        <v>49</v>
      </c>
      <c r="B181" s="70"/>
      <c r="C181" s="342"/>
      <c r="D181" s="342"/>
    </row>
    <row r="182" spans="1:4" hidden="1" x14ac:dyDescent="0.25">
      <c r="A182" s="531">
        <v>50</v>
      </c>
      <c r="B182" s="70"/>
      <c r="C182" s="342"/>
      <c r="D182" s="342"/>
    </row>
    <row r="183" spans="1:4" hidden="1" x14ac:dyDescent="0.25">
      <c r="A183" s="531">
        <v>51</v>
      </c>
      <c r="B183" s="70"/>
      <c r="C183" s="342"/>
      <c r="D183" s="342"/>
    </row>
    <row r="184" spans="1:4" hidden="1" x14ac:dyDescent="0.25">
      <c r="A184" s="531">
        <v>52</v>
      </c>
      <c r="B184" s="70"/>
      <c r="C184" s="342"/>
      <c r="D184" s="342"/>
    </row>
    <row r="185" spans="1:4" hidden="1" x14ac:dyDescent="0.25">
      <c r="A185" s="531">
        <v>53</v>
      </c>
      <c r="B185" s="70"/>
      <c r="C185" s="342"/>
      <c r="D185" s="342"/>
    </row>
    <row r="186" spans="1:4" hidden="1" x14ac:dyDescent="0.25">
      <c r="A186" s="531">
        <v>54</v>
      </c>
      <c r="B186" s="70"/>
      <c r="C186" s="342"/>
      <c r="D186" s="342"/>
    </row>
    <row r="187" spans="1:4" hidden="1" x14ac:dyDescent="0.25">
      <c r="A187" s="531">
        <v>55</v>
      </c>
      <c r="B187" s="70"/>
      <c r="C187" s="342"/>
      <c r="D187" s="342"/>
    </row>
    <row r="188" spans="1:4" hidden="1" x14ac:dyDescent="0.25">
      <c r="A188" s="531">
        <v>56</v>
      </c>
      <c r="B188" s="70"/>
      <c r="C188" s="342"/>
      <c r="D188" s="342"/>
    </row>
    <row r="189" spans="1:4" hidden="1" x14ac:dyDescent="0.25">
      <c r="A189" s="531">
        <v>57</v>
      </c>
      <c r="B189" s="70"/>
      <c r="C189" s="342"/>
      <c r="D189" s="342"/>
    </row>
    <row r="190" spans="1:4" hidden="1" x14ac:dyDescent="0.25">
      <c r="A190" s="531">
        <v>58</v>
      </c>
      <c r="B190" s="70"/>
      <c r="C190" s="342"/>
      <c r="D190" s="342"/>
    </row>
    <row r="191" spans="1:4" hidden="1" x14ac:dyDescent="0.25">
      <c r="A191" s="531">
        <v>59</v>
      </c>
      <c r="B191" s="70"/>
      <c r="C191" s="342"/>
      <c r="D191" s="342"/>
    </row>
    <row r="192" spans="1:4" hidden="1" x14ac:dyDescent="0.25">
      <c r="A192" s="531">
        <v>60</v>
      </c>
      <c r="B192" s="70"/>
      <c r="C192" s="342"/>
      <c r="D192" s="342"/>
    </row>
    <row r="193" spans="1:4" hidden="1" x14ac:dyDescent="0.25">
      <c r="A193" s="531">
        <v>61</v>
      </c>
      <c r="B193" s="70"/>
      <c r="C193" s="342"/>
      <c r="D193" s="342"/>
    </row>
    <row r="194" spans="1:4" hidden="1" x14ac:dyDescent="0.25">
      <c r="A194" s="531">
        <v>62</v>
      </c>
      <c r="B194" s="70"/>
      <c r="C194" s="342"/>
      <c r="D194" s="342"/>
    </row>
    <row r="195" spans="1:4" hidden="1" x14ac:dyDescent="0.25">
      <c r="A195" s="531">
        <v>63</v>
      </c>
      <c r="B195" s="70"/>
      <c r="C195" s="342"/>
      <c r="D195" s="342"/>
    </row>
    <row r="196" spans="1:4" hidden="1" x14ac:dyDescent="0.25">
      <c r="A196" s="531">
        <v>64</v>
      </c>
      <c r="B196" s="70"/>
      <c r="C196" s="342"/>
      <c r="D196" s="342"/>
    </row>
    <row r="197" spans="1:4" hidden="1" x14ac:dyDescent="0.25">
      <c r="A197" s="531">
        <v>65</v>
      </c>
      <c r="B197" s="70"/>
      <c r="C197" s="342"/>
      <c r="D197" s="342"/>
    </row>
    <row r="198" spans="1:4" hidden="1" x14ac:dyDescent="0.25">
      <c r="A198" s="531">
        <v>66</v>
      </c>
      <c r="B198" s="70"/>
      <c r="C198" s="342"/>
      <c r="D198" s="342"/>
    </row>
    <row r="199" spans="1:4" hidden="1" x14ac:dyDescent="0.25">
      <c r="A199" s="531">
        <v>67</v>
      </c>
      <c r="B199" s="70"/>
      <c r="C199" s="342"/>
      <c r="D199" s="342"/>
    </row>
    <row r="200" spans="1:4" hidden="1" x14ac:dyDescent="0.25">
      <c r="A200" s="531">
        <v>68</v>
      </c>
      <c r="B200" s="70"/>
      <c r="C200" s="342"/>
      <c r="D200" s="342"/>
    </row>
    <row r="201" spans="1:4" hidden="1" x14ac:dyDescent="0.25">
      <c r="A201" s="531">
        <v>69</v>
      </c>
      <c r="B201" s="70"/>
      <c r="C201" s="342"/>
      <c r="D201" s="342"/>
    </row>
    <row r="202" spans="1:4" hidden="1" x14ac:dyDescent="0.25">
      <c r="A202" s="531">
        <v>70</v>
      </c>
      <c r="B202" s="70"/>
      <c r="C202" s="342"/>
      <c r="D202" s="342"/>
    </row>
    <row r="203" spans="1:4" hidden="1" x14ac:dyDescent="0.25">
      <c r="A203" s="531">
        <v>71</v>
      </c>
      <c r="B203" s="70"/>
      <c r="C203" s="342"/>
      <c r="D203" s="342"/>
    </row>
    <row r="204" spans="1:4" hidden="1" x14ac:dyDescent="0.25">
      <c r="A204" s="531">
        <v>72</v>
      </c>
      <c r="B204" s="70"/>
      <c r="C204" s="342"/>
      <c r="D204" s="342"/>
    </row>
    <row r="205" spans="1:4" hidden="1" x14ac:dyDescent="0.25">
      <c r="A205" s="531">
        <v>73</v>
      </c>
      <c r="B205" s="70"/>
      <c r="C205" s="342"/>
      <c r="D205" s="342"/>
    </row>
    <row r="206" spans="1:4" hidden="1" x14ac:dyDescent="0.25">
      <c r="A206" s="531">
        <v>74</v>
      </c>
      <c r="B206" s="70"/>
      <c r="C206" s="342"/>
      <c r="D206" s="342"/>
    </row>
    <row r="207" spans="1:4" hidden="1" x14ac:dyDescent="0.25">
      <c r="A207" s="531">
        <v>75</v>
      </c>
      <c r="B207" s="70"/>
      <c r="C207" s="342"/>
      <c r="D207" s="342"/>
    </row>
    <row r="208" spans="1:4" hidden="1" x14ac:dyDescent="0.25">
      <c r="A208" s="531">
        <v>76</v>
      </c>
      <c r="B208" s="70"/>
      <c r="C208" s="342"/>
      <c r="D208" s="342"/>
    </row>
    <row r="209" spans="1:4" hidden="1" x14ac:dyDescent="0.25">
      <c r="A209" s="531">
        <v>77</v>
      </c>
      <c r="B209" s="70"/>
      <c r="C209" s="342"/>
      <c r="D209" s="342"/>
    </row>
    <row r="210" spans="1:4" hidden="1" x14ac:dyDescent="0.25">
      <c r="A210" s="531">
        <v>78</v>
      </c>
      <c r="B210" s="70"/>
      <c r="C210" s="342"/>
      <c r="D210" s="342"/>
    </row>
    <row r="211" spans="1:4" hidden="1" x14ac:dyDescent="0.25">
      <c r="A211" s="531">
        <v>79</v>
      </c>
      <c r="B211" s="70"/>
      <c r="C211" s="342"/>
      <c r="D211" s="342"/>
    </row>
    <row r="212" spans="1:4" hidden="1" x14ac:dyDescent="0.25">
      <c r="A212" s="531">
        <v>80</v>
      </c>
      <c r="B212" s="70"/>
      <c r="C212" s="342"/>
      <c r="D212" s="342"/>
    </row>
    <row r="213" spans="1:4" hidden="1" x14ac:dyDescent="0.25">
      <c r="A213" s="531">
        <v>81</v>
      </c>
      <c r="B213" s="70"/>
      <c r="C213" s="342"/>
      <c r="D213" s="342"/>
    </row>
    <row r="214" spans="1:4" hidden="1" x14ac:dyDescent="0.25">
      <c r="A214" s="531">
        <v>82</v>
      </c>
      <c r="B214" s="70"/>
      <c r="C214" s="342"/>
      <c r="D214" s="342"/>
    </row>
    <row r="215" spans="1:4" hidden="1" x14ac:dyDescent="0.25">
      <c r="A215" s="531">
        <v>83</v>
      </c>
      <c r="B215" s="70"/>
      <c r="C215" s="342"/>
      <c r="D215" s="342"/>
    </row>
    <row r="216" spans="1:4" hidden="1" x14ac:dyDescent="0.25">
      <c r="A216" s="531">
        <v>84</v>
      </c>
      <c r="B216" s="70"/>
      <c r="C216" s="342"/>
      <c r="D216" s="342"/>
    </row>
    <row r="217" spans="1:4" hidden="1" x14ac:dyDescent="0.25">
      <c r="A217" s="531">
        <v>85</v>
      </c>
      <c r="B217" s="70"/>
      <c r="C217" s="342"/>
      <c r="D217" s="342"/>
    </row>
    <row r="218" spans="1:4" hidden="1" x14ac:dyDescent="0.25">
      <c r="A218" s="531">
        <v>86</v>
      </c>
      <c r="B218" s="70"/>
      <c r="C218" s="342"/>
      <c r="D218" s="342"/>
    </row>
    <row r="219" spans="1:4" hidden="1" x14ac:dyDescent="0.25">
      <c r="A219" s="531">
        <v>87</v>
      </c>
      <c r="B219" s="70"/>
      <c r="C219" s="342"/>
      <c r="D219" s="342"/>
    </row>
    <row r="220" spans="1:4" hidden="1" x14ac:dyDescent="0.25">
      <c r="A220" s="531">
        <v>88</v>
      </c>
      <c r="B220" s="70"/>
      <c r="C220" s="342"/>
      <c r="D220" s="342"/>
    </row>
    <row r="221" spans="1:4" hidden="1" x14ac:dyDescent="0.25">
      <c r="A221" s="531">
        <v>89</v>
      </c>
      <c r="B221" s="70"/>
      <c r="C221" s="342"/>
      <c r="D221" s="342"/>
    </row>
    <row r="222" spans="1:4" hidden="1" x14ac:dyDescent="0.25">
      <c r="A222" s="531">
        <v>90</v>
      </c>
      <c r="B222" s="70"/>
      <c r="C222" s="342"/>
      <c r="D222" s="342"/>
    </row>
    <row r="223" spans="1:4" hidden="1" x14ac:dyDescent="0.25">
      <c r="A223" s="531">
        <v>91</v>
      </c>
      <c r="B223" s="70"/>
      <c r="C223" s="342"/>
      <c r="D223" s="342"/>
    </row>
    <row r="224" spans="1:4" hidden="1" x14ac:dyDescent="0.25">
      <c r="A224" s="531">
        <v>92</v>
      </c>
      <c r="B224" s="70"/>
      <c r="C224" s="342"/>
      <c r="D224" s="342"/>
    </row>
    <row r="225" spans="1:4" hidden="1" x14ac:dyDescent="0.25">
      <c r="A225" s="531">
        <v>93</v>
      </c>
      <c r="B225" s="70"/>
      <c r="C225" s="342"/>
      <c r="D225" s="342"/>
    </row>
    <row r="226" spans="1:4" hidden="1" x14ac:dyDescent="0.25">
      <c r="A226" s="531">
        <v>94</v>
      </c>
      <c r="B226" s="70"/>
      <c r="C226" s="342"/>
      <c r="D226" s="342"/>
    </row>
    <row r="227" spans="1:4" hidden="1" x14ac:dyDescent="0.25">
      <c r="A227" s="531">
        <v>95</v>
      </c>
      <c r="B227" s="70"/>
      <c r="C227" s="342"/>
      <c r="D227" s="342"/>
    </row>
    <row r="228" spans="1:4" hidden="1" x14ac:dyDescent="0.25">
      <c r="A228" s="531">
        <v>96</v>
      </c>
      <c r="B228" s="70"/>
      <c r="C228" s="342"/>
      <c r="D228" s="342"/>
    </row>
    <row r="229" spans="1:4" hidden="1" x14ac:dyDescent="0.25">
      <c r="A229" s="531">
        <v>97</v>
      </c>
      <c r="B229" s="70"/>
      <c r="C229" s="342"/>
      <c r="D229" s="342"/>
    </row>
    <row r="230" spans="1:4" hidden="1" x14ac:dyDescent="0.25">
      <c r="A230" s="531">
        <v>98</v>
      </c>
      <c r="B230" s="70"/>
      <c r="C230" s="342"/>
      <c r="D230" s="342"/>
    </row>
    <row r="231" spans="1:4" hidden="1" x14ac:dyDescent="0.25">
      <c r="A231" s="531">
        <v>99</v>
      </c>
      <c r="B231" s="70"/>
      <c r="C231" s="342"/>
      <c r="D231" s="342"/>
    </row>
    <row r="232" spans="1:4" hidden="1" x14ac:dyDescent="0.25">
      <c r="A232" s="531">
        <v>100</v>
      </c>
      <c r="B232" s="70"/>
      <c r="C232" s="342"/>
      <c r="D232" s="342"/>
    </row>
    <row r="233" spans="1:4" hidden="1" x14ac:dyDescent="0.25">
      <c r="A233" s="531">
        <v>101</v>
      </c>
      <c r="B233" s="70"/>
      <c r="C233" s="342"/>
      <c r="D233" s="342"/>
    </row>
    <row r="234" spans="1:4" hidden="1" x14ac:dyDescent="0.25">
      <c r="A234" s="531">
        <v>102</v>
      </c>
      <c r="B234" s="70"/>
      <c r="C234" s="342"/>
      <c r="D234" s="342"/>
    </row>
    <row r="235" spans="1:4" hidden="1" x14ac:dyDescent="0.25">
      <c r="A235" s="531">
        <v>103</v>
      </c>
      <c r="B235" s="70"/>
      <c r="C235" s="342"/>
      <c r="D235" s="342"/>
    </row>
    <row r="236" spans="1:4" hidden="1" x14ac:dyDescent="0.25">
      <c r="A236" s="531">
        <v>104</v>
      </c>
      <c r="B236" s="70"/>
      <c r="C236" s="342"/>
      <c r="D236" s="342"/>
    </row>
    <row r="237" spans="1:4" hidden="1" x14ac:dyDescent="0.25">
      <c r="A237" s="531">
        <v>105</v>
      </c>
      <c r="B237" s="70"/>
      <c r="C237" s="342"/>
      <c r="D237" s="342"/>
    </row>
    <row r="238" spans="1:4" hidden="1" x14ac:dyDescent="0.25">
      <c r="A238" s="531">
        <v>106</v>
      </c>
      <c r="B238" s="70"/>
      <c r="C238" s="342"/>
      <c r="D238" s="342"/>
    </row>
    <row r="239" spans="1:4" hidden="1" x14ac:dyDescent="0.25">
      <c r="A239" s="531">
        <v>107</v>
      </c>
      <c r="B239" s="70"/>
      <c r="C239" s="342"/>
      <c r="D239" s="342"/>
    </row>
    <row r="240" spans="1:4" hidden="1" x14ac:dyDescent="0.25">
      <c r="A240" s="531">
        <v>108</v>
      </c>
      <c r="B240" s="70"/>
      <c r="C240" s="342"/>
      <c r="D240" s="342"/>
    </row>
    <row r="241" spans="1:4" hidden="1" x14ac:dyDescent="0.25">
      <c r="A241" s="531">
        <v>109</v>
      </c>
      <c r="B241" s="70"/>
      <c r="C241" s="342"/>
      <c r="D241" s="342"/>
    </row>
    <row r="242" spans="1:4" hidden="1" x14ac:dyDescent="0.25">
      <c r="A242" s="531">
        <v>110</v>
      </c>
      <c r="B242" s="70"/>
      <c r="C242" s="342"/>
      <c r="D242" s="342"/>
    </row>
    <row r="243" spans="1:4" hidden="1" x14ac:dyDescent="0.25">
      <c r="A243" s="531">
        <v>111</v>
      </c>
      <c r="B243" s="70"/>
      <c r="C243" s="342"/>
      <c r="D243" s="342"/>
    </row>
    <row r="244" spans="1:4" hidden="1" x14ac:dyDescent="0.25">
      <c r="A244" s="531">
        <v>112</v>
      </c>
      <c r="B244" s="70"/>
      <c r="C244" s="342"/>
      <c r="D244" s="342"/>
    </row>
    <row r="245" spans="1:4" hidden="1" x14ac:dyDescent="0.25">
      <c r="A245" s="531">
        <v>113</v>
      </c>
      <c r="B245" s="70"/>
      <c r="C245" s="342"/>
      <c r="D245" s="342"/>
    </row>
    <row r="246" spans="1:4" hidden="1" x14ac:dyDescent="0.25">
      <c r="A246" s="531">
        <v>114</v>
      </c>
      <c r="B246" s="70"/>
      <c r="C246" s="342"/>
      <c r="D246" s="342"/>
    </row>
    <row r="247" spans="1:4" hidden="1" x14ac:dyDescent="0.25">
      <c r="A247" s="531">
        <v>115</v>
      </c>
      <c r="B247" s="70"/>
      <c r="C247" s="342"/>
      <c r="D247" s="342"/>
    </row>
    <row r="248" spans="1:4" hidden="1" x14ac:dyDescent="0.25">
      <c r="A248" s="531">
        <v>116</v>
      </c>
      <c r="B248" s="70"/>
      <c r="C248" s="342"/>
      <c r="D248" s="342"/>
    </row>
    <row r="249" spans="1:4" hidden="1" x14ac:dyDescent="0.25">
      <c r="A249" s="531">
        <v>117</v>
      </c>
      <c r="B249" s="70"/>
      <c r="C249" s="342"/>
      <c r="D249" s="342"/>
    </row>
    <row r="250" spans="1:4" hidden="1" x14ac:dyDescent="0.25">
      <c r="A250" s="531">
        <v>118</v>
      </c>
      <c r="B250" s="70"/>
      <c r="C250" s="342"/>
      <c r="D250" s="342"/>
    </row>
    <row r="251" spans="1:4" hidden="1" x14ac:dyDescent="0.25">
      <c r="A251" s="531">
        <v>119</v>
      </c>
      <c r="B251" s="70"/>
      <c r="C251" s="342"/>
      <c r="D251" s="342"/>
    </row>
    <row r="252" spans="1:4" hidden="1" x14ac:dyDescent="0.25">
      <c r="A252" s="531">
        <v>120</v>
      </c>
      <c r="B252" s="70"/>
      <c r="C252" s="342"/>
      <c r="D252" s="342"/>
    </row>
    <row r="253" spans="1:4" hidden="1" x14ac:dyDescent="0.25">
      <c r="A253" s="531">
        <v>121</v>
      </c>
      <c r="B253" s="70"/>
      <c r="C253" s="342"/>
      <c r="D253" s="342"/>
    </row>
    <row r="254" spans="1:4" hidden="1" x14ac:dyDescent="0.25">
      <c r="A254" s="531">
        <v>122</v>
      </c>
      <c r="B254" s="70"/>
      <c r="C254" s="342"/>
      <c r="D254" s="342"/>
    </row>
    <row r="255" spans="1:4" hidden="1" x14ac:dyDescent="0.25">
      <c r="A255" s="531">
        <v>123</v>
      </c>
      <c r="B255" s="70"/>
      <c r="C255" s="342"/>
      <c r="D255" s="342"/>
    </row>
    <row r="256" spans="1:4" hidden="1" x14ac:dyDescent="0.25">
      <c r="A256" s="531">
        <v>124</v>
      </c>
      <c r="B256" s="70"/>
      <c r="C256" s="342"/>
      <c r="D256" s="342"/>
    </row>
    <row r="257" spans="1:4" hidden="1" x14ac:dyDescent="0.25">
      <c r="A257" s="531">
        <v>125</v>
      </c>
      <c r="B257" s="70"/>
      <c r="C257" s="342"/>
      <c r="D257" s="342"/>
    </row>
    <row r="258" spans="1:4" hidden="1" x14ac:dyDescent="0.25">
      <c r="A258" s="531">
        <v>126</v>
      </c>
      <c r="B258" s="70"/>
      <c r="C258" s="342"/>
      <c r="D258" s="342"/>
    </row>
    <row r="259" spans="1:4" hidden="1" x14ac:dyDescent="0.25">
      <c r="A259" s="531">
        <v>127</v>
      </c>
      <c r="B259" s="70"/>
      <c r="C259" s="342"/>
      <c r="D259" s="342"/>
    </row>
    <row r="260" spans="1:4" hidden="1" x14ac:dyDescent="0.25">
      <c r="A260" s="531">
        <v>128</v>
      </c>
      <c r="B260" s="70"/>
      <c r="C260" s="342"/>
      <c r="D260" s="342"/>
    </row>
    <row r="261" spans="1:4" hidden="1" x14ac:dyDescent="0.25">
      <c r="A261" s="531">
        <v>129</v>
      </c>
      <c r="B261" s="70"/>
      <c r="C261" s="342"/>
      <c r="D261" s="342"/>
    </row>
    <row r="262" spans="1:4" hidden="1" x14ac:dyDescent="0.25">
      <c r="A262" s="531">
        <v>130</v>
      </c>
      <c r="B262" s="70"/>
      <c r="C262" s="342"/>
      <c r="D262" s="342"/>
    </row>
    <row r="263" spans="1:4" hidden="1" x14ac:dyDescent="0.25">
      <c r="A263" s="531">
        <v>131</v>
      </c>
      <c r="B263" s="70"/>
      <c r="C263" s="342"/>
      <c r="D263" s="342"/>
    </row>
    <row r="264" spans="1:4" hidden="1" x14ac:dyDescent="0.25">
      <c r="A264" s="531">
        <v>132</v>
      </c>
      <c r="B264" s="70"/>
      <c r="C264" s="342"/>
      <c r="D264" s="342"/>
    </row>
    <row r="265" spans="1:4" hidden="1" x14ac:dyDescent="0.25">
      <c r="A265" s="531">
        <v>133</v>
      </c>
      <c r="B265" s="70"/>
      <c r="C265" s="342"/>
      <c r="D265" s="342"/>
    </row>
    <row r="266" spans="1:4" hidden="1" x14ac:dyDescent="0.25">
      <c r="A266" s="531">
        <v>134</v>
      </c>
      <c r="B266" s="70"/>
      <c r="C266" s="342"/>
      <c r="D266" s="342"/>
    </row>
    <row r="267" spans="1:4" hidden="1" x14ac:dyDescent="0.25">
      <c r="A267" s="531">
        <v>135</v>
      </c>
      <c r="B267"/>
      <c r="C267"/>
      <c r="D267"/>
    </row>
    <row r="268" spans="1:4" hidden="1" x14ac:dyDescent="0.25">
      <c r="A268" s="531">
        <v>136</v>
      </c>
      <c r="B268"/>
      <c r="C268"/>
      <c r="D268"/>
    </row>
    <row r="269" spans="1:4" hidden="1" x14ac:dyDescent="0.25">
      <c r="A269" s="531">
        <v>137</v>
      </c>
      <c r="B269"/>
      <c r="C269"/>
      <c r="D269"/>
    </row>
    <row r="270" spans="1:4" hidden="1" x14ac:dyDescent="0.25">
      <c r="A270" s="531">
        <v>138</v>
      </c>
      <c r="B270"/>
      <c r="C270"/>
      <c r="D270"/>
    </row>
    <row r="271" spans="1:4" hidden="1" x14ac:dyDescent="0.25">
      <c r="A271" s="531">
        <v>139</v>
      </c>
      <c r="B271"/>
      <c r="C271"/>
      <c r="D271"/>
    </row>
    <row r="272" spans="1:4" hidden="1" x14ac:dyDescent="0.25">
      <c r="A272" s="531">
        <v>140</v>
      </c>
      <c r="B272"/>
      <c r="C272"/>
      <c r="D272"/>
    </row>
    <row r="273" spans="1:4" hidden="1" x14ac:dyDescent="0.25">
      <c r="A273" s="531">
        <v>141</v>
      </c>
      <c r="B273"/>
      <c r="C273"/>
      <c r="D273"/>
    </row>
    <row r="274" spans="1:4" hidden="1" x14ac:dyDescent="0.25">
      <c r="A274" s="531">
        <v>142</v>
      </c>
      <c r="B274"/>
      <c r="C274"/>
      <c r="D274"/>
    </row>
    <row r="275" spans="1:4" hidden="1" x14ac:dyDescent="0.25">
      <c r="A275" s="531">
        <v>143</v>
      </c>
      <c r="B275" s="70"/>
      <c r="C275" s="342"/>
      <c r="D275" s="342"/>
    </row>
    <row r="276" spans="1:4" hidden="1" x14ac:dyDescent="0.25">
      <c r="A276" s="531">
        <v>144</v>
      </c>
      <c r="B276" s="70"/>
      <c r="C276" s="342"/>
      <c r="D276" s="342"/>
    </row>
    <row r="277" spans="1:4" hidden="1" x14ac:dyDescent="0.25">
      <c r="A277" s="531">
        <v>145</v>
      </c>
      <c r="B277" s="70"/>
      <c r="C277" s="342"/>
      <c r="D277" s="342"/>
    </row>
    <row r="278" spans="1:4" hidden="1" x14ac:dyDescent="0.25">
      <c r="A278" s="531">
        <v>146</v>
      </c>
      <c r="B278" s="70"/>
      <c r="C278" s="342"/>
      <c r="D278" s="342"/>
    </row>
    <row r="279" spans="1:4" hidden="1" x14ac:dyDescent="0.25">
      <c r="A279" s="531">
        <v>147</v>
      </c>
      <c r="B279" s="70"/>
      <c r="C279" s="342"/>
      <c r="D279" s="342"/>
    </row>
    <row r="280" spans="1:4" hidden="1" x14ac:dyDescent="0.25">
      <c r="A280" s="531">
        <v>148</v>
      </c>
      <c r="B280" s="70"/>
      <c r="C280" s="342"/>
      <c r="D280" s="342"/>
    </row>
    <row r="281" spans="1:4" hidden="1" x14ac:dyDescent="0.25">
      <c r="A281" s="531">
        <v>149</v>
      </c>
      <c r="B281" s="70"/>
      <c r="C281" s="342"/>
      <c r="D281" s="342"/>
    </row>
    <row r="282" spans="1:4" hidden="1" x14ac:dyDescent="0.25">
      <c r="A282" s="531">
        <v>150</v>
      </c>
      <c r="B282" s="70"/>
      <c r="C282" s="342"/>
      <c r="D282" s="342"/>
    </row>
    <row r="283" spans="1:4" x14ac:dyDescent="0.25">
      <c r="A283" s="531">
        <v>1</v>
      </c>
      <c r="B283" s="164"/>
      <c r="C283" s="529"/>
      <c r="D283" s="529"/>
    </row>
    <row r="284" spans="1:4" x14ac:dyDescent="0.25">
      <c r="A284" s="531">
        <v>2</v>
      </c>
    </row>
    <row r="285" spans="1:4" x14ac:dyDescent="0.25">
      <c r="A285" s="531">
        <v>3</v>
      </c>
    </row>
    <row r="286" spans="1:4" x14ac:dyDescent="0.25">
      <c r="A286" s="531">
        <v>4</v>
      </c>
    </row>
    <row r="287" spans="1:4" x14ac:dyDescent="0.25">
      <c r="A287" s="531">
        <v>5</v>
      </c>
      <c r="B287" s="284" t="s">
        <v>793</v>
      </c>
      <c r="C287" s="75" t="s">
        <v>1006</v>
      </c>
      <c r="D287" s="75" t="s">
        <v>1005</v>
      </c>
    </row>
    <row r="288" spans="1:4" x14ac:dyDescent="0.25">
      <c r="A288" s="531">
        <v>6</v>
      </c>
      <c r="B288" s="70" t="s">
        <v>720</v>
      </c>
      <c r="C288" s="342">
        <v>0.40535127949154887</v>
      </c>
      <c r="D288" s="342">
        <v>0.4362933070458857</v>
      </c>
    </row>
    <row r="289" spans="1:4" x14ac:dyDescent="0.25">
      <c r="A289" s="531">
        <v>7</v>
      </c>
      <c r="B289" s="70" t="s">
        <v>252</v>
      </c>
      <c r="C289" s="342">
        <v>0.16280366254951709</v>
      </c>
      <c r="D289" s="342">
        <v>0.25459741023271698</v>
      </c>
    </row>
    <row r="290" spans="1:4" x14ac:dyDescent="0.25">
      <c r="A290" s="531">
        <v>8</v>
      </c>
      <c r="B290" s="70" t="s">
        <v>253</v>
      </c>
      <c r="C290" s="342">
        <v>0.39630094750676842</v>
      </c>
      <c r="D290" s="342">
        <v>0.4743817344431262</v>
      </c>
    </row>
    <row r="291" spans="1:4" x14ac:dyDescent="0.25">
      <c r="A291" s="531">
        <v>9</v>
      </c>
      <c r="B291" s="70" t="s">
        <v>705</v>
      </c>
      <c r="C291" s="342">
        <v>0</v>
      </c>
      <c r="D291" s="342">
        <v>0</v>
      </c>
    </row>
    <row r="292" spans="1:4" x14ac:dyDescent="0.25">
      <c r="A292" s="531">
        <v>10</v>
      </c>
      <c r="B292" s="70" t="s">
        <v>794</v>
      </c>
      <c r="C292" s="342">
        <v>0.96445588954783434</v>
      </c>
      <c r="D292" s="342">
        <v>1.165272451721729</v>
      </c>
    </row>
    <row r="293" spans="1:4" x14ac:dyDescent="0.25">
      <c r="A293" s="531">
        <v>11</v>
      </c>
      <c r="B293"/>
      <c r="C293"/>
      <c r="D293"/>
    </row>
    <row r="294" spans="1:4" x14ac:dyDescent="0.25">
      <c r="A294" s="531">
        <v>12</v>
      </c>
      <c r="B294"/>
      <c r="C294"/>
      <c r="D294"/>
    </row>
    <row r="295" spans="1:4" x14ac:dyDescent="0.25">
      <c r="A295" s="531">
        <v>13</v>
      </c>
      <c r="B295"/>
      <c r="C295"/>
      <c r="D295"/>
    </row>
    <row r="296" spans="1:4" x14ac:dyDescent="0.25">
      <c r="A296" s="531">
        <v>14</v>
      </c>
      <c r="B296"/>
      <c r="C296"/>
      <c r="D296"/>
    </row>
    <row r="297" spans="1:4" x14ac:dyDescent="0.25">
      <c r="A297" s="531">
        <v>15</v>
      </c>
      <c r="B297"/>
      <c r="C297"/>
      <c r="D297"/>
    </row>
    <row r="298" spans="1:4" x14ac:dyDescent="0.25">
      <c r="A298" s="531">
        <v>16</v>
      </c>
      <c r="B298"/>
      <c r="C298"/>
      <c r="D298"/>
    </row>
    <row r="299" spans="1:4" x14ac:dyDescent="0.25">
      <c r="A299" s="531">
        <v>17</v>
      </c>
      <c r="B299"/>
      <c r="C299"/>
      <c r="D299"/>
    </row>
    <row r="300" spans="1:4" x14ac:dyDescent="0.25">
      <c r="A300" s="531">
        <v>18</v>
      </c>
      <c r="B300"/>
      <c r="C300"/>
      <c r="D300"/>
    </row>
    <row r="301" spans="1:4" x14ac:dyDescent="0.25">
      <c r="A301" s="531">
        <v>19</v>
      </c>
      <c r="B301"/>
      <c r="C301"/>
      <c r="D301"/>
    </row>
    <row r="302" spans="1:4" x14ac:dyDescent="0.25">
      <c r="A302" s="531">
        <v>20</v>
      </c>
      <c r="B302"/>
      <c r="C302"/>
      <c r="D302"/>
    </row>
    <row r="303" spans="1:4" x14ac:dyDescent="0.25">
      <c r="A303" s="531">
        <v>21</v>
      </c>
      <c r="B303"/>
      <c r="C303"/>
      <c r="D303"/>
    </row>
    <row r="304" spans="1:4" x14ac:dyDescent="0.25">
      <c r="A304" s="531">
        <v>22</v>
      </c>
      <c r="B304"/>
      <c r="C304"/>
      <c r="D304"/>
    </row>
    <row r="305" spans="1:17" x14ac:dyDescent="0.25">
      <c r="A305" s="531">
        <v>23</v>
      </c>
    </row>
    <row r="306" spans="1:17" x14ac:dyDescent="0.25">
      <c r="A306" s="531">
        <v>24</v>
      </c>
    </row>
    <row r="307" spans="1:17" x14ac:dyDescent="0.25">
      <c r="A307" s="531">
        <v>25</v>
      </c>
    </row>
    <row r="308" spans="1:17" x14ac:dyDescent="0.25">
      <c r="A308" s="531">
        <v>26</v>
      </c>
    </row>
    <row r="309" spans="1:17" x14ac:dyDescent="0.25">
      <c r="A309" s="531">
        <v>27</v>
      </c>
    </row>
    <row r="310" spans="1:17" x14ac:dyDescent="0.25">
      <c r="A310" s="531">
        <v>28</v>
      </c>
    </row>
    <row r="311" spans="1:17" x14ac:dyDescent="0.25">
      <c r="A311" s="531">
        <v>29</v>
      </c>
      <c r="B311" s="164"/>
      <c r="C311" s="529"/>
      <c r="D311" s="529"/>
      <c r="P311" s="528"/>
      <c r="Q311" s="528"/>
    </row>
    <row r="312" spans="1:17" x14ac:dyDescent="0.25">
      <c r="A312" s="531">
        <v>30</v>
      </c>
      <c r="B312" s="164"/>
      <c r="C312" s="529"/>
      <c r="D312" s="529"/>
      <c r="P312" s="528"/>
      <c r="Q312" s="528"/>
    </row>
    <row r="313" spans="1:17" x14ac:dyDescent="0.25">
      <c r="A313" s="531">
        <v>31</v>
      </c>
      <c r="B313" s="164"/>
      <c r="C313" s="529"/>
      <c r="D313" s="529"/>
      <c r="P313" s="528"/>
      <c r="Q313" s="528"/>
    </row>
    <row r="314" spans="1:17" x14ac:dyDescent="0.25">
      <c r="A314" s="531">
        <v>32</v>
      </c>
      <c r="B314" s="164"/>
      <c r="C314" s="529"/>
      <c r="D314" s="529"/>
      <c r="P314" s="528"/>
      <c r="Q314" s="528"/>
    </row>
    <row r="315" spans="1:17" x14ac:dyDescent="0.25">
      <c r="A315" s="531">
        <v>33</v>
      </c>
      <c r="B315" s="164"/>
      <c r="C315" s="529"/>
      <c r="D315" s="529"/>
      <c r="P315" s="528"/>
      <c r="Q315" s="528"/>
    </row>
    <row r="316" spans="1:17" x14ac:dyDescent="0.25">
      <c r="A316" s="531">
        <v>34</v>
      </c>
      <c r="B316" s="164"/>
      <c r="C316" s="529"/>
      <c r="D316" s="529"/>
      <c r="P316" s="528"/>
      <c r="Q316" s="528"/>
    </row>
    <row r="317" spans="1:17" x14ac:dyDescent="0.25">
      <c r="A317" s="531">
        <v>35</v>
      </c>
      <c r="B317" s="164"/>
      <c r="C317" s="529"/>
      <c r="D317" s="529"/>
      <c r="P317" s="528"/>
      <c r="Q317" s="528"/>
    </row>
    <row r="318" spans="1:17" x14ac:dyDescent="0.25">
      <c r="A318" s="531">
        <v>1</v>
      </c>
      <c r="B318" s="164"/>
      <c r="C318" s="529"/>
      <c r="D318" s="529"/>
      <c r="P318" s="528"/>
      <c r="Q318" s="528"/>
    </row>
    <row r="319" spans="1:17" x14ac:dyDescent="0.25">
      <c r="A319" s="531">
        <v>2</v>
      </c>
      <c r="B319" s="164"/>
      <c r="C319" s="529"/>
      <c r="D319" s="529"/>
      <c r="P319" s="528"/>
      <c r="Q319" s="528"/>
    </row>
    <row r="320" spans="1:17" x14ac:dyDescent="0.25">
      <c r="A320" s="531">
        <v>3</v>
      </c>
      <c r="B320" s="164"/>
      <c r="C320" s="529"/>
      <c r="D320" s="529"/>
      <c r="P320" s="528"/>
      <c r="Q320" s="528"/>
    </row>
    <row r="321" spans="1:17" x14ac:dyDescent="0.25">
      <c r="A321" s="531">
        <v>4</v>
      </c>
      <c r="B321" s="164"/>
      <c r="C321" s="529"/>
      <c r="D321" s="529"/>
      <c r="P321" s="528"/>
      <c r="Q321" s="528"/>
    </row>
    <row r="322" spans="1:17" x14ac:dyDescent="0.25">
      <c r="A322" s="531">
        <v>5</v>
      </c>
      <c r="B322" s="164"/>
      <c r="C322" s="529"/>
      <c r="D322" s="529"/>
      <c r="P322" s="528"/>
      <c r="Q322" s="528"/>
    </row>
    <row r="323" spans="1:17" x14ac:dyDescent="0.25">
      <c r="A323" s="531">
        <v>6</v>
      </c>
      <c r="P323" s="528"/>
      <c r="Q323" s="528"/>
    </row>
    <row r="324" spans="1:17" x14ac:dyDescent="0.25">
      <c r="A324" s="531">
        <v>7</v>
      </c>
      <c r="P324" s="528"/>
      <c r="Q324" s="528"/>
    </row>
    <row r="325" spans="1:17" x14ac:dyDescent="0.25">
      <c r="A325" s="531">
        <v>8</v>
      </c>
      <c r="B325" s="284" t="s">
        <v>449</v>
      </c>
      <c r="C325" s="75" t="s">
        <v>720</v>
      </c>
      <c r="P325" s="528"/>
      <c r="Q325" s="528"/>
    </row>
    <row r="326" spans="1:17" x14ac:dyDescent="0.25">
      <c r="A326" s="531">
        <v>9</v>
      </c>
      <c r="P326" s="528"/>
      <c r="Q326" s="528"/>
    </row>
    <row r="327" spans="1:17" x14ac:dyDescent="0.25">
      <c r="A327" s="531">
        <v>10</v>
      </c>
      <c r="B327" s="284" t="s">
        <v>808</v>
      </c>
      <c r="C327"/>
      <c r="D327"/>
      <c r="P327" s="528"/>
      <c r="Q327" s="528"/>
    </row>
    <row r="328" spans="1:17" x14ac:dyDescent="0.25">
      <c r="A328" s="531">
        <v>11</v>
      </c>
      <c r="B328" s="70" t="s">
        <v>894</v>
      </c>
      <c r="C328" s="752">
        <v>15879943.225000001</v>
      </c>
      <c r="D328"/>
      <c r="P328" s="528"/>
      <c r="Q328" s="528"/>
    </row>
    <row r="329" spans="1:17" x14ac:dyDescent="0.25">
      <c r="A329" s="531">
        <v>12</v>
      </c>
      <c r="B329" s="70" t="s">
        <v>895</v>
      </c>
      <c r="C329" s="290">
        <v>1370659.3249999993</v>
      </c>
      <c r="D329"/>
      <c r="P329" s="528"/>
      <c r="Q329" s="528"/>
    </row>
    <row r="330" spans="1:17" x14ac:dyDescent="0.25">
      <c r="A330" s="531">
        <v>13</v>
      </c>
      <c r="B330" s="70" t="s">
        <v>896</v>
      </c>
      <c r="C330" s="290">
        <v>21925154.450000003</v>
      </c>
      <c r="D330"/>
      <c r="P330" s="528"/>
      <c r="Q330" s="528"/>
    </row>
    <row r="331" spans="1:17" x14ac:dyDescent="0.25">
      <c r="A331" s="531">
        <v>14</v>
      </c>
      <c r="B331"/>
      <c r="C331"/>
      <c r="D331"/>
      <c r="P331" s="528"/>
      <c r="Q331" s="528"/>
    </row>
    <row r="332" spans="1:17" x14ac:dyDescent="0.25">
      <c r="A332" s="531">
        <v>15</v>
      </c>
      <c r="B332"/>
      <c r="C332"/>
      <c r="D332"/>
      <c r="P332" s="528"/>
      <c r="Q332" s="528"/>
    </row>
    <row r="333" spans="1:17" x14ac:dyDescent="0.25">
      <c r="A333" s="531">
        <v>16</v>
      </c>
      <c r="B333"/>
      <c r="C333"/>
      <c r="D333"/>
      <c r="P333" s="528"/>
      <c r="Q333" s="528"/>
    </row>
    <row r="334" spans="1:17" x14ac:dyDescent="0.25">
      <c r="A334" s="531">
        <v>17</v>
      </c>
      <c r="B334"/>
      <c r="C334"/>
      <c r="D334"/>
      <c r="P334" s="528"/>
      <c r="Q334" s="528"/>
    </row>
    <row r="335" spans="1:17" x14ac:dyDescent="0.25">
      <c r="A335" s="531">
        <v>18</v>
      </c>
      <c r="B335"/>
      <c r="C335"/>
      <c r="D335"/>
      <c r="P335" s="528"/>
      <c r="Q335" s="528"/>
    </row>
    <row r="336" spans="1:17" x14ac:dyDescent="0.25">
      <c r="A336" s="531">
        <v>19</v>
      </c>
      <c r="B336"/>
      <c r="C336"/>
      <c r="D336"/>
      <c r="P336" s="528"/>
      <c r="Q336" s="528"/>
    </row>
    <row r="337" spans="1:17" x14ac:dyDescent="0.25">
      <c r="A337" s="531">
        <v>20</v>
      </c>
      <c r="B337"/>
      <c r="C337"/>
      <c r="D337"/>
      <c r="P337" s="528"/>
      <c r="Q337" s="528"/>
    </row>
    <row r="338" spans="1:17" x14ac:dyDescent="0.25">
      <c r="A338" s="531">
        <v>21</v>
      </c>
      <c r="B338"/>
      <c r="C338"/>
      <c r="D338"/>
      <c r="P338" s="528"/>
      <c r="Q338" s="528"/>
    </row>
    <row r="339" spans="1:17" x14ac:dyDescent="0.25">
      <c r="A339" s="531">
        <v>22</v>
      </c>
      <c r="B339"/>
      <c r="C339"/>
      <c r="D339"/>
      <c r="P339" s="528"/>
      <c r="Q339" s="528"/>
    </row>
    <row r="340" spans="1:17" x14ac:dyDescent="0.25">
      <c r="A340" s="531">
        <v>23</v>
      </c>
      <c r="B340"/>
      <c r="C340"/>
      <c r="D340"/>
      <c r="P340" s="528"/>
      <c r="Q340" s="528"/>
    </row>
    <row r="341" spans="1:17" x14ac:dyDescent="0.25">
      <c r="A341" s="531">
        <v>24</v>
      </c>
      <c r="B341"/>
      <c r="C341"/>
      <c r="D341"/>
      <c r="P341" s="528"/>
      <c r="Q341" s="528"/>
    </row>
    <row r="342" spans="1:17" x14ac:dyDescent="0.25">
      <c r="A342" s="531">
        <v>25</v>
      </c>
      <c r="B342"/>
      <c r="C342"/>
      <c r="D342"/>
      <c r="P342" s="528"/>
      <c r="Q342" s="528"/>
    </row>
    <row r="343" spans="1:17" x14ac:dyDescent="0.25">
      <c r="A343" s="531">
        <v>26</v>
      </c>
      <c r="B343"/>
      <c r="C343"/>
      <c r="D343"/>
      <c r="P343" s="528"/>
      <c r="Q343" s="528"/>
    </row>
    <row r="344" spans="1:17" x14ac:dyDescent="0.25">
      <c r="A344" s="531">
        <v>27</v>
      </c>
      <c r="B344"/>
      <c r="C344"/>
      <c r="D344"/>
      <c r="P344" s="528"/>
      <c r="Q344" s="528"/>
    </row>
    <row r="345" spans="1:17" x14ac:dyDescent="0.25">
      <c r="A345" s="531">
        <v>28</v>
      </c>
      <c r="P345" s="528"/>
      <c r="Q345" s="528"/>
    </row>
    <row r="346" spans="1:17" x14ac:dyDescent="0.25">
      <c r="A346" s="531">
        <v>1</v>
      </c>
      <c r="P346" s="528"/>
      <c r="Q346" s="528"/>
    </row>
    <row r="347" spans="1:17" x14ac:dyDescent="0.25">
      <c r="A347" s="531">
        <v>2</v>
      </c>
      <c r="B347" s="284" t="s">
        <v>449</v>
      </c>
      <c r="C347" s="75" t="s">
        <v>252</v>
      </c>
      <c r="P347" s="528"/>
      <c r="Q347" s="528"/>
    </row>
    <row r="348" spans="1:17" x14ac:dyDescent="0.25">
      <c r="A348" s="531">
        <v>3</v>
      </c>
      <c r="P348" s="528"/>
      <c r="Q348" s="528"/>
    </row>
    <row r="349" spans="1:17" x14ac:dyDescent="0.25">
      <c r="A349" s="531">
        <v>4</v>
      </c>
      <c r="B349" s="284" t="s">
        <v>808</v>
      </c>
      <c r="C349"/>
      <c r="D349"/>
      <c r="P349" s="528"/>
      <c r="Q349" s="528"/>
    </row>
    <row r="350" spans="1:17" x14ac:dyDescent="0.25">
      <c r="A350" s="531">
        <v>5</v>
      </c>
      <c r="B350" s="70" t="s">
        <v>894</v>
      </c>
      <c r="C350" s="291">
        <v>1382983.4129999999</v>
      </c>
      <c r="D350"/>
      <c r="P350" s="528"/>
      <c r="Q350" s="528"/>
    </row>
    <row r="351" spans="1:17" x14ac:dyDescent="0.25">
      <c r="A351" s="531">
        <v>6</v>
      </c>
      <c r="B351" s="70" t="s">
        <v>895</v>
      </c>
      <c r="C351" s="291">
        <v>764472.47100000014</v>
      </c>
      <c r="D351"/>
      <c r="P351" s="528"/>
      <c r="Q351" s="528"/>
    </row>
    <row r="352" spans="1:17" x14ac:dyDescent="0.25">
      <c r="A352" s="531">
        <v>7</v>
      </c>
      <c r="B352" s="70" t="s">
        <v>896</v>
      </c>
      <c r="C352" s="291">
        <v>6347337.1160000004</v>
      </c>
      <c r="D352"/>
      <c r="P352" s="528"/>
      <c r="Q352" s="528"/>
    </row>
    <row r="353" spans="1:17" x14ac:dyDescent="0.25">
      <c r="A353" s="531">
        <v>8</v>
      </c>
      <c r="B353"/>
      <c r="C353"/>
      <c r="D353"/>
      <c r="P353" s="528"/>
      <c r="Q353" s="528"/>
    </row>
    <row r="354" spans="1:17" x14ac:dyDescent="0.25">
      <c r="A354" s="531">
        <v>9</v>
      </c>
      <c r="B354"/>
      <c r="C354"/>
      <c r="D354"/>
      <c r="P354" s="528"/>
      <c r="Q354" s="528"/>
    </row>
    <row r="355" spans="1:17" x14ac:dyDescent="0.25">
      <c r="A355" s="531">
        <v>10</v>
      </c>
      <c r="B355"/>
      <c r="C355"/>
      <c r="D355"/>
      <c r="P355" s="528"/>
      <c r="Q355" s="528"/>
    </row>
    <row r="356" spans="1:17" x14ac:dyDescent="0.25">
      <c r="A356" s="531">
        <v>11</v>
      </c>
      <c r="B356"/>
      <c r="C356"/>
      <c r="D356"/>
      <c r="P356" s="528"/>
      <c r="Q356" s="528"/>
    </row>
    <row r="357" spans="1:17" x14ac:dyDescent="0.25">
      <c r="A357" s="531">
        <v>12</v>
      </c>
      <c r="B357"/>
      <c r="C357"/>
      <c r="D357"/>
      <c r="P357" s="528"/>
      <c r="Q357" s="528"/>
    </row>
    <row r="358" spans="1:17" x14ac:dyDescent="0.25">
      <c r="A358" s="531">
        <v>13</v>
      </c>
      <c r="B358"/>
      <c r="C358"/>
      <c r="D358"/>
      <c r="P358" s="528"/>
      <c r="Q358" s="528"/>
    </row>
    <row r="359" spans="1:17" x14ac:dyDescent="0.25">
      <c r="A359" s="531">
        <v>14</v>
      </c>
      <c r="B359"/>
      <c r="C359"/>
      <c r="D359"/>
      <c r="P359" s="528"/>
      <c r="Q359" s="528"/>
    </row>
    <row r="360" spans="1:17" x14ac:dyDescent="0.25">
      <c r="A360" s="531">
        <v>15</v>
      </c>
      <c r="B360"/>
      <c r="C360"/>
      <c r="D360"/>
      <c r="P360" s="528"/>
      <c r="Q360" s="528"/>
    </row>
    <row r="361" spans="1:17" x14ac:dyDescent="0.25">
      <c r="A361" s="531">
        <v>16</v>
      </c>
      <c r="B361"/>
      <c r="C361"/>
      <c r="D361"/>
      <c r="P361" s="528"/>
      <c r="Q361" s="528"/>
    </row>
    <row r="362" spans="1:17" x14ac:dyDescent="0.25">
      <c r="A362" s="531">
        <v>17</v>
      </c>
      <c r="B362"/>
      <c r="C362"/>
      <c r="D362"/>
      <c r="P362" s="528"/>
      <c r="Q362" s="528"/>
    </row>
    <row r="363" spans="1:17" x14ac:dyDescent="0.25">
      <c r="A363" s="531">
        <v>18</v>
      </c>
      <c r="B363"/>
      <c r="C363"/>
      <c r="D363"/>
      <c r="P363" s="528"/>
      <c r="Q363" s="528"/>
    </row>
    <row r="364" spans="1:17" x14ac:dyDescent="0.25">
      <c r="A364" s="531">
        <v>19</v>
      </c>
      <c r="B364"/>
      <c r="C364"/>
      <c r="D364"/>
      <c r="P364" s="528"/>
      <c r="Q364" s="528"/>
    </row>
    <row r="365" spans="1:17" x14ac:dyDescent="0.25">
      <c r="A365" s="531">
        <v>20</v>
      </c>
      <c r="B365"/>
      <c r="C365"/>
      <c r="D365"/>
      <c r="P365" s="528"/>
      <c r="Q365" s="528"/>
    </row>
    <row r="366" spans="1:17" x14ac:dyDescent="0.25">
      <c r="A366" s="531">
        <v>21</v>
      </c>
      <c r="B366"/>
      <c r="C366"/>
      <c r="D366"/>
      <c r="P366" s="528"/>
      <c r="Q366" s="528"/>
    </row>
    <row r="367" spans="1:17" x14ac:dyDescent="0.25">
      <c r="A367" s="531">
        <v>22</v>
      </c>
      <c r="P367" s="528"/>
      <c r="Q367" s="528"/>
    </row>
    <row r="368" spans="1:17" x14ac:dyDescent="0.25">
      <c r="A368" s="531">
        <v>23</v>
      </c>
      <c r="P368" s="528"/>
      <c r="Q368" s="528"/>
    </row>
    <row r="369" spans="1:17" x14ac:dyDescent="0.25">
      <c r="A369" s="531">
        <v>24</v>
      </c>
      <c r="P369" s="528"/>
      <c r="Q369" s="528"/>
    </row>
    <row r="370" spans="1:17" x14ac:dyDescent="0.25">
      <c r="A370" s="531">
        <v>25</v>
      </c>
      <c r="P370" s="528"/>
      <c r="Q370" s="528"/>
    </row>
    <row r="371" spans="1:17" x14ac:dyDescent="0.25">
      <c r="A371" s="531">
        <v>26</v>
      </c>
      <c r="P371" s="528"/>
      <c r="Q371" s="528"/>
    </row>
    <row r="372" spans="1:17" x14ac:dyDescent="0.25">
      <c r="A372" s="531">
        <v>27</v>
      </c>
      <c r="P372" s="528"/>
      <c r="Q372" s="528"/>
    </row>
    <row r="373" spans="1:17" x14ac:dyDescent="0.25">
      <c r="A373" s="531">
        <v>28</v>
      </c>
      <c r="P373" s="528"/>
      <c r="Q373" s="528"/>
    </row>
    <row r="374" spans="1:17" x14ac:dyDescent="0.25">
      <c r="A374" s="531">
        <v>1</v>
      </c>
      <c r="B374" s="284" t="s">
        <v>449</v>
      </c>
      <c r="C374" s="75" t="s">
        <v>253</v>
      </c>
      <c r="P374" s="528"/>
      <c r="Q374" s="528"/>
    </row>
    <row r="375" spans="1:17" x14ac:dyDescent="0.25">
      <c r="A375" s="531">
        <v>2</v>
      </c>
      <c r="P375" s="528"/>
      <c r="Q375" s="528"/>
    </row>
    <row r="376" spans="1:17" x14ac:dyDescent="0.25">
      <c r="A376" s="531">
        <v>3</v>
      </c>
      <c r="B376" s="284" t="s">
        <v>808</v>
      </c>
      <c r="C376"/>
      <c r="D376"/>
      <c r="P376" s="528"/>
      <c r="Q376" s="528"/>
    </row>
    <row r="377" spans="1:17" x14ac:dyDescent="0.25">
      <c r="A377" s="531">
        <v>4</v>
      </c>
      <c r="B377" s="70" t="s">
        <v>894</v>
      </c>
      <c r="C377" s="290">
        <v>107574799.59900001</v>
      </c>
      <c r="D377"/>
      <c r="P377" s="528"/>
      <c r="Q377" s="528"/>
    </row>
    <row r="378" spans="1:17" x14ac:dyDescent="0.25">
      <c r="A378" s="531">
        <v>5</v>
      </c>
      <c r="B378" s="70" t="s">
        <v>895</v>
      </c>
      <c r="C378" s="290">
        <v>6366325.0059999973</v>
      </c>
      <c r="D378"/>
      <c r="P378" s="528"/>
      <c r="Q378" s="528"/>
    </row>
    <row r="379" spans="1:17" x14ac:dyDescent="0.25">
      <c r="A379" s="531">
        <v>6</v>
      </c>
      <c r="B379" s="70" t="s">
        <v>896</v>
      </c>
      <c r="C379" s="290">
        <v>157506118.39499998</v>
      </c>
      <c r="D379"/>
      <c r="P379" s="528"/>
      <c r="Q379" s="528"/>
    </row>
    <row r="380" spans="1:17" x14ac:dyDescent="0.25">
      <c r="A380" s="531">
        <v>7</v>
      </c>
      <c r="B380"/>
      <c r="C380"/>
      <c r="D380"/>
      <c r="P380" s="528"/>
      <c r="Q380" s="528"/>
    </row>
    <row r="381" spans="1:17" x14ac:dyDescent="0.25">
      <c r="A381" s="531">
        <v>8</v>
      </c>
      <c r="B381"/>
      <c r="C381"/>
      <c r="D381"/>
      <c r="P381" s="528"/>
      <c r="Q381" s="528"/>
    </row>
    <row r="382" spans="1:17" x14ac:dyDescent="0.25">
      <c r="A382" s="531">
        <v>9</v>
      </c>
      <c r="B382"/>
      <c r="C382"/>
      <c r="D382"/>
      <c r="P382" s="528"/>
      <c r="Q382" s="528"/>
    </row>
    <row r="383" spans="1:17" x14ac:dyDescent="0.25">
      <c r="A383" s="531">
        <v>10</v>
      </c>
      <c r="B383"/>
      <c r="C383"/>
      <c r="D383"/>
      <c r="P383" s="528"/>
      <c r="Q383" s="528"/>
    </row>
    <row r="384" spans="1:17" x14ac:dyDescent="0.25">
      <c r="A384" s="531">
        <v>11</v>
      </c>
      <c r="B384"/>
      <c r="C384"/>
      <c r="D384"/>
      <c r="P384" s="528"/>
      <c r="Q384" s="528"/>
    </row>
    <row r="385" spans="1:17" x14ac:dyDescent="0.25">
      <c r="A385" s="531">
        <v>12</v>
      </c>
      <c r="B385"/>
      <c r="C385"/>
      <c r="D385"/>
      <c r="P385" s="528"/>
      <c r="Q385" s="528"/>
    </row>
    <row r="386" spans="1:17" x14ac:dyDescent="0.25">
      <c r="A386" s="531">
        <v>13</v>
      </c>
      <c r="B386"/>
      <c r="C386"/>
      <c r="D386"/>
      <c r="P386" s="528"/>
      <c r="Q386" s="528"/>
    </row>
    <row r="387" spans="1:17" x14ac:dyDescent="0.25">
      <c r="A387" s="531">
        <v>14</v>
      </c>
      <c r="B387"/>
      <c r="C387"/>
      <c r="D387"/>
      <c r="P387" s="528"/>
      <c r="Q387" s="528"/>
    </row>
    <row r="388" spans="1:17" x14ac:dyDescent="0.25">
      <c r="A388" s="531">
        <v>15</v>
      </c>
      <c r="B388" s="75"/>
      <c r="C388" s="75"/>
      <c r="D388" s="75"/>
      <c r="P388" s="528"/>
      <c r="Q388" s="528"/>
    </row>
    <row r="389" spans="1:17" x14ac:dyDescent="0.25">
      <c r="A389" s="531">
        <v>16</v>
      </c>
      <c r="B389" s="75"/>
      <c r="C389" s="75"/>
      <c r="D389" s="75"/>
      <c r="P389" s="528"/>
      <c r="Q389" s="528"/>
    </row>
    <row r="390" spans="1:17" x14ac:dyDescent="0.25">
      <c r="A390" s="531">
        <v>17</v>
      </c>
      <c r="B390" s="75"/>
      <c r="C390" s="75"/>
      <c r="D390" s="75"/>
      <c r="P390" s="528"/>
      <c r="Q390" s="528"/>
    </row>
    <row r="391" spans="1:17" x14ac:dyDescent="0.25">
      <c r="A391" s="531">
        <v>18</v>
      </c>
      <c r="B391" s="75"/>
      <c r="C391" s="75"/>
      <c r="D391" s="75"/>
      <c r="P391" s="528"/>
      <c r="Q391" s="528"/>
    </row>
    <row r="392" spans="1:17" x14ac:dyDescent="0.25">
      <c r="A392" s="531">
        <v>19</v>
      </c>
      <c r="B392" s="75"/>
      <c r="C392" s="75"/>
      <c r="D392" s="75"/>
      <c r="P392" s="528"/>
      <c r="Q392" s="528"/>
    </row>
    <row r="393" spans="1:17" x14ac:dyDescent="0.25">
      <c r="A393" s="531">
        <v>20</v>
      </c>
      <c r="B393" s="75"/>
      <c r="C393" s="75"/>
      <c r="D393" s="75"/>
      <c r="P393" s="528"/>
      <c r="Q393" s="528"/>
    </row>
    <row r="394" spans="1:17" x14ac:dyDescent="0.25">
      <c r="A394" s="531">
        <v>21</v>
      </c>
      <c r="B394" s="75"/>
      <c r="C394" s="75"/>
      <c r="D394" s="75"/>
      <c r="P394" s="528"/>
      <c r="Q394" s="528"/>
    </row>
    <row r="395" spans="1:17" x14ac:dyDescent="0.25">
      <c r="A395" s="531">
        <v>22</v>
      </c>
      <c r="B395" s="75"/>
      <c r="C395" s="75"/>
      <c r="D395" s="75"/>
      <c r="P395" s="528"/>
      <c r="Q395" s="528"/>
    </row>
    <row r="396" spans="1:17" x14ac:dyDescent="0.25">
      <c r="A396" s="531">
        <v>23</v>
      </c>
      <c r="B396" s="75"/>
      <c r="C396" s="75"/>
      <c r="D396" s="75"/>
      <c r="P396" s="528"/>
      <c r="Q396" s="528"/>
    </row>
    <row r="397" spans="1:17" x14ac:dyDescent="0.25">
      <c r="A397" s="531">
        <v>24</v>
      </c>
      <c r="B397" s="75"/>
      <c r="C397" s="75"/>
      <c r="D397" s="75"/>
      <c r="P397" s="528"/>
      <c r="Q397" s="528"/>
    </row>
    <row r="398" spans="1:17" x14ac:dyDescent="0.25">
      <c r="A398" s="531">
        <v>25</v>
      </c>
      <c r="B398" s="75"/>
      <c r="C398" s="75"/>
      <c r="D398" s="75"/>
      <c r="P398" s="528"/>
      <c r="Q398" s="528"/>
    </row>
    <row r="399" spans="1:17" x14ac:dyDescent="0.25">
      <c r="A399" s="531">
        <v>26</v>
      </c>
      <c r="B399" s="75"/>
      <c r="C399" s="75"/>
      <c r="D399" s="75"/>
      <c r="P399" s="528"/>
      <c r="Q399" s="528"/>
    </row>
    <row r="400" spans="1:17" x14ac:dyDescent="0.25">
      <c r="A400" s="531">
        <v>27</v>
      </c>
      <c r="B400" s="75"/>
      <c r="C400" s="75"/>
      <c r="D400" s="75"/>
      <c r="P400" s="528"/>
      <c r="Q400" s="528"/>
    </row>
    <row r="401" spans="1:17" x14ac:dyDescent="0.25">
      <c r="A401" s="531">
        <v>28</v>
      </c>
      <c r="B401"/>
      <c r="C401"/>
      <c r="D401"/>
      <c r="P401" s="528"/>
      <c r="Q401" s="528"/>
    </row>
    <row r="402" spans="1:17" x14ac:dyDescent="0.25">
      <c r="A402" s="531">
        <v>1</v>
      </c>
      <c r="B402"/>
      <c r="C402"/>
      <c r="D402"/>
      <c r="P402" s="528"/>
      <c r="Q402" s="528"/>
    </row>
    <row r="403" spans="1:17" x14ac:dyDescent="0.25">
      <c r="A403" s="531">
        <v>2</v>
      </c>
      <c r="B403"/>
      <c r="C403"/>
      <c r="D403"/>
      <c r="P403" s="528"/>
      <c r="Q403" s="528"/>
    </row>
    <row r="404" spans="1:17" x14ac:dyDescent="0.25">
      <c r="A404" s="531">
        <v>3</v>
      </c>
      <c r="B404"/>
      <c r="C404"/>
      <c r="D404"/>
      <c r="P404" s="528"/>
      <c r="Q404" s="528"/>
    </row>
    <row r="405" spans="1:17" x14ac:dyDescent="0.25">
      <c r="A405" s="531">
        <v>4</v>
      </c>
      <c r="B405"/>
      <c r="C405"/>
      <c r="D405"/>
      <c r="P405" s="528"/>
      <c r="Q405" s="528"/>
    </row>
    <row r="406" spans="1:17" x14ac:dyDescent="0.25">
      <c r="A406" s="531">
        <v>5</v>
      </c>
      <c r="B406"/>
      <c r="C406"/>
      <c r="D406"/>
      <c r="P406" s="528"/>
      <c r="Q406" s="528"/>
    </row>
    <row r="407" spans="1:17" x14ac:dyDescent="0.25">
      <c r="A407" s="531">
        <v>6</v>
      </c>
      <c r="P407" s="528"/>
      <c r="Q407" s="528"/>
    </row>
    <row r="408" spans="1:17" x14ac:dyDescent="0.25">
      <c r="A408" s="531">
        <v>7</v>
      </c>
      <c r="B408" s="284" t="s">
        <v>449</v>
      </c>
      <c r="C408" s="75" t="s">
        <v>705</v>
      </c>
      <c r="P408" s="528"/>
      <c r="Q408" s="528"/>
    </row>
    <row r="409" spans="1:17" x14ac:dyDescent="0.25">
      <c r="A409" s="531">
        <v>8</v>
      </c>
      <c r="P409" s="528"/>
      <c r="Q409" s="528"/>
    </row>
    <row r="410" spans="1:17" x14ac:dyDescent="0.25">
      <c r="A410" s="531">
        <v>9</v>
      </c>
      <c r="B410" s="284" t="s">
        <v>808</v>
      </c>
      <c r="C410"/>
      <c r="D410"/>
      <c r="P410" s="528"/>
      <c r="Q410" s="528"/>
    </row>
    <row r="411" spans="1:17" x14ac:dyDescent="0.25">
      <c r="A411" s="531">
        <v>10</v>
      </c>
      <c r="B411" s="70" t="s">
        <v>894</v>
      </c>
      <c r="C411" s="291">
        <v>0</v>
      </c>
      <c r="D411"/>
      <c r="P411" s="528"/>
      <c r="Q411" s="528"/>
    </row>
    <row r="412" spans="1:17" x14ac:dyDescent="0.25">
      <c r="A412" s="531">
        <v>11</v>
      </c>
      <c r="B412" s="70" t="s">
        <v>895</v>
      </c>
      <c r="C412" s="291">
        <v>0</v>
      </c>
      <c r="D412"/>
      <c r="P412" s="528"/>
      <c r="Q412" s="528"/>
    </row>
    <row r="413" spans="1:17" x14ac:dyDescent="0.25">
      <c r="A413" s="531">
        <v>12</v>
      </c>
      <c r="B413" s="70" t="s">
        <v>843</v>
      </c>
      <c r="C413" s="291">
        <v>103303834</v>
      </c>
      <c r="D413"/>
      <c r="P413" s="528"/>
      <c r="Q413" s="528"/>
    </row>
    <row r="414" spans="1:17" x14ac:dyDescent="0.25">
      <c r="A414" s="531">
        <v>13</v>
      </c>
      <c r="B414"/>
      <c r="C414"/>
      <c r="D414"/>
      <c r="P414" s="528"/>
      <c r="Q414" s="528"/>
    </row>
    <row r="415" spans="1:17" x14ac:dyDescent="0.25">
      <c r="A415" s="531">
        <v>14</v>
      </c>
      <c r="B415"/>
      <c r="C415"/>
      <c r="D415"/>
      <c r="P415" s="528"/>
      <c r="Q415" s="528"/>
    </row>
    <row r="416" spans="1:17" x14ac:dyDescent="0.25">
      <c r="A416" s="531">
        <v>15</v>
      </c>
      <c r="B416"/>
      <c r="C416"/>
      <c r="D416"/>
      <c r="P416" s="528"/>
      <c r="Q416" s="528"/>
    </row>
    <row r="417" spans="1:17" x14ac:dyDescent="0.25">
      <c r="A417" s="531">
        <v>16</v>
      </c>
      <c r="B417"/>
      <c r="C417"/>
      <c r="D417"/>
      <c r="P417" s="528"/>
      <c r="Q417" s="528"/>
    </row>
    <row r="418" spans="1:17" x14ac:dyDescent="0.25">
      <c r="A418" s="531">
        <v>17</v>
      </c>
      <c r="B418"/>
      <c r="C418"/>
      <c r="D418"/>
      <c r="P418" s="528"/>
      <c r="Q418" s="528"/>
    </row>
    <row r="419" spans="1:17" x14ac:dyDescent="0.25">
      <c r="A419" s="531">
        <v>18</v>
      </c>
      <c r="B419"/>
      <c r="C419"/>
      <c r="D419"/>
      <c r="P419" s="528"/>
      <c r="Q419" s="528"/>
    </row>
    <row r="420" spans="1:17" x14ac:dyDescent="0.25">
      <c r="A420" s="531">
        <v>19</v>
      </c>
      <c r="B420"/>
      <c r="C420"/>
      <c r="D420"/>
      <c r="P420" s="528"/>
      <c r="Q420" s="528"/>
    </row>
    <row r="421" spans="1:17" x14ac:dyDescent="0.25">
      <c r="A421" s="531">
        <v>20</v>
      </c>
      <c r="B421"/>
      <c r="C421"/>
      <c r="D421"/>
      <c r="P421" s="528"/>
      <c r="Q421" s="528"/>
    </row>
    <row r="422" spans="1:17" x14ac:dyDescent="0.25">
      <c r="A422" s="531">
        <v>21</v>
      </c>
      <c r="B422"/>
      <c r="C422"/>
      <c r="D422"/>
      <c r="P422" s="528"/>
      <c r="Q422" s="528"/>
    </row>
    <row r="423" spans="1:17" x14ac:dyDescent="0.25">
      <c r="A423" s="531">
        <v>22</v>
      </c>
      <c r="B423"/>
      <c r="C423"/>
      <c r="D423"/>
      <c r="P423" s="528"/>
      <c r="Q423" s="528"/>
    </row>
    <row r="424" spans="1:17" x14ac:dyDescent="0.25">
      <c r="A424" s="531">
        <v>23</v>
      </c>
      <c r="B424"/>
      <c r="C424"/>
      <c r="D424"/>
      <c r="P424" s="528"/>
      <c r="Q424" s="528"/>
    </row>
    <row r="425" spans="1:17" x14ac:dyDescent="0.25">
      <c r="A425" s="531">
        <v>24</v>
      </c>
      <c r="B425"/>
      <c r="C425"/>
      <c r="D425"/>
      <c r="P425" s="528"/>
      <c r="Q425" s="528"/>
    </row>
    <row r="426" spans="1:17" x14ac:dyDescent="0.25">
      <c r="A426" s="531">
        <v>25</v>
      </c>
      <c r="B426"/>
      <c r="C426"/>
      <c r="D426"/>
      <c r="P426" s="528"/>
      <c r="Q426" s="528"/>
    </row>
    <row r="427" spans="1:17" x14ac:dyDescent="0.25">
      <c r="A427" s="531">
        <v>26</v>
      </c>
      <c r="B427"/>
      <c r="C427"/>
      <c r="D427"/>
      <c r="P427" s="528"/>
      <c r="Q427" s="528"/>
    </row>
    <row r="428" spans="1:17" x14ac:dyDescent="0.25">
      <c r="A428" s="531">
        <v>27</v>
      </c>
      <c r="P428" s="528"/>
      <c r="Q428" s="528"/>
    </row>
    <row r="429" spans="1:17" x14ac:dyDescent="0.25">
      <c r="A429" s="531">
        <v>28</v>
      </c>
      <c r="P429" s="528"/>
      <c r="Q429" s="528"/>
    </row>
    <row r="430" spans="1:17" x14ac:dyDescent="0.25">
      <c r="A430" s="531">
        <v>1</v>
      </c>
      <c r="P430" s="528"/>
      <c r="Q430" s="528"/>
    </row>
    <row r="431" spans="1:17" x14ac:dyDescent="0.25">
      <c r="A431" s="531">
        <v>2</v>
      </c>
      <c r="P431" s="528"/>
      <c r="Q431" s="528"/>
    </row>
    <row r="432" spans="1:17" x14ac:dyDescent="0.25">
      <c r="A432" s="531">
        <v>3</v>
      </c>
      <c r="P432" s="528"/>
      <c r="Q432" s="528"/>
    </row>
    <row r="433" spans="1:17" x14ac:dyDescent="0.25">
      <c r="A433" s="531">
        <v>4</v>
      </c>
      <c r="P433" s="528"/>
      <c r="Q433" s="528"/>
    </row>
    <row r="434" spans="1:17" x14ac:dyDescent="0.25">
      <c r="A434" s="531">
        <v>5</v>
      </c>
      <c r="P434" s="528"/>
      <c r="Q434" s="528"/>
    </row>
    <row r="435" spans="1:17" x14ac:dyDescent="0.25">
      <c r="A435" s="531">
        <v>6</v>
      </c>
      <c r="P435" s="528"/>
      <c r="Q435" s="528"/>
    </row>
    <row r="436" spans="1:17" x14ac:dyDescent="0.25">
      <c r="A436" s="531">
        <v>7</v>
      </c>
      <c r="P436" s="528"/>
      <c r="Q436" s="528"/>
    </row>
    <row r="437" spans="1:17" x14ac:dyDescent="0.25">
      <c r="A437" s="531">
        <v>19</v>
      </c>
      <c r="P437" s="528"/>
      <c r="Q437" s="528"/>
    </row>
    <row r="438" spans="1:17" x14ac:dyDescent="0.25">
      <c r="A438" s="531">
        <v>20</v>
      </c>
      <c r="P438" s="528"/>
      <c r="Q438" s="528"/>
    </row>
    <row r="439" spans="1:17" x14ac:dyDescent="0.25">
      <c r="A439" s="531">
        <v>21</v>
      </c>
      <c r="P439" s="528"/>
      <c r="Q439" s="528"/>
    </row>
    <row r="440" spans="1:17" x14ac:dyDescent="0.25">
      <c r="A440" s="531">
        <v>22</v>
      </c>
      <c r="P440" s="528"/>
      <c r="Q440" s="528"/>
    </row>
    <row r="441" spans="1:17" x14ac:dyDescent="0.25">
      <c r="A441" s="531">
        <v>23</v>
      </c>
      <c r="P441" s="528"/>
      <c r="Q441" s="528"/>
    </row>
    <row r="442" spans="1:17" x14ac:dyDescent="0.25">
      <c r="A442" s="531">
        <v>24</v>
      </c>
      <c r="P442" s="528"/>
      <c r="Q442" s="528"/>
    </row>
    <row r="443" spans="1:17" x14ac:dyDescent="0.25">
      <c r="A443" s="531">
        <v>25</v>
      </c>
      <c r="P443" s="528"/>
      <c r="Q443" s="528"/>
    </row>
    <row r="444" spans="1:17" x14ac:dyDescent="0.25">
      <c r="A444" s="531">
        <v>26</v>
      </c>
      <c r="P444" s="528"/>
      <c r="Q444" s="528"/>
    </row>
    <row r="445" spans="1:17" x14ac:dyDescent="0.25">
      <c r="A445" s="531">
        <v>27</v>
      </c>
      <c r="P445" s="528"/>
      <c r="Q445" s="528"/>
    </row>
    <row r="446" spans="1:17" x14ac:dyDescent="0.25">
      <c r="A446" s="531">
        <v>28</v>
      </c>
      <c r="P446" s="528"/>
      <c r="Q446" s="528"/>
    </row>
    <row r="447" spans="1:17" x14ac:dyDescent="0.25">
      <c r="P447" s="528"/>
      <c r="Q447" s="528"/>
    </row>
    <row r="448" spans="1:17" x14ac:dyDescent="0.25">
      <c r="P448" s="528"/>
      <c r="Q448" s="528"/>
    </row>
    <row r="449" spans="16:17" x14ac:dyDescent="0.25">
      <c r="P449" s="528"/>
      <c r="Q449" s="528"/>
    </row>
    <row r="450" spans="16:17" x14ac:dyDescent="0.25">
      <c r="P450" s="528"/>
      <c r="Q450" s="528"/>
    </row>
    <row r="451" spans="16:17" x14ac:dyDescent="0.25">
      <c r="P451" s="528"/>
      <c r="Q451" s="528"/>
    </row>
    <row r="452" spans="16:17" x14ac:dyDescent="0.25">
      <c r="P452" s="528"/>
      <c r="Q452" s="528"/>
    </row>
    <row r="453" spans="16:17" x14ac:dyDescent="0.25">
      <c r="P453" s="528"/>
      <c r="Q453" s="528"/>
    </row>
    <row r="454" spans="16:17" x14ac:dyDescent="0.25">
      <c r="P454" s="528"/>
      <c r="Q454" s="528"/>
    </row>
    <row r="455" spans="16:17" x14ac:dyDescent="0.25">
      <c r="P455" s="528"/>
      <c r="Q455" s="528"/>
    </row>
    <row r="456" spans="16:17" x14ac:dyDescent="0.25">
      <c r="P456" s="528"/>
      <c r="Q456" s="528"/>
    </row>
    <row r="457" spans="16:17" x14ac:dyDescent="0.25">
      <c r="P457" s="528"/>
      <c r="Q457" s="528"/>
    </row>
    <row r="458" spans="16:17" x14ac:dyDescent="0.25">
      <c r="P458" s="528"/>
      <c r="Q458" s="528"/>
    </row>
    <row r="459" spans="16:17" x14ac:dyDescent="0.25">
      <c r="P459" s="528"/>
      <c r="Q459" s="528"/>
    </row>
    <row r="460" spans="16:17" x14ac:dyDescent="0.25">
      <c r="P460" s="528"/>
      <c r="Q460" s="528"/>
    </row>
    <row r="461" spans="16:17" x14ac:dyDescent="0.25">
      <c r="P461" s="528"/>
      <c r="Q461" s="528"/>
    </row>
    <row r="462" spans="16:17" x14ac:dyDescent="0.25">
      <c r="P462" s="528"/>
      <c r="Q462" s="528"/>
    </row>
    <row r="463" spans="16:17" x14ac:dyDescent="0.25">
      <c r="P463" s="528"/>
      <c r="Q463" s="528"/>
    </row>
    <row r="464" spans="16:17" x14ac:dyDescent="0.25">
      <c r="P464" s="528"/>
      <c r="Q464" s="528"/>
    </row>
    <row r="465" spans="2:17" x14ac:dyDescent="0.25">
      <c r="P465" s="528"/>
      <c r="Q465" s="528"/>
    </row>
    <row r="466" spans="2:17" x14ac:dyDescent="0.25">
      <c r="P466" s="528"/>
      <c r="Q466" s="528"/>
    </row>
    <row r="467" spans="2:17" x14ac:dyDescent="0.25">
      <c r="P467" s="528"/>
      <c r="Q467" s="528"/>
    </row>
    <row r="468" spans="2:17" x14ac:dyDescent="0.25">
      <c r="P468" s="528"/>
      <c r="Q468" s="528"/>
    </row>
    <row r="469" spans="2:17" x14ac:dyDescent="0.25">
      <c r="P469" s="528"/>
      <c r="Q469" s="528"/>
    </row>
    <row r="470" spans="2:17" x14ac:dyDescent="0.25">
      <c r="P470" s="528"/>
      <c r="Q470" s="528"/>
    </row>
    <row r="471" spans="2:17" x14ac:dyDescent="0.25">
      <c r="P471" s="528"/>
      <c r="Q471" s="528"/>
    </row>
    <row r="472" spans="2:17" x14ac:dyDescent="0.25">
      <c r="P472" s="528"/>
      <c r="Q472" s="528"/>
    </row>
    <row r="473" spans="2:17" x14ac:dyDescent="0.25">
      <c r="P473" s="528"/>
      <c r="Q473" s="528"/>
    </row>
    <row r="474" spans="2:17" x14ac:dyDescent="0.25">
      <c r="P474" s="528"/>
      <c r="Q474" s="528"/>
    </row>
    <row r="475" spans="2:17" x14ac:dyDescent="0.25">
      <c r="P475" s="528"/>
      <c r="Q475" s="528"/>
    </row>
    <row r="476" spans="2:17" x14ac:dyDescent="0.25">
      <c r="P476" s="528"/>
      <c r="Q476" s="528"/>
    </row>
    <row r="477" spans="2:17" x14ac:dyDescent="0.25">
      <c r="P477" s="528"/>
      <c r="Q477" s="528"/>
    </row>
    <row r="478" spans="2:17" x14ac:dyDescent="0.25">
      <c r="B478" s="532"/>
      <c r="C478" s="532"/>
      <c r="P478" s="528"/>
      <c r="Q478" s="528"/>
    </row>
    <row r="479" spans="2:17" x14ac:dyDescent="0.25">
      <c r="P479" s="528"/>
      <c r="Q479" s="528"/>
    </row>
    <row r="480" spans="2:17" x14ac:dyDescent="0.25">
      <c r="P480" s="528"/>
      <c r="Q480" s="528"/>
    </row>
    <row r="481" spans="16:17" x14ac:dyDescent="0.25">
      <c r="P481" s="528"/>
      <c r="Q481" s="528"/>
    </row>
    <row r="482" spans="16:17" x14ac:dyDescent="0.25">
      <c r="P482" s="528"/>
      <c r="Q482" s="528"/>
    </row>
    <row r="483" spans="16:17" x14ac:dyDescent="0.25">
      <c r="P483" s="528"/>
      <c r="Q483" s="528"/>
    </row>
    <row r="484" spans="16:17" x14ac:dyDescent="0.25">
      <c r="P484" s="528"/>
      <c r="Q484" s="528"/>
    </row>
    <row r="485" spans="16:17" x14ac:dyDescent="0.25">
      <c r="P485" s="528"/>
      <c r="Q485" s="528"/>
    </row>
    <row r="486" spans="16:17" x14ac:dyDescent="0.25">
      <c r="P486" s="528"/>
      <c r="Q486" s="528"/>
    </row>
    <row r="487" spans="16:17" x14ac:dyDescent="0.25">
      <c r="P487" s="528"/>
      <c r="Q487" s="528"/>
    </row>
    <row r="488" spans="16:17" x14ac:dyDescent="0.25">
      <c r="P488" s="528"/>
      <c r="Q488" s="528"/>
    </row>
    <row r="489" spans="16:17" x14ac:dyDescent="0.25">
      <c r="P489" s="528"/>
      <c r="Q489" s="528"/>
    </row>
    <row r="490" spans="16:17" x14ac:dyDescent="0.25">
      <c r="P490" s="528"/>
      <c r="Q490" s="528"/>
    </row>
    <row r="491" spans="16:17" x14ac:dyDescent="0.25">
      <c r="P491" s="528"/>
      <c r="Q491" s="528"/>
    </row>
    <row r="492" spans="16:17" x14ac:dyDescent="0.25">
      <c r="P492" s="528"/>
      <c r="Q492" s="528"/>
    </row>
    <row r="493" spans="16:17" x14ac:dyDescent="0.25">
      <c r="P493" s="528"/>
      <c r="Q493" s="528"/>
    </row>
    <row r="494" spans="16:17" x14ac:dyDescent="0.25">
      <c r="P494" s="528"/>
      <c r="Q494" s="528"/>
    </row>
    <row r="495" spans="16:17" x14ac:dyDescent="0.25">
      <c r="P495" s="528"/>
      <c r="Q495" s="528"/>
    </row>
    <row r="496" spans="16:17" x14ac:dyDescent="0.25">
      <c r="P496" s="528"/>
      <c r="Q496" s="528"/>
    </row>
    <row r="497" spans="16:17" x14ac:dyDescent="0.25">
      <c r="P497" s="528"/>
      <c r="Q497" s="528"/>
    </row>
    <row r="498" spans="16:17" x14ac:dyDescent="0.25">
      <c r="P498" s="528"/>
      <c r="Q498" s="528"/>
    </row>
    <row r="499" spans="16:17" x14ac:dyDescent="0.25">
      <c r="P499" s="528"/>
      <c r="Q499" s="528"/>
    </row>
    <row r="500" spans="16:17" x14ac:dyDescent="0.25">
      <c r="P500" s="528"/>
      <c r="Q500" s="528"/>
    </row>
    <row r="501" spans="16:17" x14ac:dyDescent="0.25">
      <c r="P501" s="528"/>
      <c r="Q501" s="528"/>
    </row>
    <row r="502" spans="16:17" x14ac:dyDescent="0.25">
      <c r="P502" s="528"/>
      <c r="Q502" s="528"/>
    </row>
    <row r="503" spans="16:17" x14ac:dyDescent="0.25">
      <c r="P503" s="528"/>
      <c r="Q503" s="528"/>
    </row>
    <row r="504" spans="16:17" x14ac:dyDescent="0.25">
      <c r="P504" s="528"/>
      <c r="Q504" s="528"/>
    </row>
    <row r="505" spans="16:17" x14ac:dyDescent="0.25">
      <c r="P505" s="528"/>
      <c r="Q505" s="528"/>
    </row>
    <row r="506" spans="16:17" x14ac:dyDescent="0.25">
      <c r="P506" s="528"/>
      <c r="Q506" s="528"/>
    </row>
    <row r="507" spans="16:17" x14ac:dyDescent="0.25">
      <c r="P507" s="528"/>
      <c r="Q507" s="528"/>
    </row>
    <row r="508" spans="16:17" x14ac:dyDescent="0.25">
      <c r="P508" s="528"/>
      <c r="Q508" s="528"/>
    </row>
    <row r="509" spans="16:17" x14ac:dyDescent="0.25">
      <c r="P509" s="528"/>
      <c r="Q509" s="528"/>
    </row>
    <row r="510" spans="16:17" x14ac:dyDescent="0.25">
      <c r="P510" s="528"/>
      <c r="Q510" s="528"/>
    </row>
    <row r="511" spans="16:17" x14ac:dyDescent="0.25">
      <c r="P511" s="528"/>
      <c r="Q511" s="528"/>
    </row>
    <row r="512" spans="16:17" x14ac:dyDescent="0.25">
      <c r="P512" s="528"/>
      <c r="Q512" s="528"/>
    </row>
    <row r="513" spans="16:17" x14ac:dyDescent="0.25">
      <c r="P513" s="528"/>
      <c r="Q513" s="528"/>
    </row>
    <row r="514" spans="16:17" x14ac:dyDescent="0.25">
      <c r="P514" s="528"/>
      <c r="Q514" s="528"/>
    </row>
    <row r="515" spans="16:17" x14ac:dyDescent="0.25">
      <c r="P515" s="528"/>
      <c r="Q515" s="528"/>
    </row>
    <row r="516" spans="16:17" x14ac:dyDescent="0.25">
      <c r="P516" s="528"/>
      <c r="Q516" s="528"/>
    </row>
    <row r="517" spans="16:17" x14ac:dyDescent="0.25">
      <c r="P517" s="528"/>
      <c r="Q517" s="528"/>
    </row>
    <row r="518" spans="16:17" x14ac:dyDescent="0.25">
      <c r="P518" s="528"/>
      <c r="Q518" s="528"/>
    </row>
    <row r="519" spans="16:17" x14ac:dyDescent="0.25">
      <c r="P519" s="528"/>
      <c r="Q519" s="528"/>
    </row>
    <row r="520" spans="16:17" x14ac:dyDescent="0.25">
      <c r="P520" s="528"/>
      <c r="Q520" s="528"/>
    </row>
    <row r="521" spans="16:17" x14ac:dyDescent="0.25">
      <c r="P521" s="528"/>
      <c r="Q521" s="528"/>
    </row>
    <row r="522" spans="16:17" x14ac:dyDescent="0.25">
      <c r="P522" s="528"/>
      <c r="Q522" s="528"/>
    </row>
    <row r="523" spans="16:17" x14ac:dyDescent="0.25">
      <c r="P523" s="528"/>
      <c r="Q523" s="528"/>
    </row>
    <row r="524" spans="16:17" x14ac:dyDescent="0.25">
      <c r="P524" s="528"/>
      <c r="Q524" s="528"/>
    </row>
    <row r="525" spans="16:17" x14ac:dyDescent="0.25">
      <c r="P525" s="528"/>
      <c r="Q525" s="528"/>
    </row>
    <row r="526" spans="16:17" x14ac:dyDescent="0.25">
      <c r="P526" s="528"/>
      <c r="Q526" s="528"/>
    </row>
    <row r="527" spans="16:17" x14ac:dyDescent="0.25">
      <c r="P527" s="528"/>
      <c r="Q527" s="528"/>
    </row>
    <row r="528" spans="16:17" x14ac:dyDescent="0.25">
      <c r="P528" s="528"/>
      <c r="Q528" s="528"/>
    </row>
    <row r="529" spans="16:17" x14ac:dyDescent="0.25">
      <c r="P529" s="528"/>
      <c r="Q529" s="528"/>
    </row>
    <row r="530" spans="16:17" x14ac:dyDescent="0.25">
      <c r="P530" s="528"/>
      <c r="Q530" s="528"/>
    </row>
    <row r="531" spans="16:17" x14ac:dyDescent="0.25">
      <c r="P531" s="528"/>
      <c r="Q531" s="528"/>
    </row>
    <row r="532" spans="16:17" x14ac:dyDescent="0.25">
      <c r="P532" s="528"/>
      <c r="Q532" s="528"/>
    </row>
    <row r="533" spans="16:17" x14ac:dyDescent="0.25">
      <c r="P533" s="528"/>
      <c r="Q533" s="528"/>
    </row>
    <row r="534" spans="16:17" x14ac:dyDescent="0.25">
      <c r="P534" s="528"/>
      <c r="Q534" s="528"/>
    </row>
    <row r="535" spans="16:17" x14ac:dyDescent="0.25">
      <c r="P535" s="528"/>
      <c r="Q535" s="528"/>
    </row>
    <row r="536" spans="16:17" x14ac:dyDescent="0.25">
      <c r="P536" s="528"/>
      <c r="Q536" s="528"/>
    </row>
    <row r="537" spans="16:17" x14ac:dyDescent="0.25">
      <c r="P537" s="528"/>
      <c r="Q537" s="528"/>
    </row>
    <row r="538" spans="16:17" x14ac:dyDescent="0.25">
      <c r="P538" s="528"/>
      <c r="Q538" s="528"/>
    </row>
    <row r="539" spans="16:17" x14ac:dyDescent="0.25">
      <c r="P539" s="528"/>
      <c r="Q539" s="528"/>
    </row>
    <row r="540" spans="16:17" x14ac:dyDescent="0.25">
      <c r="P540" s="528"/>
      <c r="Q540" s="528"/>
    </row>
    <row r="541" spans="16:17" x14ac:dyDescent="0.25">
      <c r="P541" s="528"/>
      <c r="Q541" s="528"/>
    </row>
    <row r="542" spans="16:17" x14ac:dyDescent="0.25">
      <c r="P542" s="528"/>
      <c r="Q542" s="528"/>
    </row>
    <row r="543" spans="16:17" x14ac:dyDescent="0.25">
      <c r="P543" s="528"/>
      <c r="Q543" s="528"/>
    </row>
    <row r="544" spans="16:17" x14ac:dyDescent="0.25">
      <c r="P544" s="528"/>
      <c r="Q544" s="528"/>
    </row>
    <row r="545" spans="16:17" x14ac:dyDescent="0.25">
      <c r="P545" s="528"/>
      <c r="Q545" s="528"/>
    </row>
    <row r="546" spans="16:17" x14ac:dyDescent="0.25">
      <c r="P546" s="528"/>
      <c r="Q546" s="528"/>
    </row>
    <row r="547" spans="16:17" x14ac:dyDescent="0.25">
      <c r="P547" s="528"/>
      <c r="Q547" s="528"/>
    </row>
    <row r="548" spans="16:17" x14ac:dyDescent="0.25">
      <c r="P548" s="528"/>
      <c r="Q548" s="528"/>
    </row>
    <row r="549" spans="16:17" x14ac:dyDescent="0.25">
      <c r="P549" s="528"/>
      <c r="Q549" s="528"/>
    </row>
    <row r="550" spans="16:17" x14ac:dyDescent="0.25">
      <c r="P550" s="528"/>
      <c r="Q550" s="528"/>
    </row>
    <row r="551" spans="16:17" x14ac:dyDescent="0.25">
      <c r="P551" s="528"/>
      <c r="Q551" s="528"/>
    </row>
    <row r="552" spans="16:17" x14ac:dyDescent="0.25">
      <c r="P552" s="528"/>
      <c r="Q552" s="528"/>
    </row>
    <row r="553" spans="16:17" x14ac:dyDescent="0.25">
      <c r="P553" s="528"/>
      <c r="Q553" s="528"/>
    </row>
    <row r="554" spans="16:17" x14ac:dyDescent="0.25">
      <c r="P554" s="528"/>
      <c r="Q554" s="528"/>
    </row>
    <row r="555" spans="16:17" x14ac:dyDescent="0.25">
      <c r="P555" s="528"/>
      <c r="Q555" s="528"/>
    </row>
    <row r="556" spans="16:17" x14ac:dyDescent="0.25">
      <c r="P556" s="528"/>
      <c r="Q556" s="528"/>
    </row>
    <row r="557" spans="16:17" x14ac:dyDescent="0.25">
      <c r="P557" s="528"/>
      <c r="Q557" s="528"/>
    </row>
    <row r="558" spans="16:17" x14ac:dyDescent="0.25">
      <c r="P558" s="528"/>
      <c r="Q558" s="528"/>
    </row>
    <row r="559" spans="16:17" x14ac:dyDescent="0.25">
      <c r="P559" s="528"/>
      <c r="Q559" s="528"/>
    </row>
    <row r="560" spans="16:17" x14ac:dyDescent="0.25">
      <c r="P560" s="528"/>
      <c r="Q560" s="528"/>
    </row>
    <row r="561" spans="16:17" x14ac:dyDescent="0.25">
      <c r="P561" s="528"/>
      <c r="Q561" s="528"/>
    </row>
    <row r="562" spans="16:17" x14ac:dyDescent="0.25">
      <c r="P562" s="528"/>
      <c r="Q562" s="528"/>
    </row>
    <row r="563" spans="16:17" x14ac:dyDescent="0.25">
      <c r="P563" s="528"/>
      <c r="Q563" s="528"/>
    </row>
    <row r="564" spans="16:17" x14ac:dyDescent="0.25">
      <c r="P564" s="528"/>
      <c r="Q564" s="528"/>
    </row>
    <row r="565" spans="16:17" x14ac:dyDescent="0.25">
      <c r="P565" s="528"/>
      <c r="Q565" s="528"/>
    </row>
    <row r="566" spans="16:17" x14ac:dyDescent="0.25">
      <c r="P566" s="528"/>
      <c r="Q566" s="528"/>
    </row>
    <row r="567" spans="16:17" x14ac:dyDescent="0.25">
      <c r="P567" s="528"/>
      <c r="Q567" s="528"/>
    </row>
    <row r="568" spans="16:17" x14ac:dyDescent="0.25">
      <c r="P568" s="528"/>
      <c r="Q568" s="528"/>
    </row>
    <row r="569" spans="16:17" x14ac:dyDescent="0.25">
      <c r="P569" s="528"/>
      <c r="Q569" s="528"/>
    </row>
    <row r="570" spans="16:17" x14ac:dyDescent="0.25">
      <c r="P570" s="528"/>
      <c r="Q570" s="528"/>
    </row>
    <row r="571" spans="16:17" x14ac:dyDescent="0.25">
      <c r="P571" s="528"/>
      <c r="Q571" s="528"/>
    </row>
    <row r="572" spans="16:17" x14ac:dyDescent="0.25">
      <c r="P572" s="528"/>
      <c r="Q572" s="528"/>
    </row>
    <row r="573" spans="16:17" x14ac:dyDescent="0.25">
      <c r="P573" s="528"/>
      <c r="Q573" s="528"/>
    </row>
    <row r="574" spans="16:17" x14ac:dyDescent="0.25">
      <c r="P574" s="528"/>
      <c r="Q574" s="528"/>
    </row>
    <row r="575" spans="16:17" x14ac:dyDescent="0.25">
      <c r="P575" s="528"/>
      <c r="Q575" s="528"/>
    </row>
    <row r="576" spans="16:17" x14ac:dyDescent="0.25">
      <c r="P576" s="528"/>
      <c r="Q576" s="528"/>
    </row>
    <row r="577" spans="16:17" x14ac:dyDescent="0.25">
      <c r="P577" s="528"/>
      <c r="Q577" s="528"/>
    </row>
    <row r="578" spans="16:17" x14ac:dyDescent="0.25">
      <c r="P578" s="528"/>
      <c r="Q578" s="528"/>
    </row>
    <row r="579" spans="16:17" x14ac:dyDescent="0.25">
      <c r="P579" s="528"/>
      <c r="Q579" s="528"/>
    </row>
    <row r="580" spans="16:17" x14ac:dyDescent="0.25">
      <c r="P580" s="528"/>
      <c r="Q580" s="528"/>
    </row>
    <row r="581" spans="16:17" x14ac:dyDescent="0.25">
      <c r="P581" s="528"/>
      <c r="Q581" s="528"/>
    </row>
    <row r="582" spans="16:17" x14ac:dyDescent="0.25">
      <c r="P582" s="528"/>
      <c r="Q582" s="528"/>
    </row>
    <row r="583" spans="16:17" x14ac:dyDescent="0.25">
      <c r="P583" s="528"/>
      <c r="Q583" s="528"/>
    </row>
    <row r="584" spans="16:17" x14ac:dyDescent="0.25">
      <c r="P584" s="528"/>
      <c r="Q584" s="528"/>
    </row>
    <row r="585" spans="16:17" x14ac:dyDescent="0.25">
      <c r="P585" s="528"/>
      <c r="Q585" s="528"/>
    </row>
    <row r="586" spans="16:17" x14ac:dyDescent="0.25">
      <c r="P586" s="528"/>
      <c r="Q586" s="528"/>
    </row>
    <row r="587" spans="16:17" x14ac:dyDescent="0.25">
      <c r="P587" s="528"/>
      <c r="Q587" s="528"/>
    </row>
    <row r="588" spans="16:17" x14ac:dyDescent="0.25">
      <c r="P588" s="528"/>
      <c r="Q588" s="528"/>
    </row>
    <row r="589" spans="16:17" x14ac:dyDescent="0.25">
      <c r="P589" s="528"/>
      <c r="Q589" s="528"/>
    </row>
    <row r="590" spans="16:17" x14ac:dyDescent="0.25">
      <c r="P590" s="528"/>
      <c r="Q590" s="528"/>
    </row>
    <row r="591" spans="16:17" x14ac:dyDescent="0.25">
      <c r="P591" s="528"/>
      <c r="Q591" s="528"/>
    </row>
    <row r="592" spans="16:17" x14ac:dyDescent="0.25">
      <c r="P592" s="528"/>
      <c r="Q592" s="528"/>
    </row>
    <row r="692" spans="2:2" x14ac:dyDescent="0.25">
      <c r="B692"/>
    </row>
    <row r="693" spans="2:2" x14ac:dyDescent="0.25">
      <c r="B693"/>
    </row>
    <row r="694" spans="2:2" x14ac:dyDescent="0.25">
      <c r="B694"/>
    </row>
    <row r="695" spans="2:2" x14ac:dyDescent="0.25">
      <c r="B695"/>
    </row>
  </sheetData>
  <pageMargins left="0.7" right="0.7" top="0.75" bottom="0.75" header="0.3" footer="0.3"/>
  <pageSetup orientation="portrait" verticalDpi="0"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AY307"/>
  <sheetViews>
    <sheetView zoomScale="90" zoomScaleNormal="90" workbookViewId="0">
      <pane xSplit="7" ySplit="9" topLeftCell="H10" activePane="bottomRight" state="frozen"/>
      <selection activeCell="H72" sqref="H72"/>
      <selection pane="topRight" activeCell="H72" sqref="H72"/>
      <selection pane="bottomLeft" activeCell="H72" sqref="H72"/>
      <selection pane="bottomRight" activeCell="O9" sqref="O9"/>
    </sheetView>
  </sheetViews>
  <sheetFormatPr baseColWidth="10" defaultColWidth="11.42578125" defaultRowHeight="12.75" customHeight="1" outlineLevelRow="3" x14ac:dyDescent="0.2"/>
  <cols>
    <col min="1" max="1" width="2.85546875" style="84" customWidth="1"/>
    <col min="2" max="2" width="6.28515625" style="152" customWidth="1"/>
    <col min="3" max="3" width="4.85546875" style="153" hidden="1" customWidth="1"/>
    <col min="4" max="4" width="6.7109375" style="154" hidden="1" customWidth="1"/>
    <col min="5" max="5" width="5.7109375" style="155" hidden="1" customWidth="1"/>
    <col min="6" max="6" width="20.42578125" style="155" hidden="1" customWidth="1"/>
    <col min="7" max="7" width="54.42578125" style="787" customWidth="1"/>
    <col min="8" max="8" width="19.7109375" style="84" customWidth="1"/>
    <col min="9" max="11" width="19.7109375" style="83" customWidth="1"/>
    <col min="12" max="12" width="19.7109375" style="217" customWidth="1"/>
    <col min="13" max="13" width="19.7109375" style="215" customWidth="1"/>
    <col min="14" max="14" width="19.7109375" style="217" customWidth="1"/>
    <col min="15" max="17" width="19.7109375" style="83" customWidth="1"/>
    <col min="18" max="18" width="19.7109375" style="156" customWidth="1"/>
    <col min="19" max="19" width="19.7109375" style="157" hidden="1" customWidth="1"/>
    <col min="20" max="21" width="26" style="214" customWidth="1"/>
    <col min="22" max="23" width="14.42578125" style="214" customWidth="1"/>
    <col min="24" max="24" width="5.7109375" style="84" customWidth="1"/>
    <col min="25" max="25" width="3.85546875" style="84" customWidth="1"/>
    <col min="26" max="26" width="5.42578125" style="84" customWidth="1"/>
    <col min="27" max="50" width="11.42578125" style="84" customWidth="1"/>
    <col min="51" max="16384" width="11.42578125" style="84"/>
  </cols>
  <sheetData>
    <row r="1" spans="2:27" ht="12.75" customHeight="1" thickBot="1" x14ac:dyDescent="0.25">
      <c r="L1" s="1248"/>
    </row>
    <row r="2" spans="2:27" s="212" customFormat="1" ht="21" customHeight="1" thickBot="1" x14ac:dyDescent="0.35">
      <c r="B2" s="1655" t="s">
        <v>1036</v>
      </c>
      <c r="C2" s="1656"/>
      <c r="D2" s="1656"/>
      <c r="E2" s="1656"/>
      <c r="F2" s="1656"/>
      <c r="G2" s="1656"/>
      <c r="H2" s="1656"/>
      <c r="I2" s="1656"/>
      <c r="J2" s="1656"/>
      <c r="K2" s="1656"/>
      <c r="L2" s="1656"/>
      <c r="M2" s="1656"/>
      <c r="N2" s="1656"/>
      <c r="O2" s="1656"/>
      <c r="P2" s="1656"/>
      <c r="Q2" s="1656"/>
      <c r="R2" s="1657"/>
      <c r="S2" s="263"/>
      <c r="T2" s="672"/>
      <c r="U2" s="672"/>
      <c r="V2" s="672"/>
      <c r="W2" s="672"/>
    </row>
    <row r="3" spans="2:27" s="212" customFormat="1" ht="15" hidden="1" customHeight="1" thickBot="1" x14ac:dyDescent="0.35">
      <c r="B3" s="1664"/>
      <c r="C3" s="1665"/>
      <c r="D3" s="1665"/>
      <c r="E3" s="1665"/>
      <c r="F3" s="1665"/>
      <c r="G3" s="1665"/>
      <c r="H3" s="1665"/>
      <c r="I3" s="1665"/>
      <c r="J3" s="1665"/>
      <c r="K3" s="1665"/>
      <c r="L3" s="1665"/>
      <c r="M3" s="1665"/>
      <c r="N3" s="1665"/>
      <c r="O3" s="1665"/>
      <c r="P3" s="1665"/>
      <c r="Q3" s="1665"/>
      <c r="R3" s="1666"/>
      <c r="S3" s="263"/>
      <c r="T3" s="672"/>
      <c r="U3" s="672"/>
      <c r="V3" s="672"/>
      <c r="W3" s="672"/>
    </row>
    <row r="4" spans="2:27" s="212" customFormat="1" ht="21" customHeight="1" thickBot="1" x14ac:dyDescent="0.35">
      <c r="B4" s="1655" t="s">
        <v>653</v>
      </c>
      <c r="C4" s="1656"/>
      <c r="D4" s="1656"/>
      <c r="E4" s="1656"/>
      <c r="F4" s="1656"/>
      <c r="G4" s="1656"/>
      <c r="H4" s="1656"/>
      <c r="I4" s="1656"/>
      <c r="J4" s="1656"/>
      <c r="K4" s="1656"/>
      <c r="L4" s="1656"/>
      <c r="M4" s="1656"/>
      <c r="N4" s="1656"/>
      <c r="O4" s="1656"/>
      <c r="P4" s="1656"/>
      <c r="Q4" s="1656"/>
      <c r="R4" s="1657"/>
      <c r="S4" s="263"/>
      <c r="T4" s="672"/>
      <c r="U4" s="672"/>
      <c r="V4" s="672"/>
      <c r="W4" s="672"/>
    </row>
    <row r="5" spans="2:27" ht="21.75" customHeight="1" thickBot="1" x14ac:dyDescent="0.25">
      <c r="B5" s="1667" t="s">
        <v>283</v>
      </c>
      <c r="C5" s="1668"/>
      <c r="D5" s="1668"/>
      <c r="E5" s="1668"/>
      <c r="F5" s="1668"/>
      <c r="G5" s="1668"/>
      <c r="H5" s="1685" t="s">
        <v>942</v>
      </c>
      <c r="I5" s="1686"/>
      <c r="J5" s="1686"/>
      <c r="K5" s="1686"/>
      <c r="L5" s="1686"/>
      <c r="M5" s="1686"/>
      <c r="N5" s="1686"/>
      <c r="O5" s="1687"/>
      <c r="P5" s="1661" t="s">
        <v>707</v>
      </c>
      <c r="Q5" s="1662"/>
      <c r="R5" s="1663"/>
    </row>
    <row r="6" spans="2:27" ht="16.5" customHeight="1" thickBot="1" x14ac:dyDescent="0.25">
      <c r="B6" s="1669"/>
      <c r="C6" s="1670"/>
      <c r="D6" s="1670"/>
      <c r="E6" s="1670"/>
      <c r="F6" s="1670"/>
      <c r="G6" s="1670"/>
      <c r="H6" s="607" t="s">
        <v>130</v>
      </c>
      <c r="I6" s="542" t="s">
        <v>131</v>
      </c>
      <c r="J6" s="1338" t="s">
        <v>132</v>
      </c>
      <c r="K6" s="542" t="s">
        <v>133</v>
      </c>
      <c r="L6" s="543" t="s">
        <v>789</v>
      </c>
      <c r="M6" s="544" t="s">
        <v>791</v>
      </c>
      <c r="N6" s="543" t="s">
        <v>790</v>
      </c>
      <c r="O6" s="1144" t="s">
        <v>792</v>
      </c>
      <c r="P6" s="545" t="s">
        <v>130</v>
      </c>
      <c r="Q6" s="545" t="s">
        <v>131</v>
      </c>
      <c r="R6" s="545" t="s">
        <v>134</v>
      </c>
    </row>
    <row r="7" spans="2:27" ht="76.5" customHeight="1" thickBot="1" x14ac:dyDescent="0.25">
      <c r="B7" s="1043"/>
      <c r="C7" s="1044"/>
      <c r="D7" s="1044"/>
      <c r="E7" s="1044"/>
      <c r="F7" s="1044"/>
      <c r="G7" s="1044"/>
      <c r="H7" s="555" t="s">
        <v>944</v>
      </c>
      <c r="I7" s="546" t="s">
        <v>943</v>
      </c>
      <c r="J7" s="546" t="s">
        <v>1019</v>
      </c>
      <c r="K7" s="546" t="s">
        <v>1020</v>
      </c>
      <c r="L7" s="546" t="s">
        <v>814</v>
      </c>
      <c r="M7" s="546" t="s">
        <v>813</v>
      </c>
      <c r="N7" s="546" t="s">
        <v>811</v>
      </c>
      <c r="O7" s="547" t="s">
        <v>812</v>
      </c>
      <c r="P7" s="548" t="s">
        <v>1030</v>
      </c>
      <c r="Q7" s="549" t="s">
        <v>1026</v>
      </c>
      <c r="R7" s="550" t="s">
        <v>1018</v>
      </c>
    </row>
    <row r="8" spans="2:27" ht="69" hidden="1" customHeight="1" thickBot="1" x14ac:dyDescent="0.25">
      <c r="B8" s="202" t="s">
        <v>855</v>
      </c>
      <c r="C8" s="203" t="s">
        <v>92</v>
      </c>
      <c r="D8" s="204" t="s">
        <v>93</v>
      </c>
      <c r="E8" s="204" t="s">
        <v>94</v>
      </c>
      <c r="F8" s="204" t="s">
        <v>291</v>
      </c>
      <c r="G8" s="533" t="s">
        <v>856</v>
      </c>
      <c r="H8" s="555" t="s">
        <v>774</v>
      </c>
      <c r="I8" s="546" t="s">
        <v>775</v>
      </c>
      <c r="J8" s="546" t="s">
        <v>888</v>
      </c>
      <c r="K8" s="546" t="s">
        <v>893</v>
      </c>
      <c r="L8" s="1249" t="s">
        <v>814</v>
      </c>
      <c r="M8" s="546" t="s">
        <v>813</v>
      </c>
      <c r="N8" s="546" t="s">
        <v>811</v>
      </c>
      <c r="O8" s="547" t="s">
        <v>812</v>
      </c>
      <c r="P8" s="548" t="s">
        <v>887</v>
      </c>
      <c r="Q8" s="549" t="s">
        <v>889</v>
      </c>
      <c r="R8" s="550" t="s">
        <v>891</v>
      </c>
      <c r="T8" s="674"/>
      <c r="U8" s="674"/>
      <c r="V8" s="674"/>
      <c r="W8" s="674"/>
    </row>
    <row r="9" spans="2:27" ht="17.25" customHeight="1" x14ac:dyDescent="0.2">
      <c r="B9" s="271" t="s">
        <v>91</v>
      </c>
      <c r="C9" s="272" t="s">
        <v>92</v>
      </c>
      <c r="D9" s="273" t="s">
        <v>93</v>
      </c>
      <c r="E9" s="273" t="s">
        <v>94</v>
      </c>
      <c r="F9" s="273" t="s">
        <v>291</v>
      </c>
      <c r="G9" s="1143" t="s">
        <v>147</v>
      </c>
      <c r="H9" s="1145">
        <f>+H10+H78+H142+H145+H195+H199+H204+H205+H210+H274+H279</f>
        <v>431131509.99800003</v>
      </c>
      <c r="I9" s="274">
        <f>+I10+I78+I142+I145+I195+I199+I204+I205+I210+I274+I279</f>
        <v>422421626.99900001</v>
      </c>
      <c r="J9" s="274">
        <f ca="1">+J10+J78+J142+J145+J195+J199+J204+J205+J210+J274+J279</f>
        <v>124837726.23700002</v>
      </c>
      <c r="K9" s="355">
        <f t="shared" ref="K9:K75" ca="1" si="0">IFERROR(J9/I9,"0.00%")</f>
        <v>0.29552872830844795</v>
      </c>
      <c r="L9" s="1250">
        <f ca="1">+L10+L78+L142+L145+L195+L199+L204+L205+L210+L274+L279</f>
        <v>133339183.039</v>
      </c>
      <c r="M9" s="355">
        <f ca="1">IFERROR(L9/I9,"0.00%")</f>
        <v>0.31565425280490117</v>
      </c>
      <c r="N9" s="356">
        <f>+N10+N78+N142+N145+N195+N199+N204+N205+N210+N274+N279</f>
        <v>289082443.96099997</v>
      </c>
      <c r="O9" s="275">
        <f>+N9/I9</f>
        <v>0.6843457471974661</v>
      </c>
      <c r="P9" s="359">
        <f>+P10+P78+P145+P195+P204+P199+P205+P210+P274+P142+P279+P197</f>
        <v>340939015.29799998</v>
      </c>
      <c r="Q9" s="274">
        <f ca="1">+Q10+Q78+Q145+Q195+Q199+Q204+Q210+Q205+Q274+Q279+Q142+Q197</f>
        <v>118996711.52791603</v>
      </c>
      <c r="R9" s="275">
        <f t="shared" ref="R9:R75" ca="1" si="1">IFERROR(Q9/P9,"0.00%")</f>
        <v>0.34902638357157856</v>
      </c>
      <c r="S9" s="276"/>
      <c r="T9" s="1179"/>
    </row>
    <row r="10" spans="2:27" ht="15.75" customHeight="1" x14ac:dyDescent="0.25">
      <c r="B10" s="168" t="s">
        <v>155</v>
      </c>
      <c r="C10" s="108"/>
      <c r="D10" s="109"/>
      <c r="E10" s="110"/>
      <c r="F10" s="110"/>
      <c r="G10" s="1133" t="s">
        <v>16</v>
      </c>
      <c r="H10" s="166">
        <f>+H11+H41+H72</f>
        <v>17419021</v>
      </c>
      <c r="I10" s="111">
        <f>+I11+I41+I72</f>
        <v>17419021</v>
      </c>
      <c r="J10" s="111">
        <f ca="1">+J11+J41+J72</f>
        <v>5721879.3930000011</v>
      </c>
      <c r="K10" s="260">
        <f t="shared" ca="1" si="0"/>
        <v>0.3284845567957006</v>
      </c>
      <c r="L10" s="1251">
        <f>+L11+L41+L72</f>
        <v>5721879.3930000011</v>
      </c>
      <c r="M10" s="260">
        <f t="shared" ref="M10:M76" si="2">+IFERROR(L10/I10,0)</f>
        <v>0.3284845567957006</v>
      </c>
      <c r="N10" s="261">
        <f>+N11+N41+N72</f>
        <v>11697141.607000001</v>
      </c>
      <c r="O10" s="165">
        <f t="shared" ref="O10:O76" si="3">+IFERROR(N10/I10,0)</f>
        <v>0.67151544320429957</v>
      </c>
      <c r="P10" s="166">
        <f>+P11+P41+P72</f>
        <v>16432199.475</v>
      </c>
      <c r="Q10" s="111">
        <f ca="1">+Q11+Q41+Q72</f>
        <v>5230079.2324580001</v>
      </c>
      <c r="R10" s="165">
        <f t="shared" ca="1" si="1"/>
        <v>0.31828236021690581</v>
      </c>
      <c r="T10" s="568"/>
      <c r="U10" s="568"/>
      <c r="V10" s="675"/>
      <c r="W10" s="675"/>
      <c r="X10" s="668"/>
      <c r="Y10" s="668"/>
      <c r="Z10" s="668"/>
      <c r="AA10" s="673"/>
    </row>
    <row r="11" spans="2:27" ht="15" hidden="1" customHeight="1" outlineLevel="1" x14ac:dyDescent="0.25">
      <c r="B11" s="168"/>
      <c r="C11" s="108" t="s">
        <v>157</v>
      </c>
      <c r="D11" s="109"/>
      <c r="E11" s="110"/>
      <c r="F11" s="110"/>
      <c r="G11" s="1133" t="s">
        <v>17</v>
      </c>
      <c r="H11" s="166">
        <f>+H12+H25+H28+H32+H37</f>
        <v>1085491.78</v>
      </c>
      <c r="I11" s="111">
        <f>+I12+I25+I28+I32+I37</f>
        <v>1106741.433</v>
      </c>
      <c r="J11" s="111">
        <f ca="1">+J12+J25+J28+J32+J37</f>
        <v>267973.576</v>
      </c>
      <c r="K11" s="260">
        <f t="shared" ca="1" si="0"/>
        <v>0.24212843940758114</v>
      </c>
      <c r="L11" s="1251">
        <f>+L12+L25+L28+L32+L37</f>
        <v>267973.576</v>
      </c>
      <c r="M11" s="260">
        <f t="shared" si="2"/>
        <v>0.24212843940758114</v>
      </c>
      <c r="N11" s="261">
        <f>+N12+N25+N28+N32+N37</f>
        <v>838767.85699999996</v>
      </c>
      <c r="O11" s="165">
        <f t="shared" si="3"/>
        <v>0.75787156059241889</v>
      </c>
      <c r="P11" s="166">
        <f>+P12+P25+P28+P32+P37</f>
        <v>969101.4693029999</v>
      </c>
      <c r="Q11" s="111">
        <f ca="1">+Q12+Q25+Q28+Q32+Q37</f>
        <v>279397.95585899998</v>
      </c>
      <c r="R11" s="165">
        <f t="shared" ca="1" si="1"/>
        <v>0.28830619363310783</v>
      </c>
      <c r="T11" s="568"/>
      <c r="U11" s="568"/>
      <c r="X11" s="668"/>
      <c r="Y11" s="668"/>
      <c r="Z11" s="668"/>
      <c r="AA11" s="673"/>
    </row>
    <row r="12" spans="2:27" ht="15" hidden="1" customHeight="1" outlineLevel="2" x14ac:dyDescent="0.25">
      <c r="B12" s="168"/>
      <c r="C12" s="108"/>
      <c r="D12" s="109" t="s">
        <v>156</v>
      </c>
      <c r="E12" s="110"/>
      <c r="F12" s="110"/>
      <c r="G12" s="1133" t="s">
        <v>18</v>
      </c>
      <c r="H12" s="166">
        <f>SUM(H13:H24)</f>
        <v>769096.17999999993</v>
      </c>
      <c r="I12" s="111">
        <f t="shared" ref="I12:N12" si="4">SUM(I13:I24)</f>
        <v>792328.17999999993</v>
      </c>
      <c r="J12" s="111">
        <f t="shared" ca="1" si="4"/>
        <v>203169.42300000004</v>
      </c>
      <c r="K12" s="260">
        <f t="shared" ca="1" si="0"/>
        <v>0.25642079649369542</v>
      </c>
      <c r="L12" s="111">
        <f t="shared" si="4"/>
        <v>203169.42300000001</v>
      </c>
      <c r="M12" s="260">
        <f t="shared" si="2"/>
        <v>0.25642079649369537</v>
      </c>
      <c r="N12" s="111">
        <f t="shared" si="4"/>
        <v>589158.75699999998</v>
      </c>
      <c r="O12" s="165">
        <f t="shared" si="3"/>
        <v>0.74357920350630469</v>
      </c>
      <c r="P12" s="166">
        <f>SUM(P13:P24)</f>
        <v>707179.65226599993</v>
      </c>
      <c r="Q12" s="111">
        <f>SUM(Q13:Q24)</f>
        <v>210753.369156</v>
      </c>
      <c r="R12" s="165">
        <f t="shared" si="1"/>
        <v>0.29801956049030498</v>
      </c>
      <c r="T12" s="568"/>
      <c r="U12" s="568"/>
      <c r="X12" s="668"/>
      <c r="Y12" s="668"/>
      <c r="Z12" s="668"/>
      <c r="AA12" s="673"/>
    </row>
    <row r="13" spans="2:27" ht="15" hidden="1" customHeight="1" outlineLevel="3" x14ac:dyDescent="0.25">
      <c r="B13" s="168"/>
      <c r="C13" s="108"/>
      <c r="D13" s="109"/>
      <c r="E13" s="110">
        <v>1</v>
      </c>
      <c r="F13" s="112" t="str">
        <f>+CONCATENATE($B$10,"",$C$11,"",$D$12,"00",E13)</f>
        <v>21.01.001.001</v>
      </c>
      <c r="G13" s="1134" t="s">
        <v>124</v>
      </c>
      <c r="H13" s="166">
        <f t="shared" ref="H13:H22" si="5">+VLOOKUP(F13,matriz01,3,FALSE)</f>
        <v>144602.905</v>
      </c>
      <c r="I13" s="111">
        <f t="shared" ref="I13:I22" si="6">+VLOOKUP(F13,matriz01,4,FALSE)</f>
        <v>144602.905</v>
      </c>
      <c r="J13" s="111">
        <f t="shared" ref="J13:J24" si="7">+VLOOKUP(F13,matriz01,5,FALSE)</f>
        <v>36639.951999999997</v>
      </c>
      <c r="K13" s="260">
        <f t="shared" si="0"/>
        <v>0.25338323597302559</v>
      </c>
      <c r="L13" s="1251">
        <f t="shared" ref="L13:L22" si="8">INDEX(coincidenciaP01,MATCH(F13,indicep01,0),7)</f>
        <v>36639.951999999997</v>
      </c>
      <c r="M13" s="260">
        <f t="shared" si="2"/>
        <v>0.25338323597302559</v>
      </c>
      <c r="N13" s="261">
        <f>INDEX(coincidenciaP01,MATCH(F13,indicep01,0),9)</f>
        <v>107962.95299999999</v>
      </c>
      <c r="O13" s="165">
        <f t="shared" si="3"/>
        <v>0.74661676402697441</v>
      </c>
      <c r="P13" s="166">
        <f>+'Prog 01'!P13</f>
        <v>132840.44187000001</v>
      </c>
      <c r="Q13" s="111">
        <f>+'Prog 01'!Q13</f>
        <v>40897.562233999997</v>
      </c>
      <c r="R13" s="165">
        <f t="shared" si="1"/>
        <v>0.30786981478142833</v>
      </c>
      <c r="T13" s="568"/>
      <c r="U13" s="568"/>
      <c r="X13" s="668"/>
      <c r="Y13" s="668"/>
      <c r="Z13" s="668"/>
      <c r="AA13" s="673"/>
    </row>
    <row r="14" spans="2:27" ht="15" hidden="1" customHeight="1" outlineLevel="3" x14ac:dyDescent="0.25">
      <c r="B14" s="168"/>
      <c r="C14" s="108"/>
      <c r="D14" s="109"/>
      <c r="E14" s="110">
        <v>2</v>
      </c>
      <c r="F14" s="112" t="str">
        <f>+CONCATENATE($B$10,"",$C$11,"",$D$12,"00",E14)</f>
        <v>21.01.001.002</v>
      </c>
      <c r="G14" s="1134" t="s">
        <v>19</v>
      </c>
      <c r="H14" s="166">
        <f t="shared" si="5"/>
        <v>18480.027999999998</v>
      </c>
      <c r="I14" s="111">
        <f t="shared" si="6"/>
        <v>18480.027999999998</v>
      </c>
      <c r="J14" s="111">
        <f t="shared" ca="1" si="7"/>
        <v>5057.1760000000004</v>
      </c>
      <c r="K14" s="260">
        <f t="shared" ca="1" si="0"/>
        <v>0.27365629532595953</v>
      </c>
      <c r="L14" s="1251">
        <f t="shared" si="8"/>
        <v>5057.1760000000004</v>
      </c>
      <c r="M14" s="260">
        <f t="shared" si="2"/>
        <v>0.27365629532595953</v>
      </c>
      <c r="N14" s="261">
        <f>INDEX(coincidenciaP01,MATCH(F14,indicep01,0),9)</f>
        <v>13422.852000000001</v>
      </c>
      <c r="O14" s="165">
        <f t="shared" si="3"/>
        <v>0.72634370467404064</v>
      </c>
      <c r="P14" s="166">
        <f>+'Prog 01'!P14</f>
        <v>17054.645503</v>
      </c>
      <c r="Q14" s="111">
        <f>+'Prog 01'!Q14</f>
        <v>5450.331592999999</v>
      </c>
      <c r="R14" s="165">
        <f t="shared" si="1"/>
        <v>0.31958046809247709</v>
      </c>
      <c r="T14" s="568"/>
      <c r="U14" s="568"/>
      <c r="X14" s="668"/>
      <c r="Y14" s="668"/>
      <c r="Z14" s="668"/>
      <c r="AA14" s="673"/>
    </row>
    <row r="15" spans="2:27" ht="15" hidden="1" customHeight="1" outlineLevel="3" x14ac:dyDescent="0.25">
      <c r="B15" s="168"/>
      <c r="C15" s="108"/>
      <c r="D15" s="109"/>
      <c r="E15" s="110">
        <v>3</v>
      </c>
      <c r="F15" s="112" t="str">
        <f>+CONCATENATE($B$10,"",$C$11,"",$D$12,"00",E15)</f>
        <v>21.01.001.003</v>
      </c>
      <c r="G15" s="1134" t="s">
        <v>20</v>
      </c>
      <c r="H15" s="166">
        <f t="shared" si="5"/>
        <v>100269.412</v>
      </c>
      <c r="I15" s="111">
        <f t="shared" si="6"/>
        <v>100269.412</v>
      </c>
      <c r="J15" s="111">
        <f t="shared" ca="1" si="7"/>
        <v>27821.955999999998</v>
      </c>
      <c r="K15" s="260">
        <f t="shared" ca="1" si="0"/>
        <v>0.27747201708931929</v>
      </c>
      <c r="L15" s="1251">
        <f t="shared" si="8"/>
        <v>27821.955999999998</v>
      </c>
      <c r="M15" s="260">
        <f t="shared" si="2"/>
        <v>0.27747201708931929</v>
      </c>
      <c r="N15" s="261">
        <f t="shared" ref="N15:N22" si="9">INDEX(coincidenciaP01,MATCH(F15,indicep01,0),9)</f>
        <v>72447.456000000006</v>
      </c>
      <c r="O15" s="165">
        <f t="shared" si="3"/>
        <v>0.72252798291068077</v>
      </c>
      <c r="P15" s="166">
        <f>+'Prog 01'!P15</f>
        <v>92535.537214999989</v>
      </c>
      <c r="Q15" s="111">
        <f>+'Prog 01'!Q15</f>
        <v>28487.222195999999</v>
      </c>
      <c r="R15" s="165">
        <f t="shared" si="1"/>
        <v>0.30785169734101059</v>
      </c>
      <c r="T15" s="568"/>
      <c r="U15" s="568"/>
      <c r="X15" s="668"/>
      <c r="Y15" s="668"/>
      <c r="Z15" s="668"/>
      <c r="AA15" s="673"/>
    </row>
    <row r="16" spans="2:27" ht="15" hidden="1" customHeight="1" outlineLevel="3" x14ac:dyDescent="0.25">
      <c r="B16" s="168"/>
      <c r="C16" s="108"/>
      <c r="D16" s="109"/>
      <c r="E16" s="110">
        <v>7</v>
      </c>
      <c r="F16" s="112" t="str">
        <f>+CONCATENATE($B$10,"",$C$11,"",$D$12,"00",E16)</f>
        <v>21.01.001.007</v>
      </c>
      <c r="G16" s="1134" t="s">
        <v>129</v>
      </c>
      <c r="H16" s="166">
        <f t="shared" si="5"/>
        <v>9704.8359999999993</v>
      </c>
      <c r="I16" s="111">
        <f t="shared" si="6"/>
        <v>9704.8359999999993</v>
      </c>
      <c r="J16" s="111">
        <f t="shared" ca="1" si="7"/>
        <v>3113.6439999999998</v>
      </c>
      <c r="K16" s="260">
        <f t="shared" ca="1" si="0"/>
        <v>0.32083427272753501</v>
      </c>
      <c r="L16" s="1251">
        <f t="shared" si="8"/>
        <v>3113.6439999999998</v>
      </c>
      <c r="M16" s="260">
        <f t="shared" si="2"/>
        <v>0.32083427272753501</v>
      </c>
      <c r="N16" s="261">
        <f t="shared" si="9"/>
        <v>6591.192</v>
      </c>
      <c r="O16" s="165">
        <f t="shared" si="3"/>
        <v>0.67916572727246505</v>
      </c>
      <c r="P16" s="166">
        <f>+'Prog 01'!P16</f>
        <v>8919.0876809999991</v>
      </c>
      <c r="Q16" s="111">
        <f>+'Prog 01'!Q16</f>
        <v>2955.1825199999998</v>
      </c>
      <c r="R16" s="165">
        <f t="shared" si="1"/>
        <v>0.33133237677383925</v>
      </c>
      <c r="T16" s="568"/>
      <c r="U16" s="568"/>
      <c r="X16" s="668"/>
      <c r="Y16" s="668"/>
      <c r="Z16" s="668"/>
      <c r="AA16" s="673"/>
    </row>
    <row r="17" spans="2:27" ht="15" hidden="1" customHeight="1" outlineLevel="3" x14ac:dyDescent="0.25">
      <c r="B17" s="168"/>
      <c r="C17" s="108"/>
      <c r="D17" s="109"/>
      <c r="E17" s="110">
        <v>12</v>
      </c>
      <c r="F17" s="112" t="str">
        <f t="shared" ref="F17:F24" si="10">+CONCATENATE($B$10,"",$C$11,"",$D$12,"0",E17)</f>
        <v>21.01.001.012</v>
      </c>
      <c r="G17" s="1134" t="s">
        <v>22</v>
      </c>
      <c r="H17" s="166">
        <f t="shared" si="5"/>
        <v>3624.1959999999999</v>
      </c>
      <c r="I17" s="111">
        <f t="shared" si="6"/>
        <v>3624.1959999999999</v>
      </c>
      <c r="J17" s="111">
        <f t="shared" ca="1" si="7"/>
        <v>709.86400000000003</v>
      </c>
      <c r="K17" s="260">
        <f t="shared" ca="1" si="0"/>
        <v>0.19586799389436996</v>
      </c>
      <c r="L17" s="1251">
        <f t="shared" si="8"/>
        <v>709.86400000000003</v>
      </c>
      <c r="M17" s="260">
        <f t="shared" si="2"/>
        <v>0.19586799389436996</v>
      </c>
      <c r="N17" s="261">
        <f t="shared" si="9"/>
        <v>2914.3319999999999</v>
      </c>
      <c r="O17" s="165">
        <f t="shared" si="3"/>
        <v>0.80413200610563007</v>
      </c>
      <c r="P17" s="166">
        <f>+'Prog 01'!P17</f>
        <v>3344.6582789999998</v>
      </c>
      <c r="Q17" s="111">
        <f>+'Prog 01'!Q17</f>
        <v>754.58543199999997</v>
      </c>
      <c r="R17" s="165">
        <f t="shared" si="1"/>
        <v>0.2256091262709233</v>
      </c>
      <c r="T17" s="568"/>
      <c r="U17" s="568"/>
      <c r="X17" s="668"/>
      <c r="Y17" s="668"/>
      <c r="Z17" s="668"/>
      <c r="AA17" s="673"/>
    </row>
    <row r="18" spans="2:27" ht="15" hidden="1" customHeight="1" outlineLevel="3" x14ac:dyDescent="0.25">
      <c r="B18" s="168"/>
      <c r="C18" s="108"/>
      <c r="D18" s="109"/>
      <c r="E18" s="110">
        <v>13</v>
      </c>
      <c r="F18" s="112" t="str">
        <f t="shared" si="10"/>
        <v>21.01.001.013</v>
      </c>
      <c r="G18" s="1134" t="s">
        <v>23</v>
      </c>
      <c r="H18" s="166">
        <f t="shared" si="5"/>
        <v>63244.34</v>
      </c>
      <c r="I18" s="111">
        <f t="shared" si="6"/>
        <v>63244.34</v>
      </c>
      <c r="J18" s="111">
        <f t="shared" ca="1" si="7"/>
        <v>16345.684000000001</v>
      </c>
      <c r="K18" s="260">
        <f t="shared" ca="1" si="0"/>
        <v>0.25845291452167896</v>
      </c>
      <c r="L18" s="1251">
        <f t="shared" si="8"/>
        <v>16345.683999999999</v>
      </c>
      <c r="M18" s="260">
        <f t="shared" si="2"/>
        <v>0.25845291452167896</v>
      </c>
      <c r="N18" s="261">
        <f>INDEX(coincidenciaP01,MATCH(F18,indicep01,0),9)</f>
        <v>46898.656000000003</v>
      </c>
      <c r="O18" s="165">
        <f t="shared" si="3"/>
        <v>0.74154708547832116</v>
      </c>
      <c r="P18" s="166">
        <f>+'Prog 01'!P18</f>
        <v>58366.244111</v>
      </c>
      <c r="Q18" s="111">
        <f>+'Prog 01'!Q18</f>
        <v>17181.504986</v>
      </c>
      <c r="R18" s="165">
        <f t="shared" si="1"/>
        <v>0.29437400414740555</v>
      </c>
      <c r="T18" s="568"/>
      <c r="U18" s="568"/>
      <c r="X18" s="668"/>
      <c r="Y18" s="668"/>
      <c r="Z18" s="668"/>
      <c r="AA18" s="673"/>
    </row>
    <row r="19" spans="2:27" ht="15" hidden="1" customHeight="1" outlineLevel="3" x14ac:dyDescent="0.25">
      <c r="B19" s="168"/>
      <c r="C19" s="108"/>
      <c r="D19" s="109"/>
      <c r="E19" s="110">
        <v>14</v>
      </c>
      <c r="F19" s="112" t="str">
        <f t="shared" si="10"/>
        <v>21.01.001.014</v>
      </c>
      <c r="G19" s="1134" t="s">
        <v>24</v>
      </c>
      <c r="H19" s="166">
        <f t="shared" si="5"/>
        <v>94261.555999999997</v>
      </c>
      <c r="I19" s="111">
        <f t="shared" si="6"/>
        <v>94261.555999999997</v>
      </c>
      <c r="J19" s="111">
        <f t="shared" ca="1" si="7"/>
        <v>24905.285000000003</v>
      </c>
      <c r="K19" s="260">
        <f t="shared" ca="1" si="0"/>
        <v>0.26421466032239066</v>
      </c>
      <c r="L19" s="1251">
        <f t="shared" si="8"/>
        <v>24905.285</v>
      </c>
      <c r="M19" s="260">
        <f t="shared" si="2"/>
        <v>0.2642146603223906</v>
      </c>
      <c r="N19" s="261">
        <f t="shared" si="9"/>
        <v>69356.270999999993</v>
      </c>
      <c r="O19" s="165">
        <f t="shared" si="3"/>
        <v>0.7357853396776094</v>
      </c>
      <c r="P19" s="166">
        <f>+'Prog 01'!P19</f>
        <v>86991.072719999996</v>
      </c>
      <c r="Q19" s="111">
        <f>+'Prog 01'!Q19</f>
        <v>27226.659393999998</v>
      </c>
      <c r="R19" s="165">
        <f t="shared" si="1"/>
        <v>0.31298222383847391</v>
      </c>
      <c r="T19" s="568"/>
      <c r="U19" s="568"/>
      <c r="X19" s="668"/>
      <c r="Y19" s="668"/>
      <c r="Z19" s="668"/>
      <c r="AA19" s="673"/>
    </row>
    <row r="20" spans="2:27" ht="15" hidden="1" customHeight="1" outlineLevel="3" x14ac:dyDescent="0.25">
      <c r="B20" s="168"/>
      <c r="C20" s="108"/>
      <c r="D20" s="109"/>
      <c r="E20" s="110">
        <v>15</v>
      </c>
      <c r="F20" s="112" t="str">
        <f t="shared" si="10"/>
        <v>21.01.001.015</v>
      </c>
      <c r="G20" s="1134" t="s">
        <v>25</v>
      </c>
      <c r="H20" s="166">
        <f t="shared" si="5"/>
        <v>234364.65100000001</v>
      </c>
      <c r="I20" s="111">
        <f t="shared" si="6"/>
        <v>234364.65100000001</v>
      </c>
      <c r="J20" s="111">
        <f t="shared" ca="1" si="7"/>
        <v>61773.724000000002</v>
      </c>
      <c r="K20" s="260">
        <f t="shared" ca="1" si="0"/>
        <v>0.26357952761400011</v>
      </c>
      <c r="L20" s="1251">
        <f t="shared" si="8"/>
        <v>61773.724000000002</v>
      </c>
      <c r="M20" s="260">
        <f t="shared" si="2"/>
        <v>0.26357952761400011</v>
      </c>
      <c r="N20" s="261">
        <f t="shared" si="9"/>
        <v>172590.927</v>
      </c>
      <c r="O20" s="165">
        <f t="shared" si="3"/>
        <v>0.73642047238599984</v>
      </c>
      <c r="P20" s="166">
        <f>+'Prog 01'!P20</f>
        <v>216287.88290799997</v>
      </c>
      <c r="Q20" s="111">
        <f>+'Prog 01'!Q20</f>
        <v>67035.047378999996</v>
      </c>
      <c r="R20" s="165">
        <f t="shared" si="1"/>
        <v>0.30993436376421496</v>
      </c>
      <c r="T20" s="568"/>
      <c r="U20" s="568"/>
      <c r="X20" s="668"/>
      <c r="Y20" s="668"/>
      <c r="Z20" s="668"/>
      <c r="AA20" s="673"/>
    </row>
    <row r="21" spans="2:27" ht="15" hidden="1" customHeight="1" outlineLevel="3" x14ac:dyDescent="0.25">
      <c r="B21" s="168"/>
      <c r="C21" s="108"/>
      <c r="D21" s="109"/>
      <c r="E21" s="110">
        <v>22</v>
      </c>
      <c r="F21" s="112" t="str">
        <f t="shared" si="10"/>
        <v>21.01.001.022</v>
      </c>
      <c r="G21" s="1134" t="s">
        <v>26</v>
      </c>
      <c r="H21" s="166">
        <f t="shared" si="5"/>
        <v>75479.017000000007</v>
      </c>
      <c r="I21" s="111">
        <f t="shared" si="6"/>
        <v>75479.017000000007</v>
      </c>
      <c r="J21" s="111">
        <f t="shared" ca="1" si="7"/>
        <v>14936.298000000001</v>
      </c>
      <c r="K21" s="260">
        <f t="shared" ca="1" si="0"/>
        <v>0.19788675838213418</v>
      </c>
      <c r="L21" s="1251">
        <f t="shared" si="8"/>
        <v>14936.298000000001</v>
      </c>
      <c r="M21" s="260">
        <f t="shared" si="2"/>
        <v>0.19788675838213418</v>
      </c>
      <c r="N21" s="261">
        <f t="shared" si="9"/>
        <v>60542.718999999997</v>
      </c>
      <c r="O21" s="165">
        <f t="shared" si="3"/>
        <v>0.80211324161786568</v>
      </c>
      <c r="P21" s="167">
        <f>+'Prog 01'!P21</f>
        <v>69657.24833799999</v>
      </c>
      <c r="Q21" s="111">
        <f>+'Prog 01'!Q21</f>
        <v>15922.908734000001</v>
      </c>
      <c r="R21" s="165">
        <f t="shared" si="1"/>
        <v>0.22858940187727175</v>
      </c>
      <c r="T21" s="568"/>
      <c r="U21" s="568"/>
      <c r="X21" s="668"/>
      <c r="Y21" s="668"/>
      <c r="Z21" s="668"/>
      <c r="AA21" s="673"/>
    </row>
    <row r="22" spans="2:27" ht="15" hidden="1" customHeight="1" outlineLevel="3" x14ac:dyDescent="0.25">
      <c r="B22" s="168"/>
      <c r="C22" s="108"/>
      <c r="D22" s="109"/>
      <c r="E22" s="110">
        <v>39</v>
      </c>
      <c r="F22" s="112" t="str">
        <f t="shared" si="10"/>
        <v>21.01.001.039</v>
      </c>
      <c r="G22" s="1134" t="s">
        <v>27</v>
      </c>
      <c r="H22" s="166">
        <f t="shared" si="5"/>
        <v>22953.239000000001</v>
      </c>
      <c r="I22" s="111">
        <f t="shared" si="6"/>
        <v>22953.239000000001</v>
      </c>
      <c r="J22" s="111">
        <f t="shared" ca="1" si="7"/>
        <v>3417.84</v>
      </c>
      <c r="K22" s="260">
        <f t="shared" ca="1" si="0"/>
        <v>0.14890447487607306</v>
      </c>
      <c r="L22" s="1251">
        <f t="shared" si="8"/>
        <v>3417.84</v>
      </c>
      <c r="M22" s="260">
        <f t="shared" si="2"/>
        <v>0.14890447487607306</v>
      </c>
      <c r="N22" s="261">
        <f t="shared" si="9"/>
        <v>19535.399000000001</v>
      </c>
      <c r="O22" s="165">
        <f t="shared" si="3"/>
        <v>0.85109552512392694</v>
      </c>
      <c r="P22" s="167">
        <f>+'Prog 01'!P22</f>
        <v>21182.833640999997</v>
      </c>
      <c r="Q22" s="111">
        <f>+'Prog 01'!Q22</f>
        <v>4842.3646879999997</v>
      </c>
      <c r="R22" s="165">
        <f t="shared" si="1"/>
        <v>0.2285985326640842</v>
      </c>
      <c r="T22" s="568"/>
      <c r="U22" s="568"/>
      <c r="X22" s="668"/>
      <c r="Y22" s="668"/>
      <c r="Z22" s="668"/>
      <c r="AA22" s="673"/>
    </row>
    <row r="23" spans="2:27" ht="15" hidden="1" customHeight="1" outlineLevel="3" x14ac:dyDescent="0.25">
      <c r="B23" s="168"/>
      <c r="C23" s="108"/>
      <c r="D23" s="109"/>
      <c r="E23" s="110">
        <v>998</v>
      </c>
      <c r="F23" s="112" t="str">
        <f t="shared" si="10"/>
        <v>21.01.001.0998</v>
      </c>
      <c r="G23" s="1134" t="s">
        <v>998</v>
      </c>
      <c r="H23" s="166">
        <f>+'Prog 01'!H23</f>
        <v>2112</v>
      </c>
      <c r="I23" s="111">
        <f>+'Prog 01'!I23</f>
        <v>25344</v>
      </c>
      <c r="J23" s="111">
        <f ca="1">+'Prog 01'!J23</f>
        <v>8448</v>
      </c>
      <c r="K23" s="260">
        <f t="shared" ca="1" si="0"/>
        <v>0.33333333333333331</v>
      </c>
      <c r="L23" s="111">
        <f>+'Prog 01'!L23</f>
        <v>8448</v>
      </c>
      <c r="M23" s="260">
        <f t="shared" si="2"/>
        <v>0.33333333333333331</v>
      </c>
      <c r="N23" s="111">
        <f>+'Prog 01'!N23</f>
        <v>16896</v>
      </c>
      <c r="O23" s="165">
        <f t="shared" si="3"/>
        <v>0.66666666666666663</v>
      </c>
      <c r="P23" s="341">
        <f>+'Prog 01'!P23</f>
        <v>0</v>
      </c>
      <c r="Q23" s="333">
        <f>+'Prog 01'!Q23</f>
        <v>0</v>
      </c>
      <c r="R23" s="165" t="str">
        <f t="shared" si="1"/>
        <v>0.00%</v>
      </c>
      <c r="T23" s="568"/>
      <c r="U23" s="568"/>
      <c r="X23" s="668"/>
      <c r="Y23" s="668"/>
      <c r="Z23" s="668"/>
      <c r="AA23" s="673"/>
    </row>
    <row r="24" spans="2:27" ht="15" hidden="1" customHeight="1" outlineLevel="3" x14ac:dyDescent="0.25">
      <c r="B24" s="168"/>
      <c r="C24" s="108"/>
      <c r="D24" s="109"/>
      <c r="E24" s="110">
        <v>999</v>
      </c>
      <c r="F24" s="112" t="str">
        <f t="shared" si="10"/>
        <v>21.01.001.0999</v>
      </c>
      <c r="G24" s="1134" t="s">
        <v>930</v>
      </c>
      <c r="H24" s="166">
        <v>0</v>
      </c>
      <c r="I24" s="111">
        <f>+'Prog 01'!I24</f>
        <v>0</v>
      </c>
      <c r="J24" s="333">
        <f t="shared" ca="1" si="7"/>
        <v>0</v>
      </c>
      <c r="K24" s="260" t="str">
        <f t="shared" ca="1" si="0"/>
        <v>0.00%</v>
      </c>
      <c r="L24" s="1251">
        <f>+'Prog 01'!L24</f>
        <v>0</v>
      </c>
      <c r="M24" s="260">
        <f t="shared" si="2"/>
        <v>0</v>
      </c>
      <c r="N24" s="1129">
        <f>+'Prog 01'!N24</f>
        <v>0</v>
      </c>
      <c r="O24" s="165">
        <f t="shared" si="3"/>
        <v>0</v>
      </c>
      <c r="P24" s="167">
        <f>+'Prog 01'!P24</f>
        <v>0</v>
      </c>
      <c r="Q24" s="111">
        <f>+'Prog 01'!Q24</f>
        <v>0</v>
      </c>
      <c r="R24" s="165" t="str">
        <f t="shared" si="1"/>
        <v>0.00%</v>
      </c>
      <c r="T24" s="568"/>
      <c r="U24" s="568"/>
      <c r="X24" s="668"/>
      <c r="Y24" s="668"/>
      <c r="Z24" s="668"/>
      <c r="AA24" s="673"/>
    </row>
    <row r="25" spans="2:27" s="158" customFormat="1" ht="15" hidden="1" customHeight="1" outlineLevel="2" x14ac:dyDescent="0.25">
      <c r="B25" s="168"/>
      <c r="C25" s="108"/>
      <c r="D25" s="109" t="s">
        <v>158</v>
      </c>
      <c r="E25" s="110"/>
      <c r="F25" s="110"/>
      <c r="G25" s="1133" t="s">
        <v>28</v>
      </c>
      <c r="H25" s="166">
        <f>SUM(H26:H27)</f>
        <v>31358.285</v>
      </c>
      <c r="I25" s="111">
        <f>SUM(I26:I27)</f>
        <v>31358.285</v>
      </c>
      <c r="J25" s="333">
        <f ca="1">SUM(J26:J27)</f>
        <v>6731.9589999999998</v>
      </c>
      <c r="K25" s="260">
        <f t="shared" ca="1" si="0"/>
        <v>0.2146788001958653</v>
      </c>
      <c r="L25" s="1251">
        <f>SUM(L26:L27)</f>
        <v>6731.9589999999998</v>
      </c>
      <c r="M25" s="260">
        <f t="shared" si="2"/>
        <v>0.2146788001958653</v>
      </c>
      <c r="N25" s="261">
        <f>SUM(N26:N27)</f>
        <v>24626.326000000001</v>
      </c>
      <c r="O25" s="165">
        <f t="shared" si="3"/>
        <v>0.78532119980413473</v>
      </c>
      <c r="P25" s="166">
        <f>SUM(P26:P27)</f>
        <v>28939.590349999995</v>
      </c>
      <c r="Q25" s="111">
        <f>SUM(Q26:Q27)</f>
        <v>7601.4141409999993</v>
      </c>
      <c r="R25" s="165">
        <f t="shared" si="1"/>
        <v>0.2626648839554151</v>
      </c>
      <c r="S25" s="157"/>
      <c r="T25" s="568"/>
      <c r="U25" s="568"/>
      <c r="V25" s="669"/>
      <c r="W25" s="669"/>
      <c r="X25" s="668"/>
      <c r="Y25" s="668"/>
      <c r="Z25" s="668"/>
      <c r="AA25" s="673"/>
    </row>
    <row r="26" spans="2:27" s="158" customFormat="1" ht="15" hidden="1" customHeight="1" outlineLevel="3" x14ac:dyDescent="0.25">
      <c r="B26" s="168"/>
      <c r="C26" s="108"/>
      <c r="D26" s="109"/>
      <c r="E26" s="110">
        <v>1</v>
      </c>
      <c r="F26" s="112" t="str">
        <f>+CONCATENATE($B$10,"",$C$11,"",$D$25,"00",E26)</f>
        <v>21.01.002.001</v>
      </c>
      <c r="G26" s="1134" t="s">
        <v>29</v>
      </c>
      <c r="H26" s="166">
        <f>+VLOOKUP(F26,matriz01,3,FALSE)</f>
        <v>7117.165</v>
      </c>
      <c r="I26" s="111">
        <f>+VLOOKUP(F26,matriz01,4,FALSE)</f>
        <v>7117.165</v>
      </c>
      <c r="J26" s="333">
        <f ca="1">+VLOOKUP(F26,matriz01,5,FALSE)</f>
        <v>378.29999999999995</v>
      </c>
      <c r="K26" s="260">
        <f t="shared" ca="1" si="0"/>
        <v>5.3153186697231264E-2</v>
      </c>
      <c r="L26" s="1251">
        <f>INDEX(coincidenciaP01,MATCH(F26,indicep01,0),7)</f>
        <v>378.3</v>
      </c>
      <c r="M26" s="260">
        <f t="shared" si="2"/>
        <v>5.3153186697231271E-2</v>
      </c>
      <c r="N26" s="261">
        <f>INDEX(coincidenciaP01,MATCH(F26,indicep01,0),9)</f>
        <v>6738.8649999999998</v>
      </c>
      <c r="O26" s="165">
        <f t="shared" si="3"/>
        <v>0.94684681330276865</v>
      </c>
      <c r="P26" s="167">
        <f>+'Prog 01'!P26</f>
        <v>6568.2110939999993</v>
      </c>
      <c r="Q26" s="111">
        <f>+'Prog 01'!Q26</f>
        <v>589.79491999999993</v>
      </c>
      <c r="R26" s="165">
        <f t="shared" si="1"/>
        <v>8.9795366129260396E-2</v>
      </c>
      <c r="S26" s="157"/>
      <c r="T26" s="568"/>
      <c r="U26" s="568"/>
      <c r="V26" s="669"/>
      <c r="W26" s="669"/>
      <c r="X26" s="668"/>
      <c r="Y26" s="668"/>
      <c r="Z26" s="668"/>
      <c r="AA26" s="673"/>
    </row>
    <row r="27" spans="2:27" s="158" customFormat="1" ht="15" hidden="1" customHeight="1" outlineLevel="3" x14ac:dyDescent="0.25">
      <c r="B27" s="168"/>
      <c r="C27" s="108"/>
      <c r="D27" s="109"/>
      <c r="E27" s="110">
        <v>2</v>
      </c>
      <c r="F27" s="112" t="str">
        <f>+CONCATENATE($B$10,"",$C$11,"",$D$25,"00",E27)</f>
        <v>21.01.002.002</v>
      </c>
      <c r="G27" s="1134" t="s">
        <v>30</v>
      </c>
      <c r="H27" s="166">
        <f>+VLOOKUP(F27,matriz01,3,FALSE)</f>
        <v>24241.119999999999</v>
      </c>
      <c r="I27" s="111">
        <f>+VLOOKUP(F27,matriz01,4,FALSE)</f>
        <v>24241.119999999999</v>
      </c>
      <c r="J27" s="333">
        <f ca="1">+VLOOKUP(F27,matriz01,5,FALSE)</f>
        <v>6353.6589999999997</v>
      </c>
      <c r="K27" s="260">
        <f t="shared" ca="1" si="0"/>
        <v>0.2621025348663758</v>
      </c>
      <c r="L27" s="1251">
        <f>INDEX(coincidenciaP01,MATCH(F27,indicep01,0),7)</f>
        <v>6353.6589999999997</v>
      </c>
      <c r="M27" s="260">
        <f t="shared" si="2"/>
        <v>0.2621025348663758</v>
      </c>
      <c r="N27" s="261">
        <f>INDEX(coincidenciaP01,MATCH(F27,indicep01,0),9)</f>
        <v>17887.460999999999</v>
      </c>
      <c r="O27" s="165">
        <f t="shared" si="3"/>
        <v>0.7378974651336242</v>
      </c>
      <c r="P27" s="167">
        <f>+'Prog 01'!P27</f>
        <v>22371.379255999997</v>
      </c>
      <c r="Q27" s="111">
        <f>+'Prog 01'!Q27</f>
        <v>7011.619220999999</v>
      </c>
      <c r="R27" s="165">
        <f t="shared" si="1"/>
        <v>0.31341917459646501</v>
      </c>
      <c r="S27" s="157"/>
      <c r="T27" s="568"/>
      <c r="U27" s="568"/>
      <c r="V27" s="669"/>
      <c r="W27" s="669"/>
      <c r="X27" s="668"/>
      <c r="Y27" s="668"/>
      <c r="Z27" s="668"/>
      <c r="AA27" s="673"/>
    </row>
    <row r="28" spans="2:27" s="158" customFormat="1" ht="15" hidden="1" customHeight="1" outlineLevel="2" x14ac:dyDescent="0.25">
      <c r="B28" s="168"/>
      <c r="C28" s="108"/>
      <c r="D28" s="109" t="s">
        <v>159</v>
      </c>
      <c r="E28" s="110"/>
      <c r="F28" s="110"/>
      <c r="G28" s="1133" t="s">
        <v>31</v>
      </c>
      <c r="H28" s="166">
        <f>SUM(H29:H30)</f>
        <v>73869.233999999997</v>
      </c>
      <c r="I28" s="111">
        <f>SUM(I29:I31)</f>
        <v>73869.233999999997</v>
      </c>
      <c r="J28" s="333">
        <f t="shared" ref="J28:L28" ca="1" si="11">SUM(J29:J31)</f>
        <v>14313.438</v>
      </c>
      <c r="K28" s="260">
        <f t="shared" ca="1" si="0"/>
        <v>0.19376724550846164</v>
      </c>
      <c r="L28" s="111">
        <f t="shared" si="11"/>
        <v>14313.438</v>
      </c>
      <c r="M28" s="260">
        <f t="shared" si="2"/>
        <v>0.19376724550846164</v>
      </c>
      <c r="N28" s="111">
        <f>SUM(N29:N31)</f>
        <v>59555.796000000002</v>
      </c>
      <c r="O28" s="165">
        <f t="shared" si="3"/>
        <v>0.80623275449153842</v>
      </c>
      <c r="P28" s="166">
        <f>SUM(P29:P30)</f>
        <v>68171.63036499999</v>
      </c>
      <c r="Q28" s="111">
        <f ca="1">SUM(Q29:Q31)</f>
        <v>15326.314865999999</v>
      </c>
      <c r="R28" s="165">
        <f t="shared" ca="1" si="1"/>
        <v>0.22481954419955733</v>
      </c>
      <c r="S28" s="157"/>
      <c r="T28" s="568"/>
      <c r="U28" s="568"/>
      <c r="V28" s="669"/>
      <c r="W28" s="669"/>
      <c r="X28" s="668"/>
      <c r="Y28" s="668"/>
      <c r="Z28" s="668"/>
      <c r="AA28" s="673"/>
    </row>
    <row r="29" spans="2:27" s="158" customFormat="1" ht="15" hidden="1" customHeight="1" outlineLevel="3" x14ac:dyDescent="0.25">
      <c r="B29" s="168"/>
      <c r="C29" s="108"/>
      <c r="D29" s="109"/>
      <c r="E29" s="110">
        <v>1</v>
      </c>
      <c r="F29" s="112" t="str">
        <f>+CONCATENATE($B$10,"",$C$11,"",$D$28,"00",E29)</f>
        <v>21.01.003.001</v>
      </c>
      <c r="G29" s="1134" t="s">
        <v>32</v>
      </c>
      <c r="H29" s="166">
        <f>+VLOOKUP(F29,matriz01,3,FALSE)</f>
        <v>36552.784</v>
      </c>
      <c r="I29" s="111">
        <f>+VLOOKUP(F29,matriz01,4,FALSE)</f>
        <v>36552.784</v>
      </c>
      <c r="J29" s="333">
        <f ca="1">+VLOOKUP(F29,matriz01,5,FALSE)</f>
        <v>7218.0029999999997</v>
      </c>
      <c r="K29" s="260">
        <f t="shared" ca="1" si="0"/>
        <v>0.19746794115600058</v>
      </c>
      <c r="L29" s="1251">
        <f>INDEX(coincidenciaP01,MATCH(F29,indicep01,0),7)</f>
        <v>7218.0029999999997</v>
      </c>
      <c r="M29" s="260">
        <f t="shared" si="2"/>
        <v>0.19746794115600058</v>
      </c>
      <c r="N29" s="261">
        <f>INDEX(coincidenciaP01,MATCH(F29,indicep01,0),9)</f>
        <v>29334.780999999999</v>
      </c>
      <c r="O29" s="165">
        <f t="shared" si="3"/>
        <v>0.80253205884399936</v>
      </c>
      <c r="P29" s="166">
        <f>+'Prog 01'!P29</f>
        <v>33733.433339999996</v>
      </c>
      <c r="Q29" s="111">
        <f>+'Prog 01'!Q29</f>
        <v>7737.1592409999994</v>
      </c>
      <c r="R29" s="165">
        <f t="shared" si="1"/>
        <v>0.22936174812142618</v>
      </c>
      <c r="S29" s="157"/>
      <c r="T29" s="568"/>
      <c r="U29" s="568"/>
      <c r="V29" s="669"/>
      <c r="W29" s="669"/>
      <c r="X29" s="668"/>
      <c r="Y29" s="668"/>
      <c r="Z29" s="668"/>
      <c r="AA29" s="673"/>
    </row>
    <row r="30" spans="2:27" s="158" customFormat="1" ht="15" hidden="1" customHeight="1" outlineLevel="3" x14ac:dyDescent="0.25">
      <c r="B30" s="168"/>
      <c r="C30" s="108"/>
      <c r="D30" s="109"/>
      <c r="E30" s="110">
        <v>2</v>
      </c>
      <c r="F30" s="112" t="str">
        <f>+CONCATENATE($B$10,"",$C$11,"",$D$28,"00",E30)</f>
        <v>21.01.003.002</v>
      </c>
      <c r="G30" s="1134" t="s">
        <v>33</v>
      </c>
      <c r="H30" s="166">
        <f>+VLOOKUP(F30,matriz01,3,FALSE)</f>
        <v>37316.449999999997</v>
      </c>
      <c r="I30" s="111">
        <f>+VLOOKUP(F30,matriz01,4,FALSE)</f>
        <v>37316.449999999997</v>
      </c>
      <c r="J30" s="333">
        <f ca="1">+VLOOKUP(F30,matriz01,5,FALSE)</f>
        <v>7095.4350000000004</v>
      </c>
      <c r="K30" s="260">
        <f t="shared" ca="1" si="0"/>
        <v>0.19014228309498896</v>
      </c>
      <c r="L30" s="1251">
        <f>INDEX(coincidenciaP01,MATCH(F30,indicep01,0),7)</f>
        <v>7095.4350000000004</v>
      </c>
      <c r="M30" s="260">
        <f t="shared" si="2"/>
        <v>0.19014228309498896</v>
      </c>
      <c r="N30" s="261">
        <f>INDEX(coincidenciaP01,MATCH(F30,indicep01,0),9)</f>
        <v>30221.014999999999</v>
      </c>
      <c r="O30" s="165">
        <f t="shared" si="3"/>
        <v>0.80985771690501107</v>
      </c>
      <c r="P30" s="166">
        <f>+'Prog 01'!P30</f>
        <v>34438.197024999994</v>
      </c>
      <c r="Q30" s="111">
        <f>+'Prog 01'!Q30</f>
        <v>7589.1556249999994</v>
      </c>
      <c r="R30" s="165">
        <f t="shared" si="1"/>
        <v>0.22037029463217089</v>
      </c>
      <c r="S30" s="157"/>
      <c r="T30" s="568"/>
      <c r="U30" s="568"/>
      <c r="V30" s="669"/>
      <c r="W30" s="669"/>
      <c r="X30" s="668"/>
      <c r="Y30" s="668"/>
      <c r="Z30" s="668"/>
      <c r="AA30" s="673"/>
    </row>
    <row r="31" spans="2:27" s="158" customFormat="1" ht="15" hidden="1" customHeight="1" outlineLevel="3" x14ac:dyDescent="0.25">
      <c r="B31" s="168"/>
      <c r="C31" s="108"/>
      <c r="D31" s="109"/>
      <c r="E31" s="110">
        <v>3</v>
      </c>
      <c r="F31" s="112" t="str">
        <f>+CONCATENATE($B$10,"",$C$11,"",$D$28,"00",E31)</f>
        <v>21.01.003.003</v>
      </c>
      <c r="G31" s="1134" t="s">
        <v>931</v>
      </c>
      <c r="H31" s="166">
        <v>0</v>
      </c>
      <c r="I31" s="111">
        <f>+'Prog 01'!I31</f>
        <v>0</v>
      </c>
      <c r="J31" s="333">
        <f ca="1">+VLOOKUP(F31,matriz01,5,FALSE)</f>
        <v>0</v>
      </c>
      <c r="K31" s="260" t="str">
        <f t="shared" ca="1" si="0"/>
        <v>0.00%</v>
      </c>
      <c r="L31" s="1251">
        <f>+'Prog 01'!L31</f>
        <v>0</v>
      </c>
      <c r="M31" s="260">
        <f t="shared" si="2"/>
        <v>0</v>
      </c>
      <c r="N31" s="1129">
        <f>+'Prog 01'!N31</f>
        <v>0</v>
      </c>
      <c r="O31" s="165">
        <f t="shared" si="3"/>
        <v>0</v>
      </c>
      <c r="P31" s="166">
        <f>+'Prog 01'!P31</f>
        <v>0</v>
      </c>
      <c r="Q31" s="111">
        <f ca="1">+'Prog 01'!Q31</f>
        <v>0</v>
      </c>
      <c r="R31" s="165" t="str">
        <f t="shared" ca="1" si="1"/>
        <v>0.00%</v>
      </c>
      <c r="S31" s="157"/>
      <c r="T31" s="568"/>
      <c r="U31" s="568"/>
      <c r="V31" s="669"/>
      <c r="W31" s="669"/>
      <c r="X31" s="668"/>
      <c r="Y31" s="668"/>
      <c r="Z31" s="668"/>
      <c r="AA31" s="673"/>
    </row>
    <row r="32" spans="2:27" s="158" customFormat="1" ht="15" hidden="1" customHeight="1" outlineLevel="2" x14ac:dyDescent="0.25">
      <c r="B32" s="168"/>
      <c r="C32" s="108"/>
      <c r="D32" s="109" t="s">
        <v>160</v>
      </c>
      <c r="E32" s="110"/>
      <c r="F32" s="110"/>
      <c r="G32" s="1133" t="s">
        <v>34</v>
      </c>
      <c r="H32" s="166">
        <f>SUM(H33:H36)</f>
        <v>206697.50700000001</v>
      </c>
      <c r="I32" s="111">
        <f>SUM(I33:I36)</f>
        <v>204715.16</v>
      </c>
      <c r="J32" s="333">
        <f ca="1">SUM(J33:J36)</f>
        <v>43600.824000000001</v>
      </c>
      <c r="K32" s="260">
        <f t="shared" ca="1" si="0"/>
        <v>0.21298287825874743</v>
      </c>
      <c r="L32" s="111">
        <f>SUM(L33:L36)</f>
        <v>43600.824000000001</v>
      </c>
      <c r="M32" s="260">
        <f t="shared" si="2"/>
        <v>0.21298287825874743</v>
      </c>
      <c r="N32" s="261">
        <f>SUM(N33:N36)</f>
        <v>161114.33600000001</v>
      </c>
      <c r="O32" s="165">
        <f t="shared" si="3"/>
        <v>0.7870171217412526</v>
      </c>
      <c r="P32" s="166">
        <f>SUM(P33:P36)</f>
        <v>163135.52730000002</v>
      </c>
      <c r="Q32" s="111">
        <f ca="1">SUM(Q33:Q36)</f>
        <v>45146.135121999992</v>
      </c>
      <c r="R32" s="165">
        <f t="shared" ca="1" si="1"/>
        <v>0.27674005698941329</v>
      </c>
      <c r="S32" s="157"/>
      <c r="T32" s="568"/>
      <c r="U32" s="568"/>
      <c r="V32" s="669"/>
      <c r="W32" s="669"/>
      <c r="X32" s="668"/>
      <c r="Y32" s="668"/>
      <c r="Z32" s="668"/>
      <c r="AA32" s="673"/>
    </row>
    <row r="33" spans="2:27" ht="15" hidden="1" customHeight="1" outlineLevel="3" x14ac:dyDescent="0.25">
      <c r="B33" s="168"/>
      <c r="C33" s="108"/>
      <c r="D33" s="109"/>
      <c r="E33" s="110">
        <v>4</v>
      </c>
      <c r="F33" s="112" t="str">
        <f>+CONCATENATE($B$10,"",$C$11,"",$D$32,"00",E33)</f>
        <v>21.01.004.004</v>
      </c>
      <c r="G33" s="1134" t="s">
        <v>35</v>
      </c>
      <c r="H33" s="166">
        <f>+VLOOKUP(F33,matriz01,3,FALSE)</f>
        <v>187398.5</v>
      </c>
      <c r="I33" s="111">
        <f>+VLOOKUP(F33,matriz01,4,FALSE)</f>
        <v>187398.5</v>
      </c>
      <c r="J33" s="333">
        <f ca="1">+VLOOKUP(F33,matriz01,5,FALSE)</f>
        <v>39557.288</v>
      </c>
      <c r="K33" s="260">
        <f t="shared" ca="1" si="0"/>
        <v>0.21108647080953155</v>
      </c>
      <c r="L33" s="1251">
        <f>INDEX(coincidenciaP01,MATCH(F33,indicep01,0),7)</f>
        <v>39557.288</v>
      </c>
      <c r="M33" s="260">
        <f t="shared" si="2"/>
        <v>0.21108647080953155</v>
      </c>
      <c r="N33" s="261">
        <f>INDEX(coincidenciaP01,MATCH(F33,indicep01,0),9)</f>
        <v>147841.212</v>
      </c>
      <c r="O33" s="165">
        <f t="shared" si="3"/>
        <v>0.78891352919046842</v>
      </c>
      <c r="P33" s="167">
        <f>+'Prog 01'!P33</f>
        <v>154892.60010000001</v>
      </c>
      <c r="Q33" s="111">
        <f ca="1">+'Prog 01'!Q33</f>
        <v>42898.029374999991</v>
      </c>
      <c r="R33" s="165">
        <f t="shared" ca="1" si="1"/>
        <v>0.27695338155150506</v>
      </c>
      <c r="T33" s="568"/>
      <c r="U33" s="568"/>
      <c r="X33" s="668"/>
      <c r="Y33" s="668"/>
      <c r="Z33" s="668"/>
      <c r="AA33" s="673"/>
    </row>
    <row r="34" spans="2:27" ht="15" hidden="1" customHeight="1" outlineLevel="3" x14ac:dyDescent="0.25">
      <c r="B34" s="168"/>
      <c r="C34" s="108"/>
      <c r="D34" s="109"/>
      <c r="E34" s="110">
        <v>5</v>
      </c>
      <c r="F34" s="112" t="str">
        <f>+CONCATENATE($B$10,"",$C$11,"",$D$32,"00",E34)</f>
        <v>21.01.004.005</v>
      </c>
      <c r="G34" s="1134" t="s">
        <v>36</v>
      </c>
      <c r="H34" s="166">
        <f>+VLOOKUP(F34,matriz01,3,FALSE)</f>
        <v>7599</v>
      </c>
      <c r="I34" s="111">
        <f>+VLOOKUP(F34,matriz01,4,FALSE)</f>
        <v>7599</v>
      </c>
      <c r="J34" s="333">
        <f ca="1">+VLOOKUP(F34,matriz01,5,FALSE)</f>
        <v>222.56900000000002</v>
      </c>
      <c r="K34" s="260">
        <f t="shared" ca="1" si="0"/>
        <v>2.9289248585340179E-2</v>
      </c>
      <c r="L34" s="111">
        <f>INDEX(coincidenciaP01,MATCH(F34,indicep01,0),7)</f>
        <v>222.56899999999999</v>
      </c>
      <c r="M34" s="260">
        <f t="shared" si="2"/>
        <v>2.9289248585340176E-2</v>
      </c>
      <c r="N34" s="261">
        <f>INDEX(coincidenciaP01,MATCH(F34,indicep01,0),9)</f>
        <v>7376.4309999999996</v>
      </c>
      <c r="O34" s="165">
        <f t="shared" si="3"/>
        <v>0.97071075141465979</v>
      </c>
      <c r="P34" s="167">
        <f>+'Prog 01'!P34</f>
        <v>3778.3271999999997</v>
      </c>
      <c r="Q34" s="111">
        <f ca="1">+'Prog 01'!Q34</f>
        <v>0</v>
      </c>
      <c r="R34" s="165">
        <f t="shared" ca="1" si="1"/>
        <v>0</v>
      </c>
      <c r="T34" s="568"/>
      <c r="U34" s="568"/>
      <c r="X34" s="668"/>
      <c r="Y34" s="668"/>
      <c r="Z34" s="668"/>
      <c r="AA34" s="673"/>
    </row>
    <row r="35" spans="2:27" ht="15" hidden="1" customHeight="1" outlineLevel="3" collapsed="1" x14ac:dyDescent="0.25">
      <c r="B35" s="168"/>
      <c r="C35" s="108"/>
      <c r="D35" s="109"/>
      <c r="E35" s="110">
        <v>6</v>
      </c>
      <c r="F35" s="112" t="str">
        <f>+CONCATENATE($B$10,"",$C$11,"",$D$32,"00",E35)</f>
        <v>21.01.004.006</v>
      </c>
      <c r="G35" s="1134" t="s">
        <v>37</v>
      </c>
      <c r="H35" s="166">
        <f>+VLOOKUP(F35,matriz01,3,FALSE)</f>
        <v>9200.0069999999996</v>
      </c>
      <c r="I35" s="111">
        <f>+VLOOKUP(F35,matriz01,4,FALSE)</f>
        <v>7217.66</v>
      </c>
      <c r="J35" s="333">
        <f ca="1">+VLOOKUP(F35,matriz01,5,FALSE)</f>
        <v>3820.9669999999996</v>
      </c>
      <c r="K35" s="260">
        <f t="shared" ca="1" si="0"/>
        <v>0.52939138169434408</v>
      </c>
      <c r="L35" s="1251">
        <f>INDEX(coincidenciaP01,MATCH(F35,indicep01,0),7)</f>
        <v>3820.9670000000001</v>
      </c>
      <c r="M35" s="260">
        <f t="shared" si="2"/>
        <v>0.52939138169434419</v>
      </c>
      <c r="N35" s="261">
        <f>INDEX(coincidenciaP01,MATCH(F35,indicep01,0),9)</f>
        <v>3396.6930000000002</v>
      </c>
      <c r="O35" s="165">
        <f t="shared" si="3"/>
        <v>0.47060861830565587</v>
      </c>
      <c r="P35" s="167">
        <f>+'Prog 01'!P35</f>
        <v>4464.5999999999995</v>
      </c>
      <c r="Q35" s="111">
        <f ca="1">+'Prog 01'!Q35</f>
        <v>2248.1057470000001</v>
      </c>
      <c r="R35" s="165">
        <f t="shared" ca="1" si="1"/>
        <v>0.50354023809523818</v>
      </c>
      <c r="T35" s="568"/>
      <c r="U35" s="568"/>
      <c r="X35" s="668"/>
      <c r="Y35" s="668"/>
      <c r="Z35" s="668"/>
      <c r="AA35" s="673"/>
    </row>
    <row r="36" spans="2:27" ht="15" hidden="1" customHeight="1" outlineLevel="3" x14ac:dyDescent="0.25">
      <c r="B36" s="168"/>
      <c r="C36" s="108"/>
      <c r="D36" s="109"/>
      <c r="E36" s="337">
        <v>7</v>
      </c>
      <c r="F36" s="509" t="str">
        <f>+CONCATENATE($B$10,"",$C$11,"",$D$32,"00",E36)</f>
        <v>21.01.004.007</v>
      </c>
      <c r="G36" s="823" t="s">
        <v>38</v>
      </c>
      <c r="H36" s="341">
        <f>+VLOOKUP(F36,matriz01,3,FALSE)</f>
        <v>2500</v>
      </c>
      <c r="I36" s="111">
        <f>+VLOOKUP(F36,matriz01,4,FALSE)</f>
        <v>2500</v>
      </c>
      <c r="J36" s="333">
        <f ca="1">+VLOOKUP(F36,matriz01,5,FALSE)</f>
        <v>0</v>
      </c>
      <c r="K36" s="260">
        <f t="shared" ca="1" si="0"/>
        <v>0</v>
      </c>
      <c r="L36" s="111">
        <f>INDEX(coincidenciaP01,MATCH(F36,indicep01,0),7)</f>
        <v>0</v>
      </c>
      <c r="M36" s="260">
        <f t="shared" si="2"/>
        <v>0</v>
      </c>
      <c r="N36" s="339">
        <f>INDEX(coincidenciaP01,MATCH(F36,indicep01,0),9)</f>
        <v>2500</v>
      </c>
      <c r="O36" s="165">
        <f t="shared" si="3"/>
        <v>1</v>
      </c>
      <c r="P36" s="167">
        <f>+'Prog 01'!P36</f>
        <v>0</v>
      </c>
      <c r="Q36" s="111">
        <f ca="1">+'Prog 01'!Q36</f>
        <v>0</v>
      </c>
      <c r="R36" s="165" t="str">
        <f t="shared" ca="1" si="1"/>
        <v>0.00%</v>
      </c>
      <c r="T36" s="568"/>
      <c r="U36" s="568"/>
      <c r="X36" s="668"/>
      <c r="Y36" s="668"/>
      <c r="Z36" s="668"/>
      <c r="AA36" s="673"/>
    </row>
    <row r="37" spans="2:27" s="158" customFormat="1" ht="15" hidden="1" customHeight="1" outlineLevel="2" x14ac:dyDescent="0.25">
      <c r="B37" s="168"/>
      <c r="C37" s="108"/>
      <c r="D37" s="109" t="s">
        <v>161</v>
      </c>
      <c r="E37" s="110"/>
      <c r="F37" s="110"/>
      <c r="G37" s="1133" t="s">
        <v>34</v>
      </c>
      <c r="H37" s="166">
        <f>SUM(H38:H40)</f>
        <v>4470.5740000000005</v>
      </c>
      <c r="I37" s="111">
        <f>SUM(I38:I40)</f>
        <v>4470.5740000000005</v>
      </c>
      <c r="J37" s="333">
        <f ca="1">SUM(J38:J40)</f>
        <v>157.93199999999999</v>
      </c>
      <c r="K37" s="260">
        <f t="shared" ca="1" si="0"/>
        <v>3.5327007225470372E-2</v>
      </c>
      <c r="L37" s="1251">
        <f>SUM(L38:L40)</f>
        <v>157.93199999999999</v>
      </c>
      <c r="M37" s="260">
        <f t="shared" si="2"/>
        <v>3.5327007225470372E-2</v>
      </c>
      <c r="N37" s="261">
        <f>SUM(N38:N40)</f>
        <v>4312.6419999999998</v>
      </c>
      <c r="O37" s="165">
        <f t="shared" si="3"/>
        <v>0.96467299277452945</v>
      </c>
      <c r="P37" s="166">
        <f>SUM(P38:P40)</f>
        <v>1675.0690219999999</v>
      </c>
      <c r="Q37" s="111">
        <f ca="1">SUM(Q38:Q40)</f>
        <v>570.7225739999999</v>
      </c>
      <c r="R37" s="165">
        <f t="shared" ca="1" si="1"/>
        <v>0.34071585499119805</v>
      </c>
      <c r="S37" s="157"/>
      <c r="T37" s="568"/>
      <c r="U37" s="568"/>
      <c r="V37" s="669"/>
      <c r="W37" s="669"/>
      <c r="X37" s="668"/>
      <c r="Y37" s="668"/>
      <c r="Z37" s="668"/>
      <c r="AA37" s="673"/>
    </row>
    <row r="38" spans="2:27" ht="15" hidden="1" customHeight="1" outlineLevel="3" x14ac:dyDescent="0.25">
      <c r="B38" s="168"/>
      <c r="C38" s="108"/>
      <c r="D38" s="109"/>
      <c r="E38" s="110">
        <v>1</v>
      </c>
      <c r="F38" s="112" t="str">
        <f>+CONCATENATE($B$10,"",$C$11,"",$D$37,"00",E38)</f>
        <v>21.01.005.001</v>
      </c>
      <c r="G38" s="1134" t="s">
        <v>95</v>
      </c>
      <c r="H38" s="166">
        <f>+VLOOKUP(F38,matriz01,3,FALSE)</f>
        <v>803.73599999999999</v>
      </c>
      <c r="I38" s="111">
        <f>+VLOOKUP(F38,matriz01,4,FALSE)</f>
        <v>803.73599999999999</v>
      </c>
      <c r="J38" s="333">
        <f ca="1">+VLOOKUP(F38,matriz01,5,FALSE)</f>
        <v>0</v>
      </c>
      <c r="K38" s="260">
        <f t="shared" ca="1" si="0"/>
        <v>0</v>
      </c>
      <c r="L38" s="111">
        <f>INDEX(coincidenciaP01,MATCH(F38,indicep01,0),7)</f>
        <v>0</v>
      </c>
      <c r="M38" s="260">
        <f t="shared" si="2"/>
        <v>0</v>
      </c>
      <c r="N38" s="261">
        <f>INDEX(coincidenciaP01,MATCH(F38,indicep01,0),9)</f>
        <v>803.73599999999999</v>
      </c>
      <c r="O38" s="165">
        <f t="shared" si="3"/>
        <v>1</v>
      </c>
      <c r="P38" s="166">
        <f>+'Prog 01'!P38</f>
        <v>422.84332899999998</v>
      </c>
      <c r="Q38" s="111">
        <f ca="1">+'Prog 01'!Q38</f>
        <v>0</v>
      </c>
      <c r="R38" s="165">
        <f t="shared" ca="1" si="1"/>
        <v>0</v>
      </c>
      <c r="T38" s="568"/>
      <c r="U38" s="568"/>
      <c r="X38" s="668"/>
      <c r="Y38" s="668"/>
      <c r="Z38" s="668"/>
      <c r="AA38" s="673"/>
    </row>
    <row r="39" spans="2:27" ht="15" hidden="1" customHeight="1" outlineLevel="3" x14ac:dyDescent="0.25">
      <c r="B39" s="168"/>
      <c r="C39" s="108"/>
      <c r="D39" s="109"/>
      <c r="E39" s="110">
        <v>2</v>
      </c>
      <c r="F39" s="112" t="str">
        <f>+CONCATENATE($B$10,"",$C$11,"",$D$37,"00",E39)</f>
        <v>21.01.005.002</v>
      </c>
      <c r="G39" s="1134" t="s">
        <v>96</v>
      </c>
      <c r="H39" s="166">
        <f>+VLOOKUP(F39,matriz01,3,FALSE)</f>
        <v>545.73800000000006</v>
      </c>
      <c r="I39" s="111">
        <f>+VLOOKUP(F39,matriz01,4,FALSE)</f>
        <v>545.73800000000006</v>
      </c>
      <c r="J39" s="333">
        <f ca="1">+VLOOKUP(F39,matriz01,5,FALSE)</f>
        <v>157.93199999999999</v>
      </c>
      <c r="K39" s="260">
        <f t="shared" ca="1" si="0"/>
        <v>0.28939161282520176</v>
      </c>
      <c r="L39" s="1251">
        <f>INDEX(coincidenciaP01,MATCH(F39,indicep01,0),7)</f>
        <v>157.93199999999999</v>
      </c>
      <c r="M39" s="260">
        <f t="shared" si="2"/>
        <v>0.28939161282520176</v>
      </c>
      <c r="N39" s="111">
        <f>INDEX(coincidenciaP01,MATCH(F39,indicep01,0),9)</f>
        <v>387.80599999999998</v>
      </c>
      <c r="O39" s="165">
        <f t="shared" si="3"/>
        <v>0.71060838717479802</v>
      </c>
      <c r="P39" s="166">
        <f>+'Prog 01'!P39</f>
        <v>497.859239</v>
      </c>
      <c r="Q39" s="111">
        <f ca="1">+'Prog 01'!Q39</f>
        <v>251.82257399999997</v>
      </c>
      <c r="R39" s="165">
        <f t="shared" ca="1" si="1"/>
        <v>0.50581078801673096</v>
      </c>
      <c r="T39" s="568"/>
      <c r="U39" s="568"/>
      <c r="X39" s="668"/>
      <c r="Y39" s="668"/>
      <c r="Z39" s="668"/>
      <c r="AA39" s="673"/>
    </row>
    <row r="40" spans="2:27" ht="15" hidden="1" customHeight="1" outlineLevel="3" x14ac:dyDescent="0.25">
      <c r="B40" s="168"/>
      <c r="C40" s="108"/>
      <c r="D40" s="109"/>
      <c r="E40" s="110">
        <v>3</v>
      </c>
      <c r="F40" s="112" t="str">
        <f>+CONCATENATE($B$10,"",$C$11,"",$D$37,"00",E40)</f>
        <v>21.01.005.003</v>
      </c>
      <c r="G40" s="1134" t="s">
        <v>97</v>
      </c>
      <c r="H40" s="166">
        <f>+VLOOKUP(F40,matriz01,3,FALSE)</f>
        <v>3121.1</v>
      </c>
      <c r="I40" s="111">
        <f>+VLOOKUP(F40,matriz01,4,FALSE)</f>
        <v>3121.1</v>
      </c>
      <c r="J40" s="333">
        <f ca="1">+VLOOKUP(F40,matriz01,5,FALSE)</f>
        <v>0</v>
      </c>
      <c r="K40" s="260">
        <f t="shared" ca="1" si="0"/>
        <v>0</v>
      </c>
      <c r="L40" s="1251">
        <f>INDEX(coincidenciaP01,MATCH(F40,indicep01,0),7)</f>
        <v>0</v>
      </c>
      <c r="M40" s="260">
        <f t="shared" si="2"/>
        <v>0</v>
      </c>
      <c r="N40" s="261">
        <f>INDEX(coincidenciaP01,MATCH(F40,indicep01,0),9)</f>
        <v>3121.1</v>
      </c>
      <c r="O40" s="165">
        <f t="shared" si="3"/>
        <v>1</v>
      </c>
      <c r="P40" s="167">
        <f>+'Prog 01'!P40</f>
        <v>754.36645399999998</v>
      </c>
      <c r="Q40" s="111">
        <f ca="1">+'Prog 01'!Q40</f>
        <v>318.89999999999998</v>
      </c>
      <c r="R40" s="165">
        <f t="shared" ca="1" si="1"/>
        <v>0.4227388403991782</v>
      </c>
      <c r="T40" s="568"/>
      <c r="U40" s="568"/>
      <c r="X40" s="668"/>
      <c r="Y40" s="668"/>
      <c r="Z40" s="668"/>
      <c r="AA40" s="673"/>
    </row>
    <row r="41" spans="2:27" s="158" customFormat="1" ht="15" hidden="1" customHeight="1" outlineLevel="1" x14ac:dyDescent="0.25">
      <c r="B41" s="168"/>
      <c r="C41" s="108" t="s">
        <v>162</v>
      </c>
      <c r="D41" s="109"/>
      <c r="E41" s="110"/>
      <c r="F41" s="110"/>
      <c r="G41" s="1133" t="s">
        <v>39</v>
      </c>
      <c r="H41" s="167">
        <f>+H42+H56+H59+H63+H68</f>
        <v>14824050.877</v>
      </c>
      <c r="I41" s="111">
        <f>+I42+I56+I59+I63+I68</f>
        <v>14802801.224000001</v>
      </c>
      <c r="J41" s="338">
        <f ca="1">+J42+J56+J59+J63+J68</f>
        <v>5074777.8210000005</v>
      </c>
      <c r="K41" s="260">
        <f t="shared" ca="1" si="0"/>
        <v>0.3428255060786865</v>
      </c>
      <c r="L41" s="1251">
        <f>+L42+L56+L59+L63+L68</f>
        <v>5074777.8210000005</v>
      </c>
      <c r="M41" s="260">
        <f t="shared" si="2"/>
        <v>0.3428255060786865</v>
      </c>
      <c r="N41" s="261">
        <f>+N42+N56+N59+N63+N68</f>
        <v>9728023.402999999</v>
      </c>
      <c r="O41" s="165">
        <f t="shared" si="3"/>
        <v>0.65717449392131333</v>
      </c>
      <c r="P41" s="265">
        <f>+P42+P56+P59+P63+P68</f>
        <v>14184350.135292999</v>
      </c>
      <c r="Q41" s="113">
        <f ca="1">+Q42+Q56+Q59+Q63+Q68</f>
        <v>4524590.454961</v>
      </c>
      <c r="R41" s="165">
        <f t="shared" ca="1" si="1"/>
        <v>0.31898468465630114</v>
      </c>
      <c r="S41" s="157"/>
      <c r="T41" s="568"/>
      <c r="U41" s="568"/>
      <c r="V41" s="669"/>
      <c r="W41" s="669"/>
      <c r="X41" s="668"/>
      <c r="Y41" s="668"/>
      <c r="Z41" s="668"/>
      <c r="AA41" s="673"/>
    </row>
    <row r="42" spans="2:27" s="158" customFormat="1" ht="15" hidden="1" customHeight="1" outlineLevel="2" x14ac:dyDescent="0.25">
      <c r="B42" s="168"/>
      <c r="C42" s="108"/>
      <c r="D42" s="109" t="s">
        <v>156</v>
      </c>
      <c r="E42" s="110"/>
      <c r="F42" s="110"/>
      <c r="G42" s="1133" t="s">
        <v>18</v>
      </c>
      <c r="H42" s="167">
        <f>SUM(H43:H55)</f>
        <v>12418776.130000001</v>
      </c>
      <c r="I42" s="111">
        <f>SUM(I43:I55)</f>
        <v>12395344.130000001</v>
      </c>
      <c r="J42" s="338">
        <f t="shared" ref="J42:N42" ca="1" si="12">SUM(J43:J55)</f>
        <v>4403353.7760000005</v>
      </c>
      <c r="K42" s="260">
        <f t="shared" ca="1" si="0"/>
        <v>0.35524255961096907</v>
      </c>
      <c r="L42" s="116">
        <f t="shared" si="12"/>
        <v>4403353.7760000005</v>
      </c>
      <c r="M42" s="260">
        <f t="shared" si="2"/>
        <v>0.35524255961096907</v>
      </c>
      <c r="N42" s="113">
        <f t="shared" si="12"/>
        <v>7991990.3540000012</v>
      </c>
      <c r="O42" s="165">
        <f t="shared" si="3"/>
        <v>0.64475744038903104</v>
      </c>
      <c r="P42" s="265">
        <f>SUM(P43:P53)</f>
        <v>12026236.002806</v>
      </c>
      <c r="Q42" s="113">
        <f ca="1">+'Prog 01'!Q42</f>
        <v>3918522.3698530002</v>
      </c>
      <c r="R42" s="165">
        <f t="shared" ca="1" si="1"/>
        <v>0.32583115522917711</v>
      </c>
      <c r="S42" s="157"/>
      <c r="T42" s="568"/>
      <c r="U42" s="568"/>
      <c r="V42" s="669"/>
      <c r="W42" s="669"/>
      <c r="X42" s="668"/>
      <c r="Y42" s="668"/>
      <c r="Z42" s="668"/>
      <c r="AA42" s="673"/>
    </row>
    <row r="43" spans="2:27" ht="15" hidden="1" customHeight="1" outlineLevel="3" x14ac:dyDescent="0.25">
      <c r="B43" s="168"/>
      <c r="C43" s="108"/>
      <c r="D43" s="109"/>
      <c r="E43" s="110">
        <v>1</v>
      </c>
      <c r="F43" s="112" t="str">
        <f t="shared" ref="F43:F48" si="13">+CONCATENATE($B$10,"",$C$41,"",$D$42,"00",E43)</f>
        <v>21.02.001.001</v>
      </c>
      <c r="G43" s="1134" t="s">
        <v>98</v>
      </c>
      <c r="H43" s="166">
        <f t="shared" ref="H43:H50" si="14">+VLOOKUP(F43,matriz01,3,FALSE)</f>
        <v>2971337.7</v>
      </c>
      <c r="I43" s="111">
        <f t="shared" ref="I43:I50" si="15">+VLOOKUP(F43,matriz01,4,FALSE)</f>
        <v>2804060.9</v>
      </c>
      <c r="J43" s="333">
        <f t="shared" ref="J43:J55" ca="1" si="16">+VLOOKUP(F43,matriz01,5,FALSE)</f>
        <v>941532.44699999993</v>
      </c>
      <c r="K43" s="260">
        <f t="shared" ca="1" si="0"/>
        <v>0.33577460710642909</v>
      </c>
      <c r="L43" s="1251">
        <f t="shared" ref="L43:L53" si="17">INDEX(coincidenciaP01,MATCH(F43,indicep01,0),7)</f>
        <v>941532.44700000004</v>
      </c>
      <c r="M43" s="260">
        <f t="shared" si="2"/>
        <v>0.33577460710642915</v>
      </c>
      <c r="N43" s="261">
        <f t="shared" ref="N43:N53" si="18">INDEX(coincidenciaP01,MATCH(F43,indicep01,0),9)</f>
        <v>1862528.453</v>
      </c>
      <c r="O43" s="165">
        <f t="shared" si="3"/>
        <v>0.66422539289357085</v>
      </c>
      <c r="P43" s="166">
        <f>+'Prog 01'!P43</f>
        <v>2898859.8434279999</v>
      </c>
      <c r="Q43" s="111">
        <f ca="1">+'Prog 01'!Q43</f>
        <v>855078.11843199993</v>
      </c>
      <c r="R43" s="165">
        <f t="shared" ca="1" si="1"/>
        <v>0.29497049344091125</v>
      </c>
      <c r="T43" s="568"/>
      <c r="U43" s="568"/>
      <c r="X43" s="668"/>
      <c r="Y43" s="668"/>
      <c r="Z43" s="668"/>
      <c r="AA43" s="673"/>
    </row>
    <row r="44" spans="2:27" ht="15" hidden="1" customHeight="1" outlineLevel="3" x14ac:dyDescent="0.25">
      <c r="B44" s="168"/>
      <c r="C44" s="108"/>
      <c r="D44" s="109"/>
      <c r="E44" s="110">
        <v>2</v>
      </c>
      <c r="F44" s="112" t="str">
        <f t="shared" si="13"/>
        <v>21.02.001.002</v>
      </c>
      <c r="G44" s="1134" t="s">
        <v>19</v>
      </c>
      <c r="H44" s="166">
        <f t="shared" si="14"/>
        <v>126648.201</v>
      </c>
      <c r="I44" s="111">
        <f t="shared" si="15"/>
        <v>126648.201</v>
      </c>
      <c r="J44" s="333">
        <f t="shared" ca="1" si="16"/>
        <v>40254.100999999995</v>
      </c>
      <c r="K44" s="260">
        <f t="shared" ca="1" si="0"/>
        <v>0.31784186970014677</v>
      </c>
      <c r="L44" s="1251">
        <f t="shared" si="17"/>
        <v>40254.101000000002</v>
      </c>
      <c r="M44" s="260">
        <f t="shared" si="2"/>
        <v>0.31784186970014683</v>
      </c>
      <c r="N44" s="261">
        <f t="shared" si="18"/>
        <v>86394.1</v>
      </c>
      <c r="O44" s="165">
        <f t="shared" si="3"/>
        <v>0.68215813029985328</v>
      </c>
      <c r="P44" s="166">
        <f>+'Prog 01'!P44</f>
        <v>100952.095898</v>
      </c>
      <c r="Q44" s="111">
        <f ca="1">+'Prog 01'!Q44</f>
        <v>37146.166139000001</v>
      </c>
      <c r="R44" s="165">
        <f t="shared" ca="1" si="1"/>
        <v>0.3679583450801433</v>
      </c>
      <c r="T44" s="568"/>
      <c r="U44" s="568"/>
      <c r="X44" s="668"/>
      <c r="Y44" s="668"/>
      <c r="Z44" s="668"/>
      <c r="AA44" s="673"/>
    </row>
    <row r="45" spans="2:27" ht="15" hidden="1" customHeight="1" outlineLevel="3" x14ac:dyDescent="0.25">
      <c r="B45" s="168"/>
      <c r="C45" s="108"/>
      <c r="D45" s="109"/>
      <c r="E45" s="110">
        <v>3</v>
      </c>
      <c r="F45" s="112" t="str">
        <f t="shared" si="13"/>
        <v>21.02.001.003</v>
      </c>
      <c r="G45" s="1134" t="s">
        <v>20</v>
      </c>
      <c r="H45" s="166">
        <f t="shared" si="14"/>
        <v>1992107.1370000001</v>
      </c>
      <c r="I45" s="111">
        <f t="shared" si="15"/>
        <v>1992107.1370000001</v>
      </c>
      <c r="J45" s="333">
        <f t="shared" ca="1" si="16"/>
        <v>660369.25899999996</v>
      </c>
      <c r="K45" s="260">
        <f t="shared" ca="1" si="0"/>
        <v>0.33149284329881901</v>
      </c>
      <c r="L45" s="1251">
        <f t="shared" si="17"/>
        <v>660369.25899999996</v>
      </c>
      <c r="M45" s="260">
        <f t="shared" si="2"/>
        <v>0.33149284329881901</v>
      </c>
      <c r="N45" s="261">
        <f t="shared" si="18"/>
        <v>1331737.878</v>
      </c>
      <c r="O45" s="165">
        <f t="shared" si="3"/>
        <v>0.66850715670118099</v>
      </c>
      <c r="P45" s="166">
        <f>+'Prog 01'!P45</f>
        <v>1656983.7639810001</v>
      </c>
      <c r="Q45" s="111">
        <f ca="1">+'Prog 01'!Q45</f>
        <v>581956.86930299993</v>
      </c>
      <c r="R45" s="165">
        <f t="shared" ca="1" si="1"/>
        <v>0.35121458758582802</v>
      </c>
      <c r="T45" s="568"/>
      <c r="U45" s="568"/>
      <c r="X45" s="668"/>
      <c r="Y45" s="668"/>
      <c r="Z45" s="668"/>
      <c r="AA45" s="673"/>
    </row>
    <row r="46" spans="2:27" ht="15" hidden="1" customHeight="1" outlineLevel="3" x14ac:dyDescent="0.25">
      <c r="B46" s="168"/>
      <c r="C46" s="108"/>
      <c r="D46" s="109"/>
      <c r="E46" s="110">
        <v>4</v>
      </c>
      <c r="F46" s="112" t="str">
        <f t="shared" si="13"/>
        <v>21.02.001.004</v>
      </c>
      <c r="G46" s="1134" t="s">
        <v>21</v>
      </c>
      <c r="H46" s="166">
        <f t="shared" si="14"/>
        <v>278309.69799999997</v>
      </c>
      <c r="I46" s="111">
        <f t="shared" si="15"/>
        <v>278309.69799999997</v>
      </c>
      <c r="J46" s="333">
        <f t="shared" ca="1" si="16"/>
        <v>90436.581000000006</v>
      </c>
      <c r="K46" s="260">
        <f t="shared" ca="1" si="0"/>
        <v>0.32494944175463125</v>
      </c>
      <c r="L46" s="1251">
        <f t="shared" si="17"/>
        <v>90436.581000000006</v>
      </c>
      <c r="M46" s="260">
        <f t="shared" si="2"/>
        <v>0.32494944175463125</v>
      </c>
      <c r="N46" s="261">
        <f t="shared" si="18"/>
        <v>187873.117</v>
      </c>
      <c r="O46" s="165">
        <f t="shared" si="3"/>
        <v>0.67505055824536886</v>
      </c>
      <c r="P46" s="166">
        <f>+'Prog 01'!P46</f>
        <v>231712.34137499999</v>
      </c>
      <c r="Q46" s="111">
        <f ca="1">+'Prog 01'!Q46</f>
        <v>80639.346891000008</v>
      </c>
      <c r="R46" s="165">
        <f t="shared" ca="1" si="1"/>
        <v>0.34801489818142411</v>
      </c>
      <c r="T46" s="568"/>
      <c r="U46" s="568"/>
      <c r="X46" s="668"/>
      <c r="Y46" s="668"/>
      <c r="Z46" s="668"/>
      <c r="AA46" s="673"/>
    </row>
    <row r="47" spans="2:27" ht="15" hidden="1" customHeight="1" outlineLevel="3" x14ac:dyDescent="0.25">
      <c r="B47" s="168"/>
      <c r="C47" s="108"/>
      <c r="D47" s="109"/>
      <c r="E47" s="110">
        <v>6</v>
      </c>
      <c r="F47" s="112" t="str">
        <f t="shared" si="13"/>
        <v>21.02.001.006</v>
      </c>
      <c r="G47" s="1134" t="s">
        <v>99</v>
      </c>
      <c r="H47" s="166">
        <f t="shared" si="14"/>
        <v>24.742000000000001</v>
      </c>
      <c r="I47" s="111">
        <f t="shared" si="15"/>
        <v>24.742000000000001</v>
      </c>
      <c r="J47" s="333">
        <f t="shared" ca="1" si="16"/>
        <v>0</v>
      </c>
      <c r="K47" s="260">
        <f t="shared" ca="1" si="0"/>
        <v>0</v>
      </c>
      <c r="L47" s="1251">
        <f t="shared" si="17"/>
        <v>0</v>
      </c>
      <c r="M47" s="260">
        <f t="shared" si="2"/>
        <v>0</v>
      </c>
      <c r="N47" s="111">
        <f t="shared" si="18"/>
        <v>24.742000000000001</v>
      </c>
      <c r="O47" s="165">
        <f t="shared" si="3"/>
        <v>1</v>
      </c>
      <c r="P47" s="166">
        <f>+'Prog 01'!P47</f>
        <v>22.83324</v>
      </c>
      <c r="Q47" s="111">
        <f ca="1">+'Prog 01'!Q47</f>
        <v>22.833239999999996</v>
      </c>
      <c r="R47" s="165">
        <f t="shared" ca="1" si="1"/>
        <v>0.99999999999999989</v>
      </c>
      <c r="T47" s="568"/>
      <c r="U47" s="568"/>
      <c r="X47" s="668"/>
      <c r="Y47" s="668"/>
      <c r="Z47" s="668"/>
      <c r="AA47" s="673"/>
    </row>
    <row r="48" spans="2:27" ht="15" hidden="1" customHeight="1" outlineLevel="3" x14ac:dyDescent="0.25">
      <c r="B48" s="168"/>
      <c r="C48" s="108"/>
      <c r="D48" s="109"/>
      <c r="E48" s="110">
        <v>7</v>
      </c>
      <c r="F48" s="112" t="str">
        <f t="shared" si="13"/>
        <v>21.02.001.007</v>
      </c>
      <c r="G48" s="1134" t="s">
        <v>100</v>
      </c>
      <c r="H48" s="166">
        <f t="shared" si="14"/>
        <v>144924.04</v>
      </c>
      <c r="I48" s="111">
        <f t="shared" si="15"/>
        <v>144924.04</v>
      </c>
      <c r="J48" s="333">
        <f t="shared" ca="1" si="16"/>
        <v>43345.576000000001</v>
      </c>
      <c r="K48" s="260">
        <f t="shared" ca="1" si="0"/>
        <v>0.29909168968792205</v>
      </c>
      <c r="L48" s="1251">
        <f t="shared" si="17"/>
        <v>43345.576000000001</v>
      </c>
      <c r="M48" s="260">
        <f t="shared" si="2"/>
        <v>0.29909168968792205</v>
      </c>
      <c r="N48" s="261">
        <f t="shared" si="18"/>
        <v>101578.46400000001</v>
      </c>
      <c r="O48" s="165">
        <f t="shared" si="3"/>
        <v>0.70090831031207801</v>
      </c>
      <c r="P48" s="167">
        <f>+'Prog 01'!P48</f>
        <v>133745.91164800001</v>
      </c>
      <c r="Q48" s="111">
        <f ca="1">+'Prog 01'!Q48</f>
        <v>30892.934700999998</v>
      </c>
      <c r="R48" s="165">
        <f t="shared" ca="1" si="1"/>
        <v>0.23098227318010106</v>
      </c>
      <c r="T48" s="568"/>
      <c r="U48" s="568"/>
      <c r="X48" s="668"/>
      <c r="Y48" s="668"/>
      <c r="Z48" s="668"/>
      <c r="AA48" s="673"/>
    </row>
    <row r="49" spans="2:27" ht="15" hidden="1" customHeight="1" outlineLevel="3" x14ac:dyDescent="0.25">
      <c r="B49" s="168"/>
      <c r="C49" s="108"/>
      <c r="D49" s="109"/>
      <c r="E49" s="110">
        <v>13</v>
      </c>
      <c r="F49" s="112" t="str">
        <f t="shared" ref="F49:F55" si="19">+CONCATENATE($B$10,"",$C$41,"",$D$42,"0",E49)</f>
        <v>21.02.001.013</v>
      </c>
      <c r="G49" s="1134" t="s">
        <v>24</v>
      </c>
      <c r="H49" s="166">
        <f t="shared" si="14"/>
        <v>2269566.5950000002</v>
      </c>
      <c r="I49" s="111">
        <f t="shared" si="15"/>
        <v>2269566.5950000002</v>
      </c>
      <c r="J49" s="333">
        <f t="shared" ca="1" si="16"/>
        <v>709983.174</v>
      </c>
      <c r="K49" s="260">
        <f t="shared" ca="1" si="0"/>
        <v>0.31282764540337266</v>
      </c>
      <c r="L49" s="1251">
        <f t="shared" si="17"/>
        <v>709983.174</v>
      </c>
      <c r="M49" s="260">
        <f t="shared" si="2"/>
        <v>0.31282764540337266</v>
      </c>
      <c r="N49" s="261">
        <f t="shared" si="18"/>
        <v>1559583.4210000001</v>
      </c>
      <c r="O49" s="165">
        <f t="shared" si="3"/>
        <v>0.68717235459662729</v>
      </c>
      <c r="P49" s="167">
        <f>+'Prog 01'!P49</f>
        <v>1859589.7685739999</v>
      </c>
      <c r="Q49" s="111">
        <f ca="1">+'Prog 01'!Q49</f>
        <v>635486.91093699995</v>
      </c>
      <c r="R49" s="165">
        <f t="shared" ca="1" si="1"/>
        <v>0.34173500073853069</v>
      </c>
      <c r="T49" s="568"/>
      <c r="U49" s="568"/>
      <c r="X49" s="668"/>
      <c r="Y49" s="668"/>
      <c r="Z49" s="668"/>
      <c r="AA49" s="673"/>
    </row>
    <row r="50" spans="2:27" ht="15" hidden="1" customHeight="1" outlineLevel="3" x14ac:dyDescent="0.25">
      <c r="B50" s="168"/>
      <c r="C50" s="108"/>
      <c r="D50" s="109"/>
      <c r="E50" s="110">
        <v>14</v>
      </c>
      <c r="F50" s="112" t="str">
        <f t="shared" si="19"/>
        <v>21.02.001.014</v>
      </c>
      <c r="G50" s="1134" t="s">
        <v>25</v>
      </c>
      <c r="H50" s="166">
        <f t="shared" si="14"/>
        <v>3085589.9109999998</v>
      </c>
      <c r="I50" s="111">
        <f t="shared" si="15"/>
        <v>3085589.9109999998</v>
      </c>
      <c r="J50" s="333">
        <f t="shared" ca="1" si="16"/>
        <v>1499157.915</v>
      </c>
      <c r="K50" s="260">
        <f t="shared" ca="1" si="0"/>
        <v>0.48585779648020117</v>
      </c>
      <c r="L50" s="1251">
        <f t="shared" si="17"/>
        <v>1499157.915</v>
      </c>
      <c r="M50" s="260">
        <f t="shared" si="2"/>
        <v>0.48585779648020117</v>
      </c>
      <c r="N50" s="261">
        <f t="shared" si="18"/>
        <v>1586431.996</v>
      </c>
      <c r="O50" s="165">
        <f t="shared" si="3"/>
        <v>0.51414220351979889</v>
      </c>
      <c r="P50" s="167">
        <f>+'Prog 01'!P50</f>
        <v>3801761.2422849997</v>
      </c>
      <c r="Q50" s="111">
        <f ca="1">+'Prog 01'!Q50</f>
        <v>1349132.2543249999</v>
      </c>
      <c r="R50" s="165">
        <f t="shared" ca="1" si="1"/>
        <v>0.3548703267631087</v>
      </c>
      <c r="T50" s="568"/>
      <c r="U50" s="568"/>
      <c r="X50" s="668"/>
      <c r="Y50" s="668"/>
      <c r="Z50" s="668"/>
      <c r="AA50" s="673"/>
    </row>
    <row r="51" spans="2:27" ht="15" hidden="1" customHeight="1" outlineLevel="3" x14ac:dyDescent="0.25">
      <c r="B51" s="168"/>
      <c r="C51" s="108"/>
      <c r="D51" s="109"/>
      <c r="E51" s="110">
        <v>21</v>
      </c>
      <c r="F51" s="112" t="str">
        <f t="shared" si="19"/>
        <v>21.02.001.021</v>
      </c>
      <c r="G51" s="1134" t="s">
        <v>26</v>
      </c>
      <c r="H51" s="166">
        <f>+VLOOKUP(F51,matriz01,3,FALSE)</f>
        <v>1431430.2450000001</v>
      </c>
      <c r="I51" s="111">
        <f>+VLOOKUP(F51,matriz01,4,FALSE)</f>
        <v>1431430.2450000001</v>
      </c>
      <c r="J51" s="333">
        <f t="shared" ca="1" si="16"/>
        <v>353260.71600000001</v>
      </c>
      <c r="K51" s="260">
        <f t="shared" ca="1" si="0"/>
        <v>0.24678863481747934</v>
      </c>
      <c r="L51" s="1251">
        <f t="shared" si="17"/>
        <v>353260.71600000001</v>
      </c>
      <c r="M51" s="260">
        <f t="shared" si="2"/>
        <v>0.24678863481747934</v>
      </c>
      <c r="N51" s="261">
        <f t="shared" si="18"/>
        <v>1078169.5290000001</v>
      </c>
      <c r="O51" s="165">
        <f t="shared" si="3"/>
        <v>0.75321136518252063</v>
      </c>
      <c r="P51" s="166">
        <f>+'Prog 01'!P51</f>
        <v>1210960.398672</v>
      </c>
      <c r="Q51" s="111">
        <v>0</v>
      </c>
      <c r="R51" s="165">
        <f t="shared" si="1"/>
        <v>0</v>
      </c>
      <c r="T51" s="568"/>
      <c r="U51" s="568"/>
      <c r="X51" s="668"/>
      <c r="Y51" s="668"/>
      <c r="Z51" s="668"/>
      <c r="AA51" s="673"/>
    </row>
    <row r="52" spans="2:27" ht="15" hidden="1" customHeight="1" outlineLevel="3" x14ac:dyDescent="0.25">
      <c r="B52" s="168"/>
      <c r="C52" s="108"/>
      <c r="D52" s="109"/>
      <c r="E52" s="110">
        <v>37</v>
      </c>
      <c r="F52" s="112" t="str">
        <f t="shared" si="19"/>
        <v>21.02.001.037</v>
      </c>
      <c r="G52" s="1134" t="s">
        <v>40</v>
      </c>
      <c r="H52" s="166">
        <f>+VLOOKUP(F52,matriz01,3,FALSE)</f>
        <v>50666.758999999998</v>
      </c>
      <c r="I52" s="111">
        <f>+VLOOKUP(F52,matriz01,4,FALSE)</f>
        <v>50666.758999999998</v>
      </c>
      <c r="J52" s="333">
        <f t="shared" ca="1" si="16"/>
        <v>12566.007</v>
      </c>
      <c r="K52" s="260">
        <f t="shared" ca="1" si="0"/>
        <v>0.2480128440818565</v>
      </c>
      <c r="L52" s="1251">
        <f t="shared" si="17"/>
        <v>12566.007</v>
      </c>
      <c r="M52" s="260">
        <f t="shared" si="2"/>
        <v>0.2480128440818565</v>
      </c>
      <c r="N52" s="261">
        <f t="shared" si="18"/>
        <v>38100.752</v>
      </c>
      <c r="O52" s="165">
        <f t="shared" si="3"/>
        <v>0.75198715591814358</v>
      </c>
      <c r="P52" s="166">
        <f>+'Prog 01'!P52</f>
        <v>41342.037613</v>
      </c>
      <c r="Q52" s="111">
        <f ca="1">+'Prog 01'!Q52</f>
        <v>11621.548328999999</v>
      </c>
      <c r="R52" s="165">
        <f t="shared" ca="1" si="1"/>
        <v>0.28110729417327035</v>
      </c>
      <c r="T52" s="568"/>
      <c r="U52" s="568"/>
      <c r="X52" s="668"/>
      <c r="Y52" s="668"/>
      <c r="Z52" s="668"/>
      <c r="AA52" s="673"/>
    </row>
    <row r="53" spans="2:27" ht="15" hidden="1" customHeight="1" outlineLevel="3" x14ac:dyDescent="0.25">
      <c r="B53" s="168"/>
      <c r="C53" s="108"/>
      <c r="D53" s="109"/>
      <c r="E53" s="110">
        <v>38</v>
      </c>
      <c r="F53" s="112" t="str">
        <f t="shared" si="19"/>
        <v>21.02.001.038</v>
      </c>
      <c r="G53" s="1134" t="s">
        <v>101</v>
      </c>
      <c r="H53" s="166">
        <f>+VLOOKUP(F53,matriz01,3,FALSE)</f>
        <v>55235.101999999999</v>
      </c>
      <c r="I53" s="111">
        <f>+VLOOKUP(F53,matriz01,4,FALSE)</f>
        <v>55235.101999999999</v>
      </c>
      <c r="J53" s="333">
        <f t="shared" ca="1" si="16"/>
        <v>0</v>
      </c>
      <c r="K53" s="260">
        <f t="shared" ca="1" si="0"/>
        <v>0</v>
      </c>
      <c r="L53" s="1251">
        <f t="shared" si="17"/>
        <v>0</v>
      </c>
      <c r="M53" s="260">
        <f t="shared" si="2"/>
        <v>0</v>
      </c>
      <c r="N53" s="261">
        <f t="shared" si="18"/>
        <v>55235.101999999999</v>
      </c>
      <c r="O53" s="165">
        <f t="shared" si="3"/>
        <v>1</v>
      </c>
      <c r="P53" s="166">
        <f>+'Prog 01'!P53</f>
        <v>90305.766091999991</v>
      </c>
      <c r="Q53" s="111">
        <f ca="1">+'Prog 01'!Q53</f>
        <v>15258.531608000001</v>
      </c>
      <c r="R53" s="165">
        <f t="shared" ca="1" si="1"/>
        <v>0.16896519755399897</v>
      </c>
      <c r="T53" s="568"/>
      <c r="U53" s="568"/>
      <c r="X53" s="668"/>
      <c r="Y53" s="668"/>
      <c r="Z53" s="668"/>
      <c r="AA53" s="673"/>
    </row>
    <row r="54" spans="2:27" ht="15" hidden="1" customHeight="1" outlineLevel="3" x14ac:dyDescent="0.25">
      <c r="B54" s="168"/>
      <c r="C54" s="108"/>
      <c r="D54" s="109"/>
      <c r="E54" s="110">
        <v>998</v>
      </c>
      <c r="F54" s="112" t="str">
        <f t="shared" si="19"/>
        <v>21.02.001.0998</v>
      </c>
      <c r="G54" s="1134" t="s">
        <v>998</v>
      </c>
      <c r="H54" s="166">
        <f>+'Prog 01'!H54</f>
        <v>12936</v>
      </c>
      <c r="I54" s="111">
        <f>+'Prog 01'!I54</f>
        <v>156780.79999999999</v>
      </c>
      <c r="J54" s="333">
        <f ca="1">+'Prog 01'!J54</f>
        <v>52448</v>
      </c>
      <c r="K54" s="260">
        <f ca="1">+'Prog 01'!K54</f>
        <v>0.33453075886843292</v>
      </c>
      <c r="L54" s="111">
        <f>+'Prog 01'!L54</f>
        <v>52448</v>
      </c>
      <c r="M54" s="260">
        <f>+'Prog 01'!M54</f>
        <v>0.33453075886843292</v>
      </c>
      <c r="N54" s="111">
        <f>+'Prog 01'!N54</f>
        <v>104332.8</v>
      </c>
      <c r="O54" s="165">
        <f>+'Prog 01'!O54</f>
        <v>0.66546924113156725</v>
      </c>
      <c r="P54" s="166">
        <f>+'Prog 01'!P54</f>
        <v>0</v>
      </c>
      <c r="Q54" s="111">
        <f ca="1">+'Prog 01'!Q54</f>
        <v>0</v>
      </c>
      <c r="R54" s="165" t="str">
        <f t="shared" ca="1" si="1"/>
        <v>0.00%</v>
      </c>
      <c r="T54" s="568"/>
      <c r="U54" s="568"/>
      <c r="X54" s="668"/>
      <c r="Y54" s="668"/>
      <c r="Z54" s="668"/>
      <c r="AA54" s="673"/>
    </row>
    <row r="55" spans="2:27" ht="15" hidden="1" customHeight="1" outlineLevel="3" x14ac:dyDescent="0.25">
      <c r="B55" s="168"/>
      <c r="C55" s="108"/>
      <c r="D55" s="109"/>
      <c r="E55" s="110">
        <v>999</v>
      </c>
      <c r="F55" s="112" t="str">
        <f t="shared" si="19"/>
        <v>21.02.001.0999</v>
      </c>
      <c r="G55" s="1134" t="s">
        <v>930</v>
      </c>
      <c r="H55" s="166">
        <v>0</v>
      </c>
      <c r="I55" s="111">
        <f>+'Prog 01'!I55</f>
        <v>0</v>
      </c>
      <c r="J55" s="333">
        <f t="shared" ca="1" si="16"/>
        <v>0</v>
      </c>
      <c r="K55" s="260" t="str">
        <f t="shared" ca="1" si="0"/>
        <v>0.00%</v>
      </c>
      <c r="L55" s="1251">
        <f>+'Prog 01'!L55</f>
        <v>0</v>
      </c>
      <c r="M55" s="260">
        <f t="shared" si="2"/>
        <v>0</v>
      </c>
      <c r="N55" s="111">
        <f>+'Prog 01'!N55</f>
        <v>0</v>
      </c>
      <c r="O55" s="165">
        <f t="shared" si="3"/>
        <v>0</v>
      </c>
      <c r="P55" s="166">
        <f>+'Prog 01'!P55</f>
        <v>0</v>
      </c>
      <c r="Q55" s="111">
        <f ca="1">+'Prog 01'!Q55</f>
        <v>0</v>
      </c>
      <c r="R55" s="165" t="str">
        <f t="shared" ca="1" si="1"/>
        <v>0.00%</v>
      </c>
      <c r="T55" s="568"/>
      <c r="U55" s="568"/>
      <c r="X55" s="668"/>
      <c r="Y55" s="668"/>
      <c r="Z55" s="668"/>
      <c r="AA55" s="673"/>
    </row>
    <row r="56" spans="2:27" s="158" customFormat="1" ht="15" hidden="1" customHeight="1" outlineLevel="2" x14ac:dyDescent="0.25">
      <c r="B56" s="168"/>
      <c r="C56" s="108"/>
      <c r="D56" s="109" t="s">
        <v>158</v>
      </c>
      <c r="E56" s="110"/>
      <c r="F56" s="110"/>
      <c r="G56" s="1133" t="s">
        <v>28</v>
      </c>
      <c r="H56" s="167">
        <f>SUM(H57:H58)</f>
        <v>584702.25399999996</v>
      </c>
      <c r="I56" s="111">
        <f>SUM(I57:I58)</f>
        <v>584702.25399999996</v>
      </c>
      <c r="J56" s="338">
        <f ca="1">SUM(J57:J58)</f>
        <v>172885.60400000005</v>
      </c>
      <c r="K56" s="260">
        <f t="shared" ca="1" si="0"/>
        <v>0.29568143925780055</v>
      </c>
      <c r="L56" s="1251">
        <f>SUM(L57:L58)</f>
        <v>172885.60400000002</v>
      </c>
      <c r="M56" s="260">
        <f t="shared" si="2"/>
        <v>0.29568143925780049</v>
      </c>
      <c r="N56" s="261">
        <f>SUM(N57:N58)</f>
        <v>411816.65</v>
      </c>
      <c r="O56" s="165">
        <f t="shared" si="3"/>
        <v>0.70431856074219967</v>
      </c>
      <c r="P56" s="265">
        <f>SUM(P57:P58)</f>
        <v>517280.61360899999</v>
      </c>
      <c r="Q56" s="113">
        <f ca="1">SUM(Q57:Q58)</f>
        <v>165164.76772499998</v>
      </c>
      <c r="R56" s="165">
        <f t="shared" ca="1" si="1"/>
        <v>0.31929433150928804</v>
      </c>
      <c r="S56" s="157"/>
      <c r="T56" s="568"/>
      <c r="U56" s="568"/>
      <c r="V56" s="669"/>
      <c r="W56" s="669"/>
      <c r="X56" s="668"/>
      <c r="Y56" s="668"/>
      <c r="Z56" s="668"/>
      <c r="AA56" s="673"/>
    </row>
    <row r="57" spans="2:27" ht="15" hidden="1" customHeight="1" outlineLevel="3" x14ac:dyDescent="0.25">
      <c r="B57" s="168"/>
      <c r="C57" s="108"/>
      <c r="D57" s="109"/>
      <c r="E57" s="110">
        <v>1</v>
      </c>
      <c r="F57" s="112" t="str">
        <f>+CONCATENATE($B$10,"",$C$41,"",$D$56,"00",E57)</f>
        <v>21.02.002.001</v>
      </c>
      <c r="G57" s="1134" t="s">
        <v>29</v>
      </c>
      <c r="H57" s="166">
        <f>+VLOOKUP(F57,matriz01,3,FALSE)</f>
        <v>45733.139000000003</v>
      </c>
      <c r="I57" s="111">
        <f>+VLOOKUP(F57,matriz01,4,FALSE)</f>
        <v>45733.139000000003</v>
      </c>
      <c r="J57" s="333">
        <f ca="1">+VLOOKUP(F57,matriz01,5,FALSE)</f>
        <v>10024.950000000001</v>
      </c>
      <c r="K57" s="260">
        <f t="shared" ca="1" si="0"/>
        <v>0.21920537752722374</v>
      </c>
      <c r="L57" s="1251">
        <f>INDEX(coincidenciaP01,MATCH(F57,indicep01,0),7)</f>
        <v>10024.950000000001</v>
      </c>
      <c r="M57" s="260">
        <f t="shared" si="2"/>
        <v>0.21920537752722374</v>
      </c>
      <c r="N57" s="111">
        <f>INDEX(coincidenciaP01,MATCH(F57,indicep01,0),9)</f>
        <v>35708.188999999998</v>
      </c>
      <c r="O57" s="165">
        <f t="shared" si="3"/>
        <v>0.7807946224727762</v>
      </c>
      <c r="P57" s="167">
        <f>+'Prog 01'!P57</f>
        <v>42205.698537999997</v>
      </c>
      <c r="Q57" s="111">
        <f ca="1">+'Prog 01'!Q57</f>
        <v>10884.39716</v>
      </c>
      <c r="R57" s="165">
        <f t="shared" ca="1" si="1"/>
        <v>0.25788927886598556</v>
      </c>
      <c r="T57" s="568"/>
      <c r="U57" s="568"/>
      <c r="X57" s="668"/>
      <c r="Y57" s="668"/>
      <c r="Z57" s="668"/>
      <c r="AA57" s="673"/>
    </row>
    <row r="58" spans="2:27" ht="15" hidden="1" customHeight="1" outlineLevel="3" x14ac:dyDescent="0.25">
      <c r="B58" s="168"/>
      <c r="C58" s="108"/>
      <c r="D58" s="109"/>
      <c r="E58" s="110">
        <v>2</v>
      </c>
      <c r="F58" s="112" t="str">
        <f>+CONCATENATE($B$10,"",$C$41,"",$D$56,"00",E58)</f>
        <v>21.02.002.002</v>
      </c>
      <c r="G58" s="1134" t="s">
        <v>30</v>
      </c>
      <c r="H58" s="166">
        <f>+VLOOKUP(F58,matriz01,3,FALSE)</f>
        <v>538969.11499999999</v>
      </c>
      <c r="I58" s="111">
        <f>+VLOOKUP(F58,matriz01,4,FALSE)</f>
        <v>538969.11499999999</v>
      </c>
      <c r="J58" s="333">
        <f ca="1">+VLOOKUP(F58,matriz01,5,FALSE)</f>
        <v>162860.65400000004</v>
      </c>
      <c r="K58" s="260">
        <f t="shared" ca="1" si="0"/>
        <v>0.30217066148586275</v>
      </c>
      <c r="L58" s="1251">
        <f>INDEX(coincidenciaP01,MATCH(F58,indicep01,0),7)</f>
        <v>162860.65400000001</v>
      </c>
      <c r="M58" s="260">
        <f t="shared" si="2"/>
        <v>0.30217066148586269</v>
      </c>
      <c r="N58" s="261">
        <f>INDEX(coincidenciaP01,MATCH(F58,indicep01,0),9)</f>
        <v>376108.46100000001</v>
      </c>
      <c r="O58" s="165">
        <f t="shared" si="3"/>
        <v>0.69782933851413731</v>
      </c>
      <c r="P58" s="167">
        <f>+'Prog 01'!P58</f>
        <v>475074.915071</v>
      </c>
      <c r="Q58" s="111">
        <f ca="1">+'Prog 01'!Q58</f>
        <v>154280.37056499999</v>
      </c>
      <c r="R58" s="165">
        <f t="shared" ca="1" si="1"/>
        <v>0.32474956195475563</v>
      </c>
      <c r="T58" s="568"/>
      <c r="U58" s="568"/>
      <c r="X58" s="668"/>
      <c r="Y58" s="668"/>
      <c r="Z58" s="668"/>
      <c r="AA58" s="673"/>
    </row>
    <row r="59" spans="2:27" s="158" customFormat="1" ht="15" hidden="1" customHeight="1" outlineLevel="2" x14ac:dyDescent="0.25">
      <c r="B59" s="168"/>
      <c r="C59" s="108"/>
      <c r="D59" s="109" t="s">
        <v>159</v>
      </c>
      <c r="E59" s="110"/>
      <c r="F59" s="110"/>
      <c r="G59" s="1133" t="s">
        <v>31</v>
      </c>
      <c r="H59" s="166">
        <f>SUM(H60:H61)</f>
        <v>1366172.385</v>
      </c>
      <c r="I59" s="111">
        <f>SUM(I60:I62)</f>
        <v>1366172.385</v>
      </c>
      <c r="J59" s="333">
        <f t="shared" ref="J59:N59" ca="1" si="20">SUM(J60:J62)</f>
        <v>343288.25199999998</v>
      </c>
      <c r="K59" s="260">
        <f t="shared" ca="1" si="0"/>
        <v>0.25127740523023379</v>
      </c>
      <c r="L59" s="111">
        <f t="shared" si="20"/>
        <v>343288.25199999998</v>
      </c>
      <c r="M59" s="260">
        <f t="shared" si="2"/>
        <v>0.25127740523023379</v>
      </c>
      <c r="N59" s="111">
        <f t="shared" si="20"/>
        <v>1022884.1329999999</v>
      </c>
      <c r="O59" s="165">
        <f t="shared" si="3"/>
        <v>0.7487225947697661</v>
      </c>
      <c r="P59" s="166">
        <f>SUM(P60:P62)</f>
        <v>1202457.9357699999</v>
      </c>
      <c r="Q59" s="111">
        <f ca="1">SUM(Q60:Q62)</f>
        <v>317635.30425399996</v>
      </c>
      <c r="R59" s="165">
        <f t="shared" ca="1" si="1"/>
        <v>0.2641550234774746</v>
      </c>
      <c r="S59" s="157"/>
      <c r="T59" s="568"/>
      <c r="U59" s="568"/>
      <c r="V59" s="669"/>
      <c r="W59" s="669"/>
      <c r="X59" s="668"/>
      <c r="Y59" s="668"/>
      <c r="Z59" s="668"/>
      <c r="AA59" s="673"/>
    </row>
    <row r="60" spans="2:27" ht="15" hidden="1" customHeight="1" outlineLevel="3" x14ac:dyDescent="0.25">
      <c r="B60" s="168"/>
      <c r="C60" s="108"/>
      <c r="D60" s="109"/>
      <c r="E60" s="110">
        <v>1</v>
      </c>
      <c r="F60" s="112" t="str">
        <f>+CONCATENATE($B$10,"",$C$41,"",$D$59,"00",E60)</f>
        <v>21.02.003.001</v>
      </c>
      <c r="G60" s="1134" t="s">
        <v>32</v>
      </c>
      <c r="H60" s="166">
        <f>+VLOOKUP(F60,matriz01,3,FALSE)</f>
        <v>726222.69299999997</v>
      </c>
      <c r="I60" s="111">
        <f>+VLOOKUP(F60,matriz01,4,FALSE)</f>
        <v>726222.69299999997</v>
      </c>
      <c r="J60" s="333">
        <f ca="1">+VLOOKUP(F60,matriz01,5,FALSE)</f>
        <v>178985.28700000001</v>
      </c>
      <c r="K60" s="260">
        <f t="shared" ca="1" si="0"/>
        <v>0.2464606087433294</v>
      </c>
      <c r="L60" s="1251">
        <f>INDEX(coincidenciaP01,MATCH(F60,indicep01,0),7)</f>
        <v>178985.28700000001</v>
      </c>
      <c r="M60" s="260">
        <f t="shared" si="2"/>
        <v>0.2464606087433294</v>
      </c>
      <c r="N60" s="261">
        <f>INDEX(coincidenciaP01,MATCH(F60,indicep01,0),9)</f>
        <v>547237.40599999996</v>
      </c>
      <c r="O60" s="165">
        <f t="shared" si="3"/>
        <v>0.75353939125667058</v>
      </c>
      <c r="P60" s="167">
        <f>+'Prog 01'!P60</f>
        <v>611868.17133899988</v>
      </c>
      <c r="Q60" s="111">
        <f ca="1">+'Prog 01'!Q60</f>
        <v>162785.41549400002</v>
      </c>
      <c r="R60" s="165">
        <f t="shared" ca="1" si="1"/>
        <v>0.26604654910838671</v>
      </c>
      <c r="T60" s="568"/>
      <c r="U60" s="568"/>
      <c r="X60" s="668"/>
      <c r="Y60" s="668"/>
      <c r="Z60" s="668"/>
      <c r="AA60" s="673"/>
    </row>
    <row r="61" spans="2:27" ht="15" hidden="1" customHeight="1" outlineLevel="3" x14ac:dyDescent="0.25">
      <c r="B61" s="168"/>
      <c r="C61" s="108"/>
      <c r="D61" s="109"/>
      <c r="E61" s="110">
        <v>2</v>
      </c>
      <c r="F61" s="112" t="str">
        <f>+CONCATENATE($B$10,"",$C$41,"",$D$59,"00",E61)</f>
        <v>21.02.003.002</v>
      </c>
      <c r="G61" s="1134" t="s">
        <v>33</v>
      </c>
      <c r="H61" s="166">
        <f>+VLOOKUP(F61,matriz01,3,FALSE)</f>
        <v>639949.69200000004</v>
      </c>
      <c r="I61" s="111">
        <f>+VLOOKUP(F61,matriz01,4,FALSE)</f>
        <v>639949.69200000004</v>
      </c>
      <c r="J61" s="333">
        <f ca="1">+VLOOKUP(F61,matriz01,5,FALSE)</f>
        <v>164302.965</v>
      </c>
      <c r="K61" s="260">
        <f t="shared" ca="1" si="0"/>
        <v>0.25674356446131391</v>
      </c>
      <c r="L61" s="1251">
        <f>INDEX(coincidenciaP01,MATCH(F61,indicep01,0),7)</f>
        <v>164302.965</v>
      </c>
      <c r="M61" s="260">
        <f t="shared" si="2"/>
        <v>0.25674356446131391</v>
      </c>
      <c r="N61" s="261">
        <f>INDEX(coincidenciaP01,MATCH(F61,indicep01,0),9)</f>
        <v>475646.72700000001</v>
      </c>
      <c r="O61" s="165">
        <f t="shared" si="3"/>
        <v>0.74325643553868603</v>
      </c>
      <c r="P61" s="166">
        <f>+'Prog 01'!P61</f>
        <v>590589.76443099999</v>
      </c>
      <c r="Q61" s="111">
        <f ca="1">+'Prog 01'!Q61</f>
        <v>154849.88875999997</v>
      </c>
      <c r="R61" s="165">
        <f t="shared" ca="1" si="1"/>
        <v>0.26219534791495941</v>
      </c>
      <c r="T61" s="568"/>
      <c r="U61" s="568"/>
      <c r="X61" s="668"/>
      <c r="Y61" s="668"/>
      <c r="Z61" s="668"/>
      <c r="AA61" s="673"/>
    </row>
    <row r="62" spans="2:27" ht="15" hidden="1" customHeight="1" outlineLevel="3" x14ac:dyDescent="0.25">
      <c r="B62" s="168"/>
      <c r="C62" s="108"/>
      <c r="D62" s="109"/>
      <c r="E62" s="110">
        <v>3</v>
      </c>
      <c r="F62" s="112" t="str">
        <f>+CONCATENATE($B$10,"",$C$41,"",$D$59,"00",E62)</f>
        <v>21.02.003.003</v>
      </c>
      <c r="G62" s="1134" t="s">
        <v>931</v>
      </c>
      <c r="H62" s="166">
        <v>0</v>
      </c>
      <c r="I62" s="111">
        <f>+'Prog 01'!I62</f>
        <v>0</v>
      </c>
      <c r="J62" s="333">
        <f ca="1">+VLOOKUP(F62,matriz01,5,FALSE)</f>
        <v>0</v>
      </c>
      <c r="K62" s="260" t="str">
        <f t="shared" ca="1" si="0"/>
        <v>0.00%</v>
      </c>
      <c r="L62" s="1251">
        <f>+'Prog 01'!L62</f>
        <v>0</v>
      </c>
      <c r="M62" s="260">
        <f t="shared" si="2"/>
        <v>0</v>
      </c>
      <c r="N62" s="1251">
        <f>+'Prog 01'!N62</f>
        <v>0</v>
      </c>
      <c r="O62" s="165">
        <f t="shared" si="3"/>
        <v>0</v>
      </c>
      <c r="P62" s="166">
        <v>0</v>
      </c>
      <c r="Q62" s="111">
        <v>0</v>
      </c>
      <c r="R62" s="165" t="str">
        <f t="shared" si="1"/>
        <v>0.00%</v>
      </c>
      <c r="T62" s="568"/>
      <c r="U62" s="568"/>
      <c r="X62" s="668"/>
      <c r="Y62" s="668"/>
      <c r="Z62" s="668"/>
      <c r="AA62" s="673"/>
    </row>
    <row r="63" spans="2:27" s="158" customFormat="1" ht="15" hidden="1" customHeight="1" outlineLevel="2" x14ac:dyDescent="0.25">
      <c r="B63" s="168"/>
      <c r="C63" s="108"/>
      <c r="D63" s="109" t="s">
        <v>160</v>
      </c>
      <c r="E63" s="110"/>
      <c r="F63" s="110"/>
      <c r="G63" s="1133" t="s">
        <v>34</v>
      </c>
      <c r="H63" s="166">
        <f>SUM(H64:H67)</f>
        <v>290726.53200000001</v>
      </c>
      <c r="I63" s="111">
        <f>SUM(I64:I67)</f>
        <v>292908.87900000002</v>
      </c>
      <c r="J63" s="333">
        <f ca="1">SUM(J64:J66)</f>
        <v>147590.48699999999</v>
      </c>
      <c r="K63" s="260">
        <f t="shared" ca="1" si="0"/>
        <v>0.50387850140930679</v>
      </c>
      <c r="L63" s="1251">
        <f>SUM(L64:L66)</f>
        <v>147590.48700000002</v>
      </c>
      <c r="M63" s="260">
        <f t="shared" si="2"/>
        <v>0.5038785014093069</v>
      </c>
      <c r="N63" s="261">
        <f>SUM(N64:N67)</f>
        <v>145318.39199999999</v>
      </c>
      <c r="O63" s="165">
        <f t="shared" si="3"/>
        <v>0.49612149859069304</v>
      </c>
      <c r="P63" s="166">
        <f>SUM(P64:P66)</f>
        <v>336443.64569999999</v>
      </c>
      <c r="Q63" s="111">
        <f ca="1">SUM(Q64:Q66)</f>
        <v>94730.265479999987</v>
      </c>
      <c r="R63" s="165">
        <f t="shared" ca="1" si="1"/>
        <v>0.28156354471461487</v>
      </c>
      <c r="S63" s="157"/>
      <c r="T63" s="568"/>
      <c r="U63" s="568"/>
      <c r="V63" s="669"/>
      <c r="W63" s="669"/>
      <c r="X63" s="668"/>
      <c r="Y63" s="668"/>
      <c r="Z63" s="668"/>
      <c r="AA63" s="673"/>
    </row>
    <row r="64" spans="2:27" ht="15" hidden="1" customHeight="1" outlineLevel="3" x14ac:dyDescent="0.25">
      <c r="B64" s="168"/>
      <c r="C64" s="108"/>
      <c r="D64" s="109"/>
      <c r="E64" s="110">
        <v>4</v>
      </c>
      <c r="F64" s="112" t="str">
        <f>+CONCATENATE($B$10,"",$C$41,"",$D$63,"00",E64)</f>
        <v>21.02.004.004</v>
      </c>
      <c r="G64" s="1134" t="s">
        <v>35</v>
      </c>
      <c r="H64" s="166">
        <f>+VLOOKUP(F64,matriz01,3,FALSE)</f>
        <v>187398.5</v>
      </c>
      <c r="I64" s="111">
        <f>+VLOOKUP(F64,matriz01,4,FALSE)</f>
        <v>187398.5</v>
      </c>
      <c r="J64" s="333">
        <f ca="1">+VLOOKUP(F64,matriz01,5,FALSE)</f>
        <v>82109.588999999993</v>
      </c>
      <c r="K64" s="260">
        <f t="shared" ca="1" si="0"/>
        <v>0.43815499590444956</v>
      </c>
      <c r="L64" s="1251">
        <f>INDEX(coincidenciaP01,MATCH(F64,indicep01,0),7)</f>
        <v>82109.589000000007</v>
      </c>
      <c r="M64" s="260">
        <f t="shared" si="2"/>
        <v>0.43815499590444967</v>
      </c>
      <c r="N64" s="111">
        <f>INDEX(coincidenciaP01,MATCH(F64,indicep01,0),9)</f>
        <v>105288.91099999999</v>
      </c>
      <c r="O64" s="165">
        <f t="shared" si="3"/>
        <v>0.56184500409555038</v>
      </c>
      <c r="P64" s="167">
        <f>+'Prog 01'!P64</f>
        <v>213899.30489999999</v>
      </c>
      <c r="Q64" s="111">
        <f ca="1">+'Prog 01'!Q64</f>
        <v>66852.793902999983</v>
      </c>
      <c r="R64" s="165">
        <f t="shared" ca="1" si="1"/>
        <v>0.31254329664256886</v>
      </c>
      <c r="T64" s="568"/>
      <c r="U64" s="568"/>
      <c r="X64" s="668"/>
      <c r="Y64" s="668"/>
      <c r="Z64" s="668"/>
      <c r="AA64" s="673"/>
    </row>
    <row r="65" spans="2:27" ht="15" hidden="1" customHeight="1" outlineLevel="3" x14ac:dyDescent="0.25">
      <c r="B65" s="168"/>
      <c r="C65" s="108"/>
      <c r="D65" s="109"/>
      <c r="E65" s="110">
        <v>5</v>
      </c>
      <c r="F65" s="112" t="str">
        <f>+CONCATENATE($B$10,"",$C$41,"",$D$63,"00",E65)</f>
        <v>21.02.004.005</v>
      </c>
      <c r="G65" s="1134" t="s">
        <v>36</v>
      </c>
      <c r="H65" s="166">
        <f>+VLOOKUP(F65,matriz01,3,FALSE)</f>
        <v>50000</v>
      </c>
      <c r="I65" s="111">
        <f>+VLOOKUP(F65,matriz01,4,FALSE)</f>
        <v>50000</v>
      </c>
      <c r="J65" s="333">
        <f ca="1">+VLOOKUP(F65,matriz01,5,FALSE)</f>
        <v>22133.842000000001</v>
      </c>
      <c r="K65" s="260">
        <f t="shared" ca="1" si="0"/>
        <v>0.44267684000000002</v>
      </c>
      <c r="L65" s="1251">
        <f>INDEX(coincidenciaP01,MATCH(F65,indicep01,0),7)</f>
        <v>22133.842000000001</v>
      </c>
      <c r="M65" s="260">
        <f t="shared" si="2"/>
        <v>0.44267684000000002</v>
      </c>
      <c r="N65" s="261">
        <f>INDEX(coincidenciaP01,MATCH(F65,indicep01,0),9)</f>
        <v>27866.157999999999</v>
      </c>
      <c r="O65" s="165">
        <f t="shared" si="3"/>
        <v>0.55732316000000004</v>
      </c>
      <c r="P65" s="167">
        <f>+'Prog 01'!P65</f>
        <v>59193.792799999996</v>
      </c>
      <c r="Q65" s="111">
        <f ca="1">+'Prog 01'!Q65</f>
        <v>9019.5624409999982</v>
      </c>
      <c r="R65" s="165">
        <f t="shared" ca="1" si="1"/>
        <v>0.15237345022770696</v>
      </c>
      <c r="T65" s="568"/>
      <c r="U65" s="568"/>
      <c r="X65" s="668"/>
      <c r="Y65" s="668"/>
      <c r="Z65" s="668"/>
      <c r="AA65" s="673"/>
    </row>
    <row r="66" spans="2:27" ht="15" hidden="1" customHeight="1" outlineLevel="3" x14ac:dyDescent="0.25">
      <c r="B66" s="168"/>
      <c r="C66" s="108"/>
      <c r="D66" s="109"/>
      <c r="E66" s="110">
        <v>6</v>
      </c>
      <c r="F66" s="112" t="str">
        <f>+CONCATENATE($B$10,"",$C$41,"",$D$63,"00",E66)</f>
        <v>21.02.004.006</v>
      </c>
      <c r="G66" s="1134" t="s">
        <v>37</v>
      </c>
      <c r="H66" s="166">
        <f>+VLOOKUP(F66,matriz01,3,FALSE)</f>
        <v>52828.031999999999</v>
      </c>
      <c r="I66" s="111">
        <f>+VLOOKUP(F66,matriz01,4,FALSE)</f>
        <v>55010.379000000001</v>
      </c>
      <c r="J66" s="333">
        <f ca="1">+VLOOKUP(F66,matriz01,5,FALSE)</f>
        <v>43347.056000000004</v>
      </c>
      <c r="K66" s="260">
        <f t="shared" ca="1" si="0"/>
        <v>0.78797959199663037</v>
      </c>
      <c r="L66" s="1251">
        <f>INDEX(coincidenciaP01,MATCH(F66,indicep01,0),7)</f>
        <v>43347.055999999997</v>
      </c>
      <c r="M66" s="260">
        <f t="shared" si="2"/>
        <v>0.78797959199663026</v>
      </c>
      <c r="N66" s="261">
        <f>INDEX(coincidenciaP01,MATCH(F66,indicep01,0),9)</f>
        <v>11663.323</v>
      </c>
      <c r="O66" s="165">
        <f t="shared" si="3"/>
        <v>0.21202040800336969</v>
      </c>
      <c r="P66" s="167">
        <f>+'Prog 01'!P66</f>
        <v>63350.547999999995</v>
      </c>
      <c r="Q66" s="111">
        <f ca="1">+'Prog 01'!Q66</f>
        <v>18857.909135999998</v>
      </c>
      <c r="R66" s="165">
        <f t="shared" ca="1" si="1"/>
        <v>0.29767554869454327</v>
      </c>
      <c r="T66" s="568"/>
      <c r="U66" s="568"/>
      <c r="X66" s="668"/>
      <c r="Y66" s="668"/>
      <c r="Z66" s="668"/>
      <c r="AA66" s="673"/>
    </row>
    <row r="67" spans="2:27" ht="15" hidden="1" customHeight="1" outlineLevel="3" x14ac:dyDescent="0.25">
      <c r="B67" s="168"/>
      <c r="C67" s="108"/>
      <c r="D67" s="109"/>
      <c r="E67" s="110">
        <v>7</v>
      </c>
      <c r="F67" s="112"/>
      <c r="G67" s="1134" t="s">
        <v>38</v>
      </c>
      <c r="H67" s="166">
        <f>+'Prog 01'!H67</f>
        <v>500</v>
      </c>
      <c r="I67" s="111">
        <f>+'Prog 01'!I67</f>
        <v>500</v>
      </c>
      <c r="J67" s="333">
        <v>0</v>
      </c>
      <c r="K67" s="260">
        <v>0</v>
      </c>
      <c r="L67" s="1251">
        <v>0</v>
      </c>
      <c r="M67" s="260">
        <f t="shared" si="2"/>
        <v>0</v>
      </c>
      <c r="N67" s="261">
        <f>+I67-L67</f>
        <v>500</v>
      </c>
      <c r="O67" s="165">
        <v>0</v>
      </c>
      <c r="P67" s="167">
        <v>0</v>
      </c>
      <c r="Q67" s="111">
        <v>0</v>
      </c>
      <c r="R67" s="165">
        <v>0</v>
      </c>
      <c r="T67" s="568"/>
      <c r="U67" s="568"/>
      <c r="X67" s="668"/>
      <c r="Y67" s="668"/>
      <c r="Z67" s="668"/>
      <c r="AA67" s="673"/>
    </row>
    <row r="68" spans="2:27" s="158" customFormat="1" ht="15" hidden="1" customHeight="1" outlineLevel="2" x14ac:dyDescent="0.25">
      <c r="B68" s="168"/>
      <c r="C68" s="108"/>
      <c r="D68" s="109" t="s">
        <v>161</v>
      </c>
      <c r="E68" s="110"/>
      <c r="F68" s="110"/>
      <c r="G68" s="1133" t="s">
        <v>34</v>
      </c>
      <c r="H68" s="166">
        <f>SUM(H69:H71)</f>
        <v>163673.576</v>
      </c>
      <c r="I68" s="111">
        <f>SUM(I69:I71)</f>
        <v>163673.576</v>
      </c>
      <c r="J68" s="333">
        <f ca="1">SUM(J69:J71)</f>
        <v>7659.7020000000002</v>
      </c>
      <c r="K68" s="260">
        <f t="shared" ca="1" si="0"/>
        <v>4.6798647571554254E-2</v>
      </c>
      <c r="L68" s="1130">
        <f>SUM(L69:L71)</f>
        <v>7659.7020000000002</v>
      </c>
      <c r="M68" s="260">
        <f t="shared" si="2"/>
        <v>4.6798647571554254E-2</v>
      </c>
      <c r="N68" s="261">
        <f>SUM(N69:N71)</f>
        <v>156013.87400000001</v>
      </c>
      <c r="O68" s="165">
        <f t="shared" si="3"/>
        <v>0.95320135242844584</v>
      </c>
      <c r="P68" s="166">
        <f>SUM(P69:P71)</f>
        <v>101931.937408</v>
      </c>
      <c r="Q68" s="111">
        <f ca="1">SUM(Q69:Q71)</f>
        <v>28537.747648999997</v>
      </c>
      <c r="R68" s="165">
        <f t="shared" ca="1" si="1"/>
        <v>0.27996865726953452</v>
      </c>
      <c r="S68" s="157"/>
      <c r="T68" s="568"/>
      <c r="U68" s="568"/>
      <c r="V68" s="669"/>
      <c r="W68" s="669"/>
      <c r="X68" s="668"/>
      <c r="Y68" s="668"/>
      <c r="Z68" s="668"/>
      <c r="AA68" s="673"/>
    </row>
    <row r="69" spans="2:27" ht="15" hidden="1" customHeight="1" outlineLevel="3" x14ac:dyDescent="0.25">
      <c r="B69" s="168"/>
      <c r="C69" s="108"/>
      <c r="D69" s="109"/>
      <c r="E69" s="110">
        <v>1</v>
      </c>
      <c r="F69" s="112" t="str">
        <f>+CONCATENATE($B$10,"",$C$41,"",$D$68,"00",E69)</f>
        <v>21.02.005.001</v>
      </c>
      <c r="G69" s="1134" t="s">
        <v>95</v>
      </c>
      <c r="H69" s="166">
        <f>+VLOOKUP(F69,matriz01,3,FALSE)</f>
        <v>47688.317999999999</v>
      </c>
      <c r="I69" s="111">
        <f>+VLOOKUP(F69,matriz01,4,FALSE)</f>
        <v>47688.317999999999</v>
      </c>
      <c r="J69" s="333">
        <f ca="1">+VLOOKUP(F69,matriz01,5,FALSE)</f>
        <v>0</v>
      </c>
      <c r="K69" s="260">
        <f t="shared" ca="1" si="0"/>
        <v>0</v>
      </c>
      <c r="L69" s="111">
        <f>INDEX(coincidenciaP01,MATCH(F69,indicep01,0),7)</f>
        <v>0</v>
      </c>
      <c r="M69" s="260">
        <f t="shared" si="2"/>
        <v>0</v>
      </c>
      <c r="N69" s="261">
        <f>INDEX(coincidenciaP01,MATCH(F69,indicep01,0),9)</f>
        <v>47688.317999999999</v>
      </c>
      <c r="O69" s="165">
        <f t="shared" si="3"/>
        <v>1</v>
      </c>
      <c r="P69" s="166">
        <f>+'Prog 01'!P69</f>
        <v>34828.592278999997</v>
      </c>
      <c r="Q69" s="111">
        <f ca="1">+'Prog 01'!Q69</f>
        <v>0</v>
      </c>
      <c r="R69" s="165">
        <f t="shared" ca="1" si="1"/>
        <v>0</v>
      </c>
      <c r="T69" s="568"/>
      <c r="U69" s="568"/>
      <c r="X69" s="668"/>
      <c r="Y69" s="668"/>
      <c r="Z69" s="668"/>
      <c r="AA69" s="673"/>
    </row>
    <row r="70" spans="2:27" ht="15" hidden="1" customHeight="1" outlineLevel="3" x14ac:dyDescent="0.25">
      <c r="B70" s="168"/>
      <c r="C70" s="108"/>
      <c r="D70" s="109"/>
      <c r="E70" s="110">
        <v>2</v>
      </c>
      <c r="F70" s="112" t="str">
        <f>+CONCATENATE($B$10,"",$C$41,"",$D$68,"00",E70)</f>
        <v>21.02.005.002</v>
      </c>
      <c r="G70" s="1134" t="s">
        <v>96</v>
      </c>
      <c r="H70" s="166">
        <f>+VLOOKUP(F70,matriz01,3,FALSE)</f>
        <v>17918.413</v>
      </c>
      <c r="I70" s="111">
        <f>+VLOOKUP(F70,matriz01,4,FALSE)</f>
        <v>17918.413</v>
      </c>
      <c r="J70" s="333">
        <f ca="1">+VLOOKUP(F70,matriz01,5,FALSE)</f>
        <v>7659.7020000000002</v>
      </c>
      <c r="K70" s="260">
        <f t="shared" ca="1" si="0"/>
        <v>0.42747658511945225</v>
      </c>
      <c r="L70" s="1251">
        <f>INDEX(coincidenciaP01,MATCH(F70,indicep01,0),7)</f>
        <v>7659.7020000000002</v>
      </c>
      <c r="M70" s="260">
        <f t="shared" si="2"/>
        <v>0.42747658511945225</v>
      </c>
      <c r="N70" s="111">
        <f>INDEX(coincidenciaP01,MATCH(F70,indicep01,0),9)</f>
        <v>10258.710999999999</v>
      </c>
      <c r="O70" s="165">
        <f t="shared" si="3"/>
        <v>0.5725234148805477</v>
      </c>
      <c r="P70" s="166">
        <f>+'Prog 01'!P70</f>
        <v>15931.48927</v>
      </c>
      <c r="Q70" s="111">
        <f ca="1">+'Prog 01'!Q70</f>
        <v>7596.6476489999995</v>
      </c>
      <c r="R70" s="165">
        <f t="shared" ca="1" si="1"/>
        <v>0.47683223584784173</v>
      </c>
      <c r="T70" s="568"/>
      <c r="U70" s="568"/>
      <c r="X70" s="668"/>
      <c r="Y70" s="668"/>
      <c r="Z70" s="668"/>
      <c r="AA70" s="673"/>
    </row>
    <row r="71" spans="2:27" ht="15" hidden="1" customHeight="1" outlineLevel="3" x14ac:dyDescent="0.25">
      <c r="B71" s="168"/>
      <c r="C71" s="108"/>
      <c r="D71" s="109"/>
      <c r="E71" s="110">
        <v>3</v>
      </c>
      <c r="F71" s="112" t="str">
        <f>+CONCATENATE($B$10,"",$C$41,"",$D$68,"00",E71)</f>
        <v>21.02.005.003</v>
      </c>
      <c r="G71" s="1134" t="s">
        <v>97</v>
      </c>
      <c r="H71" s="166">
        <f>+VLOOKUP(F71,matriz01,3,FALSE)</f>
        <v>98066.845000000001</v>
      </c>
      <c r="I71" s="111">
        <f>+VLOOKUP(F71,matriz01,4,FALSE)</f>
        <v>98066.845000000001</v>
      </c>
      <c r="J71" s="333">
        <f ca="1">+VLOOKUP(F71,matriz01,5,FALSE)</f>
        <v>0</v>
      </c>
      <c r="K71" s="260">
        <f t="shared" ca="1" si="0"/>
        <v>0</v>
      </c>
      <c r="L71" s="1251">
        <f>INDEX(coincidenciaP01,MATCH(F71,indicep01,0),7)</f>
        <v>0</v>
      </c>
      <c r="M71" s="260">
        <f t="shared" si="2"/>
        <v>0</v>
      </c>
      <c r="N71" s="261">
        <f>INDEX(coincidenciaP01,MATCH(F71,indicep01,0),9)</f>
        <v>98066.845000000001</v>
      </c>
      <c r="O71" s="165">
        <f t="shared" si="3"/>
        <v>1</v>
      </c>
      <c r="P71" s="166">
        <f>+'Prog 01'!P71</f>
        <v>51171.855858999996</v>
      </c>
      <c r="Q71" s="111">
        <f ca="1">+'Prog 01'!Q71</f>
        <v>20941.099999999999</v>
      </c>
      <c r="R71" s="165">
        <f t="shared" ca="1" si="1"/>
        <v>0.40923080956261476</v>
      </c>
      <c r="T71" s="568"/>
      <c r="U71" s="568"/>
      <c r="X71" s="668"/>
      <c r="Y71" s="668"/>
      <c r="Z71" s="668"/>
      <c r="AA71" s="673"/>
    </row>
    <row r="72" spans="2:27" s="158" customFormat="1" ht="15" hidden="1" customHeight="1" outlineLevel="1" x14ac:dyDescent="0.25">
      <c r="B72" s="168"/>
      <c r="C72" s="108" t="s">
        <v>163</v>
      </c>
      <c r="D72" s="109"/>
      <c r="E72" s="110"/>
      <c r="F72" s="110"/>
      <c r="G72" s="1133" t="s">
        <v>102</v>
      </c>
      <c r="H72" s="167">
        <f>+H73+H76+H77</f>
        <v>1509478.3430000001</v>
      </c>
      <c r="I72" s="111">
        <f>+I73+I76+I77</f>
        <v>1509478.3430000001</v>
      </c>
      <c r="J72" s="338">
        <f ca="1">+J73+J76+J77</f>
        <v>379127.99600000004</v>
      </c>
      <c r="K72" s="260">
        <f t="shared" ca="1" si="0"/>
        <v>0.25116491253958984</v>
      </c>
      <c r="L72" s="1252">
        <f>+L73+L76+L77</f>
        <v>379127.99600000004</v>
      </c>
      <c r="M72" s="260">
        <f t="shared" si="2"/>
        <v>0.25116491253958984</v>
      </c>
      <c r="N72" s="261">
        <f>+N73+N76+N77</f>
        <v>1130350.3470000001</v>
      </c>
      <c r="O72" s="165">
        <f t="shared" si="3"/>
        <v>0.74883508746041016</v>
      </c>
      <c r="P72" s="265">
        <f>+P73+P76</f>
        <v>1278747.8704039999</v>
      </c>
      <c r="Q72" s="113">
        <f ca="1">+Q73+Q76</f>
        <v>426090.82163799996</v>
      </c>
      <c r="R72" s="165">
        <f t="shared" ca="1" si="1"/>
        <v>0.33320940859387971</v>
      </c>
      <c r="S72" s="157"/>
      <c r="T72" s="568"/>
      <c r="U72" s="568"/>
      <c r="V72" s="669"/>
      <c r="W72" s="669"/>
      <c r="X72" s="668"/>
      <c r="Y72" s="668"/>
      <c r="Z72" s="668"/>
      <c r="AA72" s="673"/>
    </row>
    <row r="73" spans="2:27" s="158" customFormat="1" ht="15" hidden="1" customHeight="1" outlineLevel="2" x14ac:dyDescent="0.25">
      <c r="B73" s="168"/>
      <c r="C73" s="108"/>
      <c r="D73" s="109" t="s">
        <v>156</v>
      </c>
      <c r="E73" s="110"/>
      <c r="F73" s="110"/>
      <c r="G73" s="1133" t="s">
        <v>41</v>
      </c>
      <c r="H73" s="167">
        <f>SUM(H74:H75)</f>
        <v>1472012</v>
      </c>
      <c r="I73" s="111">
        <f>SUM(I74:I75)</f>
        <v>1472012</v>
      </c>
      <c r="J73" s="338">
        <f ca="1">SUM(J74:J75)</f>
        <v>373033.54000000004</v>
      </c>
      <c r="K73" s="260">
        <f t="shared" ca="1" si="0"/>
        <v>0.25341745855332704</v>
      </c>
      <c r="L73" s="1252">
        <f>SUM(L74:L75)</f>
        <v>373033.54000000004</v>
      </c>
      <c r="M73" s="260">
        <f t="shared" si="2"/>
        <v>0.25341745855332704</v>
      </c>
      <c r="N73" s="261">
        <f>SUM(N74:N75)</f>
        <v>1098978.46</v>
      </c>
      <c r="O73" s="165">
        <f t="shared" si="3"/>
        <v>0.74658254144667291</v>
      </c>
      <c r="P73" s="265">
        <f>SUM(P74:P75)</f>
        <v>1244171.3419999999</v>
      </c>
      <c r="Q73" s="113">
        <f ca="1">SUM(Q74:Q75)</f>
        <v>413399.74542599998</v>
      </c>
      <c r="R73" s="165">
        <f t="shared" ca="1" si="1"/>
        <v>0.33226914289912973</v>
      </c>
      <c r="S73" s="157"/>
      <c r="T73" s="568"/>
      <c r="U73" s="568"/>
      <c r="V73" s="669"/>
      <c r="W73" s="669"/>
      <c r="X73" s="668"/>
      <c r="Y73" s="668"/>
      <c r="Z73" s="668"/>
      <c r="AA73" s="673"/>
    </row>
    <row r="74" spans="2:27" ht="15" hidden="1" customHeight="1" outlineLevel="2" x14ac:dyDescent="0.25">
      <c r="B74" s="168"/>
      <c r="C74" s="108"/>
      <c r="D74" s="109"/>
      <c r="E74" s="110">
        <v>1</v>
      </c>
      <c r="F74" s="112" t="str">
        <f>+CONCATENATE($B$10,"",$C$72,"",$D$73,"00",E74)</f>
        <v>21.03.001.001</v>
      </c>
      <c r="G74" s="1134" t="s">
        <v>42</v>
      </c>
      <c r="H74" s="166">
        <f>+VLOOKUP(F74,matriz01,3,FALSE)</f>
        <v>1461411.9890000001</v>
      </c>
      <c r="I74" s="111">
        <f>+VLOOKUP(F74,matriz01,4,FALSE)</f>
        <v>1458358.9920000001</v>
      </c>
      <c r="J74" s="333">
        <f ca="1">+VLOOKUP(F74,matriz01,5,FALSE)</f>
        <v>364742.98800000001</v>
      </c>
      <c r="K74" s="260">
        <f t="shared" ca="1" si="0"/>
        <v>0.25010507700836393</v>
      </c>
      <c r="L74" s="1251">
        <f>INDEX(coincidenciaP01,MATCH(F74,indicep01,0),7)</f>
        <v>364742.98800000001</v>
      </c>
      <c r="M74" s="260">
        <f t="shared" si="2"/>
        <v>0.25010507700836393</v>
      </c>
      <c r="N74" s="261">
        <f>INDEX(coincidenciaP01,MATCH(F74,indicep01,0),9)</f>
        <v>1093616.004</v>
      </c>
      <c r="O74" s="165">
        <f t="shared" si="3"/>
        <v>0.74989492299163596</v>
      </c>
      <c r="P74" s="167">
        <f>+'Prog 01'!P74</f>
        <v>1238856.3419999999</v>
      </c>
      <c r="Q74" s="111">
        <f ca="1">+'Prog 01'!Q74</f>
        <v>411950.883867</v>
      </c>
      <c r="R74" s="165">
        <f t="shared" ca="1" si="1"/>
        <v>0.33252514428101465</v>
      </c>
      <c r="T74" s="568"/>
      <c r="U74" s="568"/>
      <c r="X74" s="668"/>
      <c r="Y74" s="668"/>
      <c r="Z74" s="668"/>
      <c r="AA74" s="673"/>
    </row>
    <row r="75" spans="2:27" ht="15" hidden="1" customHeight="1" outlineLevel="2" x14ac:dyDescent="0.25">
      <c r="B75" s="168"/>
      <c r="C75" s="108"/>
      <c r="D75" s="109"/>
      <c r="E75" s="110">
        <v>2</v>
      </c>
      <c r="F75" s="112" t="str">
        <f>+CONCATENATE($B$10,"",$C$72,"",$D$73,"00",E75)</f>
        <v>21.03.001.002</v>
      </c>
      <c r="G75" s="1134" t="s">
        <v>43</v>
      </c>
      <c r="H75" s="166">
        <f>+VLOOKUP(F75,matriz01,3,FALSE)</f>
        <v>10600.011</v>
      </c>
      <c r="I75" s="111">
        <f>+VLOOKUP(F75,matriz01,4,FALSE)</f>
        <v>13653.008</v>
      </c>
      <c r="J75" s="333">
        <f ca="1">+VLOOKUP(F75,matriz01,5,FALSE)</f>
        <v>8290.5519999999997</v>
      </c>
      <c r="K75" s="260">
        <f t="shared" ca="1" si="0"/>
        <v>0.60723263327758981</v>
      </c>
      <c r="L75" s="1251">
        <f>INDEX(coincidenciaP01,MATCH(F75,indicep01,0),7)</f>
        <v>8290.5519999999997</v>
      </c>
      <c r="M75" s="260">
        <f t="shared" si="2"/>
        <v>0.60723263327758981</v>
      </c>
      <c r="N75" s="261">
        <f>INDEX(coincidenciaP01,MATCH(F75,indicep01,0),9)</f>
        <v>5362.4560000000001</v>
      </c>
      <c r="O75" s="165">
        <f t="shared" si="3"/>
        <v>0.39276736672241019</v>
      </c>
      <c r="P75" s="167">
        <f>+'Prog 01'!P75</f>
        <v>5315</v>
      </c>
      <c r="Q75" s="111">
        <f ca="1">+'Prog 01'!Q75</f>
        <v>1448.8615589999999</v>
      </c>
      <c r="R75" s="165">
        <f t="shared" ca="1" si="1"/>
        <v>0.27259859999999997</v>
      </c>
      <c r="T75" s="568"/>
      <c r="U75" s="568"/>
      <c r="X75" s="668"/>
      <c r="Y75" s="668"/>
      <c r="Z75" s="668"/>
      <c r="AA75" s="673"/>
    </row>
    <row r="76" spans="2:27" ht="15" hidden="1" customHeight="1" outlineLevel="2" x14ac:dyDescent="0.25">
      <c r="B76" s="168"/>
      <c r="C76" s="108"/>
      <c r="D76" s="114" t="s">
        <v>333</v>
      </c>
      <c r="E76" s="110"/>
      <c r="F76" s="112" t="str">
        <f>+CONCATENATE($B$10,"",$C$72,D76)</f>
        <v>21.03.005</v>
      </c>
      <c r="G76" s="1134" t="s">
        <v>332</v>
      </c>
      <c r="H76" s="166">
        <f>+'Prog 01'!H76</f>
        <v>37466.343000000001</v>
      </c>
      <c r="I76" s="111">
        <f>+'Prog 01'!I76</f>
        <v>37466.343000000001</v>
      </c>
      <c r="J76" s="333">
        <f ca="1">+'Prog 01'!J76</f>
        <v>6094.4560000000001</v>
      </c>
      <c r="K76" s="260">
        <f t="shared" ref="K76:K139" ca="1" si="21">IFERROR(J76/I76,"0.00%")</f>
        <v>0.16266482159734671</v>
      </c>
      <c r="L76" s="1130">
        <f>+'Prog 01'!L76</f>
        <v>6094.4560000000001</v>
      </c>
      <c r="M76" s="260">
        <f t="shared" si="2"/>
        <v>0.16266482159734671</v>
      </c>
      <c r="N76" s="261">
        <f>+'Prog 01'!N76</f>
        <v>31371.886999999999</v>
      </c>
      <c r="O76" s="165">
        <f t="shared" si="3"/>
        <v>0.83733517840265326</v>
      </c>
      <c r="P76" s="167">
        <f>+'Prog 01'!P76</f>
        <v>34576.528403999997</v>
      </c>
      <c r="Q76" s="111">
        <f ca="1">+'Prog 01'!Q76</f>
        <v>12691.076212</v>
      </c>
      <c r="R76" s="165">
        <f t="shared" ref="R76:R139" ca="1" si="22">IFERROR(Q76/P76,"0.00%")</f>
        <v>0.36704310113828054</v>
      </c>
      <c r="T76" s="568"/>
      <c r="U76" s="568"/>
      <c r="X76" s="668"/>
      <c r="Y76" s="668"/>
      <c r="Z76" s="668"/>
      <c r="AA76" s="673"/>
    </row>
    <row r="77" spans="2:27" ht="15" hidden="1" customHeight="1" outlineLevel="2" x14ac:dyDescent="0.25">
      <c r="B77" s="168"/>
      <c r="C77" s="108"/>
      <c r="D77" s="748"/>
      <c r="E77" s="337"/>
      <c r="F77" s="509" t="s">
        <v>885</v>
      </c>
      <c r="G77" s="823" t="s">
        <v>318</v>
      </c>
      <c r="H77" s="341">
        <f>+'Prog 01'!H77</f>
        <v>0</v>
      </c>
      <c r="I77" s="111">
        <f>+'Prog 01'!I77</f>
        <v>0</v>
      </c>
      <c r="J77" s="333">
        <f>+'Prog 01'!J77</f>
        <v>0</v>
      </c>
      <c r="K77" s="260" t="str">
        <f t="shared" si="21"/>
        <v>0.00%</v>
      </c>
      <c r="L77" s="1131">
        <f>+'Prog 01'!L77</f>
        <v>0</v>
      </c>
      <c r="M77" s="260">
        <f t="shared" ref="M77:M140" si="23">+IFERROR(L77/I77,0)</f>
        <v>0</v>
      </c>
      <c r="N77" s="111">
        <f>+'Prog 01'!N77</f>
        <v>0</v>
      </c>
      <c r="O77" s="165">
        <f t="shared" ref="O77:O140" si="24">+IFERROR(N77/I77,0)</f>
        <v>0</v>
      </c>
      <c r="P77" s="167">
        <v>0</v>
      </c>
      <c r="Q77" s="111">
        <v>0</v>
      </c>
      <c r="R77" s="165" t="str">
        <f t="shared" si="22"/>
        <v>0.00%</v>
      </c>
      <c r="T77" s="568"/>
      <c r="U77" s="568"/>
      <c r="X77" s="668"/>
      <c r="Y77" s="668"/>
      <c r="Z77" s="668"/>
      <c r="AA77" s="673"/>
    </row>
    <row r="78" spans="2:27" ht="15" customHeight="1" collapsed="1" x14ac:dyDescent="0.25">
      <c r="B78" s="168">
        <v>22</v>
      </c>
      <c r="C78" s="108"/>
      <c r="D78" s="109"/>
      <c r="E78" s="110"/>
      <c r="F78" s="110"/>
      <c r="G78" s="1133" t="s">
        <v>15</v>
      </c>
      <c r="H78" s="166">
        <f>+H79+H83+H85+H98+H107+H115+H118+H125+H130+H133+H138</f>
        <v>2322767.9980000001</v>
      </c>
      <c r="I78" s="111">
        <f>+I79+I83+I85+I98+I107+I115+I118+I125+I130+I133+I138</f>
        <v>2702640.9990000003</v>
      </c>
      <c r="J78" s="111">
        <f ca="1">+J79+J83+J85+J98+J107+J115+J118+J125+J130+J133+J138</f>
        <v>632164.83000000007</v>
      </c>
      <c r="K78" s="260">
        <f t="shared" ca="1" si="21"/>
        <v>0.23390632726799687</v>
      </c>
      <c r="L78" s="1130">
        <f>+L79+L83+L85+L98+L107+L115+L118+L125+L130+L133+L138</f>
        <v>1952226.0960000004</v>
      </c>
      <c r="M78" s="260">
        <f t="shared" si="23"/>
        <v>0.72234014681281766</v>
      </c>
      <c r="N78" s="111">
        <f>+N79+N83+N85+N98+N107+N115+N118+N125+N130+N133+N138</f>
        <v>750414.9040000001</v>
      </c>
      <c r="O78" s="165">
        <f t="shared" si="24"/>
        <v>0.27765985355719086</v>
      </c>
      <c r="P78" s="166">
        <f>+P79+P83+P85+P98+P107+P115+P118+P125+P130+P133+P138</f>
        <v>2252797.8289999999</v>
      </c>
      <c r="Q78" s="111">
        <f ca="1">+Q79+Q83+Q85+Q98+Q107+Q115+Q118+Q125+Q130+Q133+Q138</f>
        <v>489538.80846999999</v>
      </c>
      <c r="R78" s="165">
        <f t="shared" ca="1" si="22"/>
        <v>0.21730259243338432</v>
      </c>
      <c r="T78" s="568"/>
      <c r="U78" s="568"/>
      <c r="V78" s="675"/>
      <c r="W78" s="675"/>
      <c r="X78" s="668"/>
      <c r="Y78" s="668"/>
      <c r="Z78" s="668"/>
      <c r="AA78" s="673"/>
    </row>
    <row r="79" spans="2:27" ht="15" hidden="1" customHeight="1" outlineLevel="1" x14ac:dyDescent="0.25">
      <c r="B79" s="168"/>
      <c r="C79" s="108" t="s">
        <v>164</v>
      </c>
      <c r="D79" s="109"/>
      <c r="E79" s="110"/>
      <c r="F79" s="110"/>
      <c r="G79" s="1133" t="s">
        <v>44</v>
      </c>
      <c r="H79" s="166">
        <f>+H81+H82</f>
        <v>21440</v>
      </c>
      <c r="I79" s="111">
        <f>+I81+I82+I80</f>
        <v>29533.501</v>
      </c>
      <c r="J79" s="333">
        <f ca="1">+J81+J82+J80</f>
        <v>14587.614999999998</v>
      </c>
      <c r="K79" s="260">
        <f t="shared" ca="1" si="21"/>
        <v>0.49393449831769004</v>
      </c>
      <c r="L79" s="1130">
        <f>+L81+L82+L80</f>
        <v>26729.491000000002</v>
      </c>
      <c r="M79" s="260">
        <f t="shared" si="23"/>
        <v>0.90505663382069068</v>
      </c>
      <c r="N79" s="261">
        <f>+N81+N82</f>
        <v>2804.01</v>
      </c>
      <c r="O79" s="165">
        <f t="shared" si="24"/>
        <v>9.4943366179309402E-2</v>
      </c>
      <c r="P79" s="166">
        <f>+P81+P82</f>
        <v>10768.254842999999</v>
      </c>
      <c r="Q79" s="111">
        <f ca="1">+Q81+Q82</f>
        <v>0</v>
      </c>
      <c r="R79" s="165">
        <f t="shared" ca="1" si="22"/>
        <v>0</v>
      </c>
      <c r="T79" s="568"/>
      <c r="U79" s="568"/>
      <c r="X79" s="668"/>
      <c r="Y79" s="668"/>
      <c r="Z79" s="668"/>
      <c r="AA79" s="673"/>
    </row>
    <row r="80" spans="2:27" ht="15" hidden="1" customHeight="1" outlineLevel="1" x14ac:dyDescent="0.25">
      <c r="B80" s="168"/>
      <c r="C80" s="108"/>
      <c r="D80" s="109" t="s">
        <v>169</v>
      </c>
      <c r="E80" s="110"/>
      <c r="F80" s="112" t="str">
        <f>+CONCATENATE($B$78,"",$C$79,"",D80)</f>
        <v>22.02.001</v>
      </c>
      <c r="G80" s="1133" t="s">
        <v>475</v>
      </c>
      <c r="H80" s="166">
        <f>+VLOOKUP(F80,matriz01,3,FALSE)</f>
        <v>0</v>
      </c>
      <c r="I80" s="111">
        <f>+VLOOKUP(F80,matriz01,4,FALSE)</f>
        <v>0</v>
      </c>
      <c r="J80" s="333">
        <f ca="1">+VLOOKUP(F80,matriz01,5,FALSE)</f>
        <v>0</v>
      </c>
      <c r="K80" s="260" t="str">
        <f t="shared" ca="1" si="21"/>
        <v>0.00%</v>
      </c>
      <c r="L80" s="1251">
        <f>INDEX(coincidenciaP01,MATCH(F80,indicep01,0),7)</f>
        <v>0</v>
      </c>
      <c r="M80" s="260">
        <f t="shared" si="23"/>
        <v>0</v>
      </c>
      <c r="N80" s="111">
        <f>INDEX(coincidenciaP01,MATCH(F80,indicep01,0),9)</f>
        <v>0</v>
      </c>
      <c r="O80" s="165">
        <f t="shared" si="24"/>
        <v>0</v>
      </c>
      <c r="P80" s="166">
        <v>0</v>
      </c>
      <c r="Q80" s="111">
        <v>0</v>
      </c>
      <c r="R80" s="165" t="str">
        <f t="shared" si="22"/>
        <v>0.00%</v>
      </c>
      <c r="T80" s="568"/>
      <c r="U80" s="568"/>
      <c r="X80" s="668"/>
      <c r="Y80" s="668"/>
      <c r="Z80" s="668"/>
      <c r="AA80" s="673"/>
    </row>
    <row r="81" spans="2:27" ht="15" hidden="1" customHeight="1" outlineLevel="2" x14ac:dyDescent="0.25">
      <c r="B81" s="168"/>
      <c r="C81" s="108"/>
      <c r="D81" s="109" t="s">
        <v>165</v>
      </c>
      <c r="E81" s="110"/>
      <c r="F81" s="112" t="str">
        <f>+CONCATENATE($B$78,"",$C$79,"",D81)</f>
        <v>22.02.002</v>
      </c>
      <c r="G81" s="1134" t="s">
        <v>45</v>
      </c>
      <c r="H81" s="166">
        <f>+VLOOKUP(F81,matriz01,3,FALSE)</f>
        <v>18040</v>
      </c>
      <c r="I81" s="111">
        <f>+VLOOKUP(F81,matriz01,4,FALSE)</f>
        <v>19840.396000000001</v>
      </c>
      <c r="J81" s="333">
        <f ca="1">+VLOOKUP(F81,matriz01,5,FALSE)</f>
        <v>6864.73</v>
      </c>
      <c r="K81" s="260">
        <f t="shared" ca="1" si="21"/>
        <v>0.34599763028923414</v>
      </c>
      <c r="L81" s="1251">
        <f>INDEX(coincidenciaP01,MATCH(F81,indicep01,0),7)</f>
        <v>19006.606</v>
      </c>
      <c r="M81" s="260">
        <f t="shared" si="23"/>
        <v>0.95797513315762439</v>
      </c>
      <c r="N81" s="261">
        <f>INDEX(coincidenciaP01,MATCH(F81,indicep01,0),9)</f>
        <v>833.79</v>
      </c>
      <c r="O81" s="165">
        <f t="shared" si="24"/>
        <v>4.2024866842375525E-2</v>
      </c>
      <c r="P81" s="167">
        <f>+'Prog 01'!P81</f>
        <v>7285.8668429999989</v>
      </c>
      <c r="Q81" s="111">
        <f ca="1">+'Prog 01'!Q81</f>
        <v>0</v>
      </c>
      <c r="R81" s="165">
        <f t="shared" ca="1" si="22"/>
        <v>0</v>
      </c>
      <c r="T81" s="568"/>
      <c r="U81" s="568"/>
      <c r="X81" s="668"/>
      <c r="Y81" s="668"/>
      <c r="Z81" s="668"/>
      <c r="AA81" s="673"/>
    </row>
    <row r="82" spans="2:27" ht="15" hidden="1" customHeight="1" outlineLevel="2" x14ac:dyDescent="0.25">
      <c r="B82" s="168"/>
      <c r="C82" s="108"/>
      <c r="D82" s="109" t="s">
        <v>166</v>
      </c>
      <c r="E82" s="110"/>
      <c r="F82" s="112" t="str">
        <f>+CONCATENATE($B$78,"",$C$79,"",D82)</f>
        <v>22.02.003</v>
      </c>
      <c r="G82" s="1134" t="s">
        <v>126</v>
      </c>
      <c r="H82" s="166">
        <f>+VLOOKUP(F82,matriz01,3,FALSE)</f>
        <v>3400</v>
      </c>
      <c r="I82" s="111">
        <f>+VLOOKUP(F82,matriz01,4,FALSE)</f>
        <v>9693.1049999999996</v>
      </c>
      <c r="J82" s="333">
        <f ca="1">+VLOOKUP(F82,matriz01,5,FALSE)</f>
        <v>7722.8849999999993</v>
      </c>
      <c r="K82" s="260">
        <f t="shared" ca="1" si="21"/>
        <v>0.79674005388366265</v>
      </c>
      <c r="L82" s="1251">
        <f>INDEX(coincidenciaP01,MATCH(F82,indicep01,0),7)</f>
        <v>7722.8850000000002</v>
      </c>
      <c r="M82" s="260">
        <f t="shared" si="23"/>
        <v>0.79674005388366276</v>
      </c>
      <c r="N82" s="111">
        <f>INDEX(coincidenciaP01,MATCH(F82,indicep01,0),9)</f>
        <v>1970.22</v>
      </c>
      <c r="O82" s="165">
        <f t="shared" si="24"/>
        <v>0.20325994611633735</v>
      </c>
      <c r="P82" s="167">
        <f>+'Prog 01'!P82</f>
        <v>3482.3879999999999</v>
      </c>
      <c r="Q82" s="111">
        <f ca="1">+'Prog 01'!Q82</f>
        <v>0</v>
      </c>
      <c r="R82" s="165">
        <f t="shared" ca="1" si="22"/>
        <v>0</v>
      </c>
      <c r="T82" s="568"/>
      <c r="U82" s="568"/>
      <c r="X82" s="668"/>
      <c r="Y82" s="668"/>
      <c r="Z82" s="668"/>
      <c r="AA82" s="673"/>
    </row>
    <row r="83" spans="2:27" s="158" customFormat="1" ht="15" hidden="1" customHeight="1" outlineLevel="1" x14ac:dyDescent="0.25">
      <c r="B83" s="168"/>
      <c r="C83" s="108" t="s">
        <v>167</v>
      </c>
      <c r="D83" s="109"/>
      <c r="E83" s="110"/>
      <c r="F83" s="110"/>
      <c r="G83" s="1133" t="s">
        <v>46</v>
      </c>
      <c r="H83" s="166">
        <f>+H84</f>
        <v>0</v>
      </c>
      <c r="I83" s="111">
        <f>+I84</f>
        <v>0</v>
      </c>
      <c r="J83" s="333">
        <f>+J84</f>
        <v>0</v>
      </c>
      <c r="K83" s="260" t="str">
        <f t="shared" si="21"/>
        <v>0.00%</v>
      </c>
      <c r="L83" s="111">
        <f>+L84</f>
        <v>0</v>
      </c>
      <c r="M83" s="260">
        <f t="shared" si="23"/>
        <v>0</v>
      </c>
      <c r="N83" s="111">
        <f>+N84</f>
        <v>0</v>
      </c>
      <c r="O83" s="165">
        <f t="shared" si="24"/>
        <v>0</v>
      </c>
      <c r="P83" s="166">
        <f>+P84</f>
        <v>0</v>
      </c>
      <c r="Q83" s="111">
        <f ca="1">+Q84</f>
        <v>0</v>
      </c>
      <c r="R83" s="165" t="str">
        <f t="shared" ca="1" si="22"/>
        <v>0.00%</v>
      </c>
      <c r="S83" s="157"/>
      <c r="T83" s="568"/>
      <c r="U83" s="568"/>
      <c r="V83" s="669"/>
      <c r="W83" s="669"/>
      <c r="X83" s="668"/>
      <c r="Y83" s="668"/>
      <c r="Z83" s="668"/>
      <c r="AA83" s="673"/>
    </row>
    <row r="84" spans="2:27" ht="15" hidden="1" customHeight="1" outlineLevel="2" x14ac:dyDescent="0.25">
      <c r="B84" s="168"/>
      <c r="C84" s="108"/>
      <c r="D84" s="109" t="s">
        <v>169</v>
      </c>
      <c r="E84" s="110"/>
      <c r="F84" s="112" t="str">
        <f>+CONCATENATE($B$78,"",$C$83,"",D84)</f>
        <v>22.03.001</v>
      </c>
      <c r="G84" s="1134" t="s">
        <v>103</v>
      </c>
      <c r="H84" s="166">
        <f>+VLOOKUP(F84,matriz01,3,FALSE)</f>
        <v>0</v>
      </c>
      <c r="I84" s="111">
        <f>+VLOOKUP(F84,matriz01,4,FALSE)</f>
        <v>0</v>
      </c>
      <c r="J84" s="333">
        <f>+VLOOKUP(F84,matriz01,5,FALSE)</f>
        <v>0</v>
      </c>
      <c r="K84" s="260" t="str">
        <f t="shared" si="21"/>
        <v>0.00%</v>
      </c>
      <c r="L84" s="111">
        <f>INDEX(coincidenciaP01,MATCH(F84,indicep01,0),7)</f>
        <v>0</v>
      </c>
      <c r="M84" s="260">
        <f t="shared" si="23"/>
        <v>0</v>
      </c>
      <c r="N84" s="111">
        <f>INDEX(coincidenciaP01,MATCH(F84,indicep01,0),9)</f>
        <v>0</v>
      </c>
      <c r="O84" s="165">
        <f t="shared" si="24"/>
        <v>0</v>
      </c>
      <c r="P84" s="167">
        <f>+'Prog 01'!P84</f>
        <v>0</v>
      </c>
      <c r="Q84" s="111">
        <f ca="1">+'Prog 01'!Q84</f>
        <v>0</v>
      </c>
      <c r="R84" s="165" t="str">
        <f t="shared" ca="1" si="22"/>
        <v>0.00%</v>
      </c>
      <c r="T84" s="568"/>
      <c r="U84" s="568"/>
      <c r="X84" s="668"/>
      <c r="Y84" s="668"/>
      <c r="Z84" s="668"/>
      <c r="AA84" s="673"/>
    </row>
    <row r="85" spans="2:27" s="158" customFormat="1" ht="15" hidden="1" customHeight="1" outlineLevel="1" x14ac:dyDescent="0.25">
      <c r="B85" s="168"/>
      <c r="C85" s="108" t="s">
        <v>168</v>
      </c>
      <c r="D85" s="109"/>
      <c r="E85" s="110"/>
      <c r="F85" s="110"/>
      <c r="G85" s="1133" t="s">
        <v>47</v>
      </c>
      <c r="H85" s="166">
        <f>SUM(H86:H97)</f>
        <v>17964.188000000002</v>
      </c>
      <c r="I85" s="111">
        <f>SUM(I86:I97)</f>
        <v>29523.749999999996</v>
      </c>
      <c r="J85" s="111">
        <f ca="1">SUM(J86:J97)</f>
        <v>16607.809000000001</v>
      </c>
      <c r="K85" s="260">
        <f t="shared" ca="1" si="21"/>
        <v>0.56252369702358285</v>
      </c>
      <c r="L85" s="111">
        <f>SUM(L86:L97)</f>
        <v>26055.214</v>
      </c>
      <c r="M85" s="260">
        <f t="shared" si="23"/>
        <v>0.88251709217155694</v>
      </c>
      <c r="N85" s="111">
        <f>SUM(N86:N97)</f>
        <v>3468.5370000000003</v>
      </c>
      <c r="O85" s="165">
        <f t="shared" si="24"/>
        <v>0.11748294169947926</v>
      </c>
      <c r="P85" s="166">
        <f>SUM(P86:P97)</f>
        <v>34000.671539999996</v>
      </c>
      <c r="Q85" s="111">
        <f ca="1">SUM(Q86:Q97)</f>
        <v>13609.596440999998</v>
      </c>
      <c r="R85" s="165">
        <f t="shared" ca="1" si="22"/>
        <v>0.40027434237553294</v>
      </c>
      <c r="S85" s="157"/>
      <c r="T85" s="568"/>
      <c r="U85" s="568"/>
      <c r="V85" s="669"/>
      <c r="W85" s="669"/>
      <c r="X85" s="668"/>
      <c r="Y85" s="668"/>
      <c r="Z85" s="668"/>
      <c r="AA85" s="673"/>
    </row>
    <row r="86" spans="2:27" ht="15" hidden="1" customHeight="1" outlineLevel="2" x14ac:dyDescent="0.25">
      <c r="B86" s="168"/>
      <c r="C86" s="108"/>
      <c r="D86" s="109" t="s">
        <v>169</v>
      </c>
      <c r="E86" s="110"/>
      <c r="F86" s="112" t="str">
        <f t="shared" ref="F86:F97" si="25">+CONCATENATE($B$78,"",$C$85,"",D86)</f>
        <v>22.04.001</v>
      </c>
      <c r="G86" s="1134" t="s">
        <v>104</v>
      </c>
      <c r="H86" s="166">
        <f t="shared" ref="H86:H97" si="26">+VLOOKUP(F86,matriz01,3,FALSE)</f>
        <v>3403.8980000000001</v>
      </c>
      <c r="I86" s="111">
        <f t="shared" ref="I86:I97" si="27">+VLOOKUP(F86,matriz01,4,FALSE)</f>
        <v>2427.6410000000001</v>
      </c>
      <c r="J86" s="111">
        <f ca="1">+VLOOKUP(F86,matriz01,5,FALSE)</f>
        <v>852.73</v>
      </c>
      <c r="K86" s="260">
        <f t="shared" ca="1" si="21"/>
        <v>0.35125869105028296</v>
      </c>
      <c r="L86" s="111">
        <f t="shared" ref="L86:L97" si="28">INDEX(coincidenciaP01,MATCH(F86,indicep01,0),7)</f>
        <v>1134.76</v>
      </c>
      <c r="M86" s="260">
        <f t="shared" si="23"/>
        <v>0.46743319955462936</v>
      </c>
      <c r="N86" s="111">
        <f t="shared" ref="N86:N97" si="29">INDEX(coincidenciaP01,MATCH(F86,indicep01,0),9)</f>
        <v>1292.8810000000001</v>
      </c>
      <c r="O86" s="165">
        <f t="shared" si="24"/>
        <v>0.53256680044537064</v>
      </c>
      <c r="P86" s="167">
        <f>+'Prog 01'!P86</f>
        <v>3374.0300319999997</v>
      </c>
      <c r="Q86" s="111">
        <f ca="1">+'Prog 01'!Q86</f>
        <v>445.49373299999996</v>
      </c>
      <c r="R86" s="165">
        <f t="shared" ca="1" si="22"/>
        <v>0.13203609000952721</v>
      </c>
      <c r="T86" s="568"/>
      <c r="U86" s="568"/>
      <c r="X86" s="668"/>
      <c r="Y86" s="668"/>
      <c r="Z86" s="668"/>
      <c r="AA86" s="673"/>
    </row>
    <row r="87" spans="2:27" ht="15" hidden="1" customHeight="1" outlineLevel="2" x14ac:dyDescent="0.25">
      <c r="B87" s="168"/>
      <c r="C87" s="108"/>
      <c r="D87" s="109" t="s">
        <v>166</v>
      </c>
      <c r="E87" s="110"/>
      <c r="F87" s="112" t="str">
        <f t="shared" si="25"/>
        <v>22.04.003</v>
      </c>
      <c r="G87" s="1134" t="s">
        <v>207</v>
      </c>
      <c r="H87" s="166">
        <f>+'Prog 01'!H87</f>
        <v>0</v>
      </c>
      <c r="I87" s="111">
        <f>+'Prog 01'!I87</f>
        <v>0</v>
      </c>
      <c r="J87" s="111">
        <f ca="1">+VLOOKUP(F87,matriz01,5,FALSE)</f>
        <v>0</v>
      </c>
      <c r="K87" s="260" t="str">
        <f t="shared" ca="1" si="21"/>
        <v>0.00%</v>
      </c>
      <c r="L87" s="111">
        <f t="shared" si="28"/>
        <v>0</v>
      </c>
      <c r="M87" s="260">
        <f t="shared" si="23"/>
        <v>0</v>
      </c>
      <c r="N87" s="111">
        <f t="shared" si="29"/>
        <v>1E-3</v>
      </c>
      <c r="O87" s="165">
        <f t="shared" si="24"/>
        <v>0</v>
      </c>
      <c r="P87" s="167">
        <f>+'Prog 01'!P87</f>
        <v>121.43711999999999</v>
      </c>
      <c r="Q87" s="111">
        <f ca="1">+'Prog 01'!Q87</f>
        <v>121.43711999999999</v>
      </c>
      <c r="R87" s="165">
        <f t="shared" ca="1" si="22"/>
        <v>1</v>
      </c>
      <c r="T87" s="568"/>
      <c r="U87" s="568"/>
      <c r="X87" s="668"/>
      <c r="Y87" s="668"/>
      <c r="Z87" s="668"/>
      <c r="AA87" s="673"/>
    </row>
    <row r="88" spans="2:27" ht="15" hidden="1" customHeight="1" outlineLevel="2" x14ac:dyDescent="0.25">
      <c r="B88" s="168"/>
      <c r="C88" s="108"/>
      <c r="D88" s="109" t="s">
        <v>179</v>
      </c>
      <c r="E88" s="110"/>
      <c r="F88" s="112" t="s">
        <v>883</v>
      </c>
      <c r="G88" s="1134" t="s">
        <v>884</v>
      </c>
      <c r="H88" s="166">
        <v>0</v>
      </c>
      <c r="I88" s="111">
        <f>+'Prog 01'!I88</f>
        <v>0</v>
      </c>
      <c r="J88" s="111">
        <f ca="1">+VLOOKUP(F88,matriz01,5,FALSE)</f>
        <v>0</v>
      </c>
      <c r="K88" s="260" t="str">
        <f t="shared" ca="1" si="21"/>
        <v>0.00%</v>
      </c>
      <c r="L88" s="111">
        <f t="shared" si="28"/>
        <v>0</v>
      </c>
      <c r="M88" s="260">
        <f t="shared" si="23"/>
        <v>0</v>
      </c>
      <c r="N88" s="111">
        <v>0</v>
      </c>
      <c r="O88" s="165">
        <f t="shared" si="24"/>
        <v>0</v>
      </c>
      <c r="P88" s="167">
        <v>0</v>
      </c>
      <c r="Q88" s="111">
        <v>0</v>
      </c>
      <c r="R88" s="165" t="str">
        <f t="shared" si="22"/>
        <v>0.00%</v>
      </c>
      <c r="T88" s="568"/>
      <c r="U88" s="568"/>
      <c r="X88" s="668"/>
      <c r="Y88" s="668"/>
      <c r="Z88" s="668"/>
      <c r="AA88" s="673"/>
    </row>
    <row r="89" spans="2:27" ht="15" hidden="1" customHeight="1" outlineLevel="2" x14ac:dyDescent="0.25">
      <c r="B89" s="168"/>
      <c r="C89" s="108"/>
      <c r="D89" s="115" t="s">
        <v>180</v>
      </c>
      <c r="E89" s="110"/>
      <c r="F89" s="112" t="str">
        <f t="shared" si="25"/>
        <v>22.04.005</v>
      </c>
      <c r="G89" s="1135" t="s">
        <v>334</v>
      </c>
      <c r="H89" s="166">
        <f>+'Prog 01'!H89</f>
        <v>0</v>
      </c>
      <c r="I89" s="111">
        <f>+'Prog 01'!I89</f>
        <v>1677.9</v>
      </c>
      <c r="J89" s="111">
        <f ca="1">+'Prog 01'!J89</f>
        <v>1606.5</v>
      </c>
      <c r="K89" s="260">
        <f t="shared" ca="1" si="21"/>
        <v>0.95744680851063824</v>
      </c>
      <c r="L89" s="111">
        <f t="shared" si="28"/>
        <v>1677.9</v>
      </c>
      <c r="M89" s="260">
        <f t="shared" si="23"/>
        <v>1</v>
      </c>
      <c r="N89" s="111">
        <f t="shared" si="29"/>
        <v>0</v>
      </c>
      <c r="O89" s="165">
        <f t="shared" si="24"/>
        <v>0</v>
      </c>
      <c r="P89" s="167">
        <f>+'Prog 01'!P89</f>
        <v>8024.1022719999992</v>
      </c>
      <c r="Q89" s="111">
        <f ca="1">+'Prog 01'!Q89</f>
        <v>1429.5287779999999</v>
      </c>
      <c r="R89" s="165">
        <f t="shared" ca="1" si="22"/>
        <v>0.1781543566547403</v>
      </c>
      <c r="T89" s="568"/>
      <c r="U89" s="568"/>
      <c r="X89" s="668"/>
      <c r="Y89" s="668"/>
      <c r="Z89" s="668"/>
      <c r="AA89" s="673"/>
    </row>
    <row r="90" spans="2:27" ht="15" hidden="1" customHeight="1" outlineLevel="2" x14ac:dyDescent="0.25">
      <c r="B90" s="168"/>
      <c r="C90" s="108"/>
      <c r="D90" s="109" t="s">
        <v>170</v>
      </c>
      <c r="E90" s="110"/>
      <c r="F90" s="112" t="str">
        <f t="shared" si="25"/>
        <v>22.04.007</v>
      </c>
      <c r="G90" s="1134" t="s">
        <v>105</v>
      </c>
      <c r="H90" s="166">
        <f t="shared" si="26"/>
        <v>5237.07</v>
      </c>
      <c r="I90" s="111">
        <f t="shared" si="27"/>
        <v>13714.398999999999</v>
      </c>
      <c r="J90" s="111">
        <f t="shared" ref="J90:J97" ca="1" si="30">+VLOOKUP(F90,matriz01,5,FALSE)</f>
        <v>5392.848</v>
      </c>
      <c r="K90" s="260">
        <f t="shared" ca="1" si="21"/>
        <v>0.39322525179557632</v>
      </c>
      <c r="L90" s="111">
        <f t="shared" si="28"/>
        <v>13678.098</v>
      </c>
      <c r="M90" s="260">
        <f t="shared" si="23"/>
        <v>0.9973530739480454</v>
      </c>
      <c r="N90" s="111">
        <f t="shared" si="29"/>
        <v>36.301000000000002</v>
      </c>
      <c r="O90" s="165">
        <f t="shared" si="24"/>
        <v>2.6469260519545921E-3</v>
      </c>
      <c r="P90" s="167">
        <f>+'Prog 01'!P90</f>
        <v>5069.6245209999997</v>
      </c>
      <c r="Q90" s="111">
        <f ca="1">+'Prog 01'!Q90</f>
        <v>4468.9157799999994</v>
      </c>
      <c r="R90" s="165">
        <f t="shared" ca="1" si="22"/>
        <v>0.88150823823112079</v>
      </c>
      <c r="T90" s="568"/>
      <c r="U90" s="568"/>
      <c r="X90" s="668"/>
      <c r="Y90" s="668"/>
      <c r="Z90" s="668"/>
      <c r="AA90" s="673"/>
    </row>
    <row r="91" spans="2:27" ht="15" hidden="1" customHeight="1" outlineLevel="2" x14ac:dyDescent="0.25">
      <c r="B91" s="168"/>
      <c r="C91" s="108"/>
      <c r="D91" s="109" t="s">
        <v>171</v>
      </c>
      <c r="E91" s="110"/>
      <c r="F91" s="112" t="str">
        <f t="shared" si="25"/>
        <v>22.04.008</v>
      </c>
      <c r="G91" s="1134" t="s">
        <v>106</v>
      </c>
      <c r="H91" s="166">
        <f t="shared" si="26"/>
        <v>0</v>
      </c>
      <c r="I91" s="111">
        <f t="shared" si="27"/>
        <v>582.26700000000005</v>
      </c>
      <c r="J91" s="111">
        <f t="shared" ca="1" si="30"/>
        <v>582.26700000000005</v>
      </c>
      <c r="K91" s="260">
        <f t="shared" ca="1" si="21"/>
        <v>1</v>
      </c>
      <c r="L91" s="111">
        <f t="shared" si="28"/>
        <v>582.26700000000005</v>
      </c>
      <c r="M91" s="260">
        <f t="shared" si="23"/>
        <v>1</v>
      </c>
      <c r="N91" s="111">
        <f t="shared" si="29"/>
        <v>0</v>
      </c>
      <c r="O91" s="165">
        <f t="shared" si="24"/>
        <v>0</v>
      </c>
      <c r="P91" s="167">
        <f>+'Prog 01'!P91</f>
        <v>0</v>
      </c>
      <c r="Q91" s="111">
        <f ca="1">+'Prog 01'!Q91</f>
        <v>0</v>
      </c>
      <c r="R91" s="165" t="str">
        <f t="shared" ca="1" si="22"/>
        <v>0.00%</v>
      </c>
      <c r="T91" s="568"/>
      <c r="U91" s="568"/>
      <c r="X91" s="668"/>
      <c r="Y91" s="668"/>
      <c r="Z91" s="668"/>
      <c r="AA91" s="673"/>
    </row>
    <row r="92" spans="2:27" ht="15" hidden="1" customHeight="1" outlineLevel="2" x14ac:dyDescent="0.25">
      <c r="B92" s="168"/>
      <c r="C92" s="108"/>
      <c r="D92" s="109" t="s">
        <v>172</v>
      </c>
      <c r="E92" s="110"/>
      <c r="F92" s="112" t="str">
        <f t="shared" si="25"/>
        <v>22.04.009</v>
      </c>
      <c r="G92" s="1134" t="s">
        <v>48</v>
      </c>
      <c r="H92" s="166">
        <f t="shared" si="26"/>
        <v>3600</v>
      </c>
      <c r="I92" s="111">
        <f t="shared" si="27"/>
        <v>1168.819</v>
      </c>
      <c r="J92" s="111">
        <f t="shared" ca="1" si="30"/>
        <v>1168.818</v>
      </c>
      <c r="K92" s="260">
        <f t="shared" ca="1" si="21"/>
        <v>0.99999914443553706</v>
      </c>
      <c r="L92" s="111">
        <f t="shared" si="28"/>
        <v>1168.819</v>
      </c>
      <c r="M92" s="260">
        <f t="shared" si="23"/>
        <v>1</v>
      </c>
      <c r="N92" s="111">
        <f t="shared" si="29"/>
        <v>0</v>
      </c>
      <c r="O92" s="165">
        <f t="shared" si="24"/>
        <v>0</v>
      </c>
      <c r="P92" s="167">
        <f>+'Prog 01'!P92</f>
        <v>5740.2</v>
      </c>
      <c r="Q92" s="111">
        <f ca="1">+'Prog 01'!Q92</f>
        <v>0</v>
      </c>
      <c r="R92" s="165">
        <f t="shared" ca="1" si="22"/>
        <v>0</v>
      </c>
      <c r="T92" s="568"/>
      <c r="U92" s="568"/>
      <c r="X92" s="668"/>
      <c r="Y92" s="668"/>
      <c r="Z92" s="668"/>
      <c r="AA92" s="673"/>
    </row>
    <row r="93" spans="2:27" ht="15" hidden="1" customHeight="1" outlineLevel="2" x14ac:dyDescent="0.25">
      <c r="B93" s="168"/>
      <c r="C93" s="108"/>
      <c r="D93" s="109" t="s">
        <v>173</v>
      </c>
      <c r="E93" s="110"/>
      <c r="F93" s="112" t="str">
        <f t="shared" si="25"/>
        <v>22.04.010</v>
      </c>
      <c r="G93" s="1134" t="s">
        <v>49</v>
      </c>
      <c r="H93" s="166">
        <f t="shared" si="26"/>
        <v>500</v>
      </c>
      <c r="I93" s="111">
        <f t="shared" si="27"/>
        <v>100</v>
      </c>
      <c r="J93" s="111">
        <f t="shared" ca="1" si="30"/>
        <v>0</v>
      </c>
      <c r="K93" s="260">
        <f t="shared" ca="1" si="21"/>
        <v>0</v>
      </c>
      <c r="L93" s="111">
        <f t="shared" si="28"/>
        <v>0</v>
      </c>
      <c r="M93" s="260">
        <f t="shared" si="23"/>
        <v>0</v>
      </c>
      <c r="N93" s="111">
        <f t="shared" si="29"/>
        <v>100</v>
      </c>
      <c r="O93" s="165">
        <f t="shared" si="24"/>
        <v>1</v>
      </c>
      <c r="P93" s="167">
        <f>+'Prog 01'!P93</f>
        <v>531.5</v>
      </c>
      <c r="Q93" s="111">
        <f ca="1">+'Prog 01'!Q93</f>
        <v>20.34582</v>
      </c>
      <c r="R93" s="165">
        <f t="shared" ca="1" si="22"/>
        <v>3.8280000000000002E-2</v>
      </c>
      <c r="T93" s="568"/>
      <c r="U93" s="568"/>
      <c r="X93" s="668"/>
      <c r="Y93" s="668"/>
      <c r="Z93" s="668"/>
      <c r="AA93" s="673"/>
    </row>
    <row r="94" spans="2:27" ht="15" hidden="1" customHeight="1" outlineLevel="2" x14ac:dyDescent="0.25">
      <c r="B94" s="168"/>
      <c r="C94" s="108"/>
      <c r="D94" s="109" t="s">
        <v>174</v>
      </c>
      <c r="E94" s="110"/>
      <c r="F94" s="112" t="str">
        <f t="shared" si="25"/>
        <v>22.04.011</v>
      </c>
      <c r="G94" s="1134" t="s">
        <v>50</v>
      </c>
      <c r="H94" s="166">
        <f t="shared" si="26"/>
        <v>5147.8999999999996</v>
      </c>
      <c r="I94" s="111">
        <f t="shared" si="27"/>
        <v>4085.7779999999998</v>
      </c>
      <c r="J94" s="111">
        <f t="shared" ca="1" si="30"/>
        <v>1277.7</v>
      </c>
      <c r="K94" s="260">
        <f t="shared" ca="1" si="21"/>
        <v>0.31271889955841953</v>
      </c>
      <c r="L94" s="111">
        <f t="shared" si="28"/>
        <v>2086.424</v>
      </c>
      <c r="M94" s="260">
        <f t="shared" si="23"/>
        <v>0.51065525341807605</v>
      </c>
      <c r="N94" s="111">
        <f t="shared" si="29"/>
        <v>1999.354</v>
      </c>
      <c r="O94" s="165">
        <f t="shared" si="24"/>
        <v>0.48934474658192395</v>
      </c>
      <c r="P94" s="167">
        <f>+'Prog 01'!P94</f>
        <v>4335.9769999999999</v>
      </c>
      <c r="Q94" s="111">
        <f ca="1">+'Prog 01'!Q94</f>
        <v>674.61806799999999</v>
      </c>
      <c r="R94" s="165">
        <f t="shared" ca="1" si="22"/>
        <v>0.15558617308163766</v>
      </c>
      <c r="T94" s="568"/>
      <c r="U94" s="568"/>
      <c r="X94" s="668"/>
      <c r="Y94" s="668"/>
      <c r="Z94" s="668"/>
      <c r="AA94" s="673"/>
    </row>
    <row r="95" spans="2:27" ht="15" hidden="1" customHeight="1" outlineLevel="2" x14ac:dyDescent="0.25">
      <c r="B95" s="168"/>
      <c r="C95" s="108"/>
      <c r="D95" s="109" t="s">
        <v>175</v>
      </c>
      <c r="E95" s="110"/>
      <c r="F95" s="112" t="str">
        <f t="shared" si="25"/>
        <v>22.04.012</v>
      </c>
      <c r="G95" s="1134" t="s">
        <v>107</v>
      </c>
      <c r="H95" s="166">
        <f t="shared" si="26"/>
        <v>0</v>
      </c>
      <c r="I95" s="111">
        <f t="shared" si="27"/>
        <v>715.428</v>
      </c>
      <c r="J95" s="111">
        <f t="shared" ca="1" si="30"/>
        <v>715.428</v>
      </c>
      <c r="K95" s="260">
        <f t="shared" ca="1" si="21"/>
        <v>1</v>
      </c>
      <c r="L95" s="111">
        <f t="shared" si="28"/>
        <v>715.428</v>
      </c>
      <c r="M95" s="260">
        <f t="shared" si="23"/>
        <v>1</v>
      </c>
      <c r="N95" s="111">
        <f t="shared" si="29"/>
        <v>0</v>
      </c>
      <c r="O95" s="165">
        <f t="shared" si="24"/>
        <v>0</v>
      </c>
      <c r="P95" s="167">
        <f>+'Prog 01'!P95</f>
        <v>6.9945399999999998</v>
      </c>
      <c r="Q95" s="111">
        <f ca="1">+'Prog 01'!Q95</f>
        <v>6.9945399999999998</v>
      </c>
      <c r="R95" s="165">
        <f t="shared" ca="1" si="22"/>
        <v>1</v>
      </c>
      <c r="T95" s="568"/>
      <c r="U95" s="568"/>
      <c r="X95" s="668"/>
      <c r="Y95" s="668"/>
      <c r="Z95" s="668"/>
      <c r="AA95" s="673"/>
    </row>
    <row r="96" spans="2:27" ht="15" hidden="1" customHeight="1" outlineLevel="2" x14ac:dyDescent="0.25">
      <c r="B96" s="168"/>
      <c r="C96" s="108"/>
      <c r="D96" s="109" t="s">
        <v>176</v>
      </c>
      <c r="E96" s="110"/>
      <c r="F96" s="112" t="str">
        <f t="shared" si="25"/>
        <v>22.04.013</v>
      </c>
      <c r="G96" s="1134" t="s">
        <v>108</v>
      </c>
      <c r="H96" s="166">
        <f t="shared" si="26"/>
        <v>40</v>
      </c>
      <c r="I96" s="111">
        <f t="shared" si="27"/>
        <v>5051.518</v>
      </c>
      <c r="J96" s="111">
        <f t="shared" ca="1" si="30"/>
        <v>5011.518</v>
      </c>
      <c r="K96" s="260">
        <f t="shared" ca="1" si="21"/>
        <v>0.99208158814835457</v>
      </c>
      <c r="L96" s="111">
        <f t="shared" si="28"/>
        <v>5011.518</v>
      </c>
      <c r="M96" s="260">
        <f t="shared" si="23"/>
        <v>0.99208158814835457</v>
      </c>
      <c r="N96" s="111">
        <f t="shared" si="29"/>
        <v>40</v>
      </c>
      <c r="O96" s="165">
        <f t="shared" si="24"/>
        <v>7.9184118516453864E-3</v>
      </c>
      <c r="P96" s="167">
        <f>+'Prog 01'!P96</f>
        <v>1983.7961119999998</v>
      </c>
      <c r="Q96" s="111">
        <f ca="1">+'Prog 01'!Q96</f>
        <v>1835.8785990000001</v>
      </c>
      <c r="R96" s="165">
        <f t="shared" ca="1" si="22"/>
        <v>0.92543713937876715</v>
      </c>
      <c r="T96" s="568"/>
      <c r="U96" s="568"/>
      <c r="X96" s="668"/>
      <c r="Y96" s="668"/>
      <c r="Z96" s="668"/>
      <c r="AA96" s="673"/>
    </row>
    <row r="97" spans="2:27" ht="15" hidden="1" customHeight="1" outlineLevel="2" x14ac:dyDescent="0.25">
      <c r="B97" s="168"/>
      <c r="C97" s="108"/>
      <c r="D97" s="109" t="s">
        <v>177</v>
      </c>
      <c r="E97" s="110"/>
      <c r="F97" s="112" t="str">
        <f t="shared" si="25"/>
        <v>22.04.999</v>
      </c>
      <c r="G97" s="1134" t="s">
        <v>109</v>
      </c>
      <c r="H97" s="166">
        <f t="shared" si="26"/>
        <v>35.32</v>
      </c>
      <c r="I97" s="111">
        <f t="shared" si="27"/>
        <v>0</v>
      </c>
      <c r="J97" s="111">
        <f t="shared" ca="1" si="30"/>
        <v>0</v>
      </c>
      <c r="K97" s="260" t="str">
        <f t="shared" ca="1" si="21"/>
        <v>0.00%</v>
      </c>
      <c r="L97" s="111">
        <f t="shared" si="28"/>
        <v>0</v>
      </c>
      <c r="M97" s="260">
        <f t="shared" si="23"/>
        <v>0</v>
      </c>
      <c r="N97" s="111">
        <f t="shared" si="29"/>
        <v>0</v>
      </c>
      <c r="O97" s="165">
        <f t="shared" si="24"/>
        <v>0</v>
      </c>
      <c r="P97" s="166">
        <f>+'Prog 01'!P97</f>
        <v>4813.009943</v>
      </c>
      <c r="Q97" s="111">
        <f ca="1">+'Prog 01'!Q97</f>
        <v>4606.3840029999992</v>
      </c>
      <c r="R97" s="165">
        <f t="shared" ca="1" si="22"/>
        <v>0.9570692887720883</v>
      </c>
      <c r="T97" s="568"/>
      <c r="U97" s="568"/>
      <c r="X97" s="668"/>
      <c r="Y97" s="668"/>
      <c r="Z97" s="668"/>
      <c r="AA97" s="673"/>
    </row>
    <row r="98" spans="2:27" s="158" customFormat="1" ht="15" hidden="1" customHeight="1" outlineLevel="1" x14ac:dyDescent="0.25">
      <c r="B98" s="168"/>
      <c r="C98" s="108" t="s">
        <v>178</v>
      </c>
      <c r="D98" s="109"/>
      <c r="E98" s="110"/>
      <c r="F98" s="110"/>
      <c r="G98" s="1133" t="s">
        <v>52</v>
      </c>
      <c r="H98" s="166">
        <f>SUM(H99:H106)</f>
        <v>168529.769</v>
      </c>
      <c r="I98" s="111">
        <f>SUM(I99:I106)</f>
        <v>165242.80100000001</v>
      </c>
      <c r="J98" s="333">
        <f ca="1">SUM(J99:J106)</f>
        <v>40610.382999999994</v>
      </c>
      <c r="K98" s="260">
        <f t="shared" ca="1" si="21"/>
        <v>0.24576188949980335</v>
      </c>
      <c r="L98" s="111">
        <f>SUM(L99:L106)</f>
        <v>157421.14499999999</v>
      </c>
      <c r="M98" s="260">
        <f t="shared" si="23"/>
        <v>0.95266567770174737</v>
      </c>
      <c r="N98" s="111">
        <f>SUM(N99:N106)</f>
        <v>7821.655999999999</v>
      </c>
      <c r="O98" s="165">
        <f t="shared" si="24"/>
        <v>4.733432229825249E-2</v>
      </c>
      <c r="P98" s="166">
        <f>SUM(P99:P106)</f>
        <v>164017.447376</v>
      </c>
      <c r="Q98" s="111">
        <f ca="1">SUM(Q99:Q106)</f>
        <v>48209.342891</v>
      </c>
      <c r="R98" s="165">
        <f t="shared" ca="1" si="22"/>
        <v>0.29392813790403055</v>
      </c>
      <c r="S98" s="157"/>
      <c r="T98" s="568"/>
      <c r="U98" s="568"/>
      <c r="V98" s="669"/>
      <c r="W98" s="669"/>
      <c r="X98" s="668"/>
      <c r="Y98" s="668"/>
      <c r="Z98" s="668"/>
      <c r="AA98" s="673"/>
    </row>
    <row r="99" spans="2:27" ht="15" hidden="1" customHeight="1" outlineLevel="2" x14ac:dyDescent="0.25">
      <c r="B99" s="168"/>
      <c r="C99" s="108"/>
      <c r="D99" s="109" t="s">
        <v>169</v>
      </c>
      <c r="E99" s="110"/>
      <c r="F99" s="112" t="str">
        <f t="shared" ref="F99:F106" si="31">+CONCATENATE($B$78,"",$C$98,"",D99)</f>
        <v>22.05.001</v>
      </c>
      <c r="G99" s="1134" t="s">
        <v>53</v>
      </c>
      <c r="H99" s="166">
        <f t="shared" ref="H99:H106" si="32">+VLOOKUP(F99,matriz01,3,FALSE)</f>
        <v>13278</v>
      </c>
      <c r="I99" s="111">
        <f t="shared" ref="I99:I106" si="33">+VLOOKUP(F99,matriz01,4,FALSE)</f>
        <v>13278</v>
      </c>
      <c r="J99" s="333">
        <f t="shared" ref="J99:J106" ca="1" si="34">+VLOOKUP(F99,matriz01,5,FALSE)</f>
        <v>2803.24</v>
      </c>
      <c r="K99" s="260">
        <f t="shared" ca="1" si="21"/>
        <v>0.21111914444946525</v>
      </c>
      <c r="L99" s="111">
        <f t="shared" ref="L99:L106" si="35">INDEX(coincidenciaP01,MATCH(F99,indicep01,0),7)</f>
        <v>10714</v>
      </c>
      <c r="M99" s="260">
        <f t="shared" si="23"/>
        <v>0.80689862931164336</v>
      </c>
      <c r="N99" s="111">
        <f t="shared" ref="N99:N144" si="36">INDEX(coincidenciaP01,MATCH(F99,indicep01,0),9)</f>
        <v>2564</v>
      </c>
      <c r="O99" s="165">
        <f t="shared" si="24"/>
        <v>0.19310137068835667</v>
      </c>
      <c r="P99" s="166">
        <f>+'Prog 01'!P99</f>
        <v>7026.4299999999994</v>
      </c>
      <c r="Q99" s="111">
        <f ca="1">+'Prog 01'!Q99</f>
        <v>2337.3244</v>
      </c>
      <c r="R99" s="165">
        <f t="shared" ca="1" si="22"/>
        <v>0.3326475037821483</v>
      </c>
      <c r="T99" s="568"/>
      <c r="U99" s="568"/>
      <c r="X99" s="668"/>
      <c r="Y99" s="668"/>
      <c r="Z99" s="668"/>
      <c r="AA99" s="673"/>
    </row>
    <row r="100" spans="2:27" ht="15" hidden="1" customHeight="1" outlineLevel="2" x14ac:dyDescent="0.25">
      <c r="B100" s="168"/>
      <c r="C100" s="108"/>
      <c r="D100" s="109" t="s">
        <v>165</v>
      </c>
      <c r="E100" s="110"/>
      <c r="F100" s="112" t="str">
        <f t="shared" si="31"/>
        <v>22.05.002</v>
      </c>
      <c r="G100" s="1134" t="s">
        <v>54</v>
      </c>
      <c r="H100" s="166">
        <f t="shared" si="32"/>
        <v>16584</v>
      </c>
      <c r="I100" s="111">
        <f t="shared" si="33"/>
        <v>14584</v>
      </c>
      <c r="J100" s="333">
        <f t="shared" ca="1" si="34"/>
        <v>4367.259</v>
      </c>
      <c r="K100" s="260">
        <f t="shared" ca="1" si="21"/>
        <v>0.29945549917718045</v>
      </c>
      <c r="L100" s="111">
        <f t="shared" si="35"/>
        <v>11365.189</v>
      </c>
      <c r="M100" s="260">
        <f t="shared" si="23"/>
        <v>0.77929162095447069</v>
      </c>
      <c r="N100" s="111">
        <f t="shared" si="36"/>
        <v>3218.8110000000001</v>
      </c>
      <c r="O100" s="165">
        <f t="shared" si="24"/>
        <v>0.22070837904552937</v>
      </c>
      <c r="P100" s="166">
        <f>+'Prog 01'!P100</f>
        <v>12203.24</v>
      </c>
      <c r="Q100" s="111">
        <f ca="1">+'Prog 01'!Q100</f>
        <v>3607.5881399999998</v>
      </c>
      <c r="R100" s="165">
        <f t="shared" ca="1" si="22"/>
        <v>0.2956254355400697</v>
      </c>
      <c r="T100" s="568"/>
      <c r="U100" s="568"/>
      <c r="X100" s="668"/>
      <c r="Y100" s="668"/>
      <c r="Z100" s="668"/>
      <c r="AA100" s="673"/>
    </row>
    <row r="101" spans="2:27" ht="15" hidden="1" customHeight="1" outlineLevel="2" x14ac:dyDescent="0.25">
      <c r="B101" s="168"/>
      <c r="C101" s="108"/>
      <c r="D101" s="109" t="s">
        <v>166</v>
      </c>
      <c r="E101" s="110"/>
      <c r="F101" s="112" t="str">
        <f t="shared" si="31"/>
        <v>22.05.003</v>
      </c>
      <c r="G101" s="1134" t="s">
        <v>55</v>
      </c>
      <c r="H101" s="166">
        <f>+VLOOKUP(F101,matriz01,3,FALSE)</f>
        <v>2930</v>
      </c>
      <c r="I101" s="111">
        <f t="shared" si="33"/>
        <v>2930</v>
      </c>
      <c r="J101" s="333">
        <f t="shared" ca="1" si="34"/>
        <v>214.05</v>
      </c>
      <c r="K101" s="260">
        <f t="shared" ca="1" si="21"/>
        <v>7.3054607508532432E-2</v>
      </c>
      <c r="L101" s="111">
        <f t="shared" si="35"/>
        <v>1680</v>
      </c>
      <c r="M101" s="260">
        <f t="shared" si="23"/>
        <v>0.57337883959044367</v>
      </c>
      <c r="N101" s="111">
        <f t="shared" si="36"/>
        <v>1250</v>
      </c>
      <c r="O101" s="165">
        <f t="shared" si="24"/>
        <v>0.42662116040955633</v>
      </c>
      <c r="P101" s="166">
        <f>+'Prog 01'!P101</f>
        <v>1381.8999999999999</v>
      </c>
      <c r="Q101" s="111">
        <f ca="1">+'Prog 01'!Q101</f>
        <v>258.57474999999999</v>
      </c>
      <c r="R101" s="165">
        <f t="shared" ca="1" si="22"/>
        <v>0.18711538461538463</v>
      </c>
      <c r="T101" s="568"/>
      <c r="U101" s="568"/>
      <c r="X101" s="668"/>
      <c r="Y101" s="668"/>
      <c r="Z101" s="668"/>
      <c r="AA101" s="673"/>
    </row>
    <row r="102" spans="2:27" ht="15" hidden="1" customHeight="1" outlineLevel="2" x14ac:dyDescent="0.25">
      <c r="B102" s="168"/>
      <c r="C102" s="108"/>
      <c r="D102" s="109" t="s">
        <v>179</v>
      </c>
      <c r="E102" s="110"/>
      <c r="F102" s="112" t="str">
        <f t="shared" si="31"/>
        <v>22.05.004</v>
      </c>
      <c r="G102" s="1134" t="s">
        <v>56</v>
      </c>
      <c r="H102" s="166">
        <f>+VLOOKUP(F102,matriz01,3,FALSE)</f>
        <v>18000</v>
      </c>
      <c r="I102" s="111">
        <f t="shared" si="33"/>
        <v>16240</v>
      </c>
      <c r="J102" s="333">
        <f t="shared" ca="1" si="34"/>
        <v>4577.076</v>
      </c>
      <c r="K102" s="260">
        <f t="shared" ca="1" si="21"/>
        <v>0.28183965517241377</v>
      </c>
      <c r="L102" s="111">
        <f t="shared" si="35"/>
        <v>16240</v>
      </c>
      <c r="M102" s="260">
        <f t="shared" si="23"/>
        <v>1</v>
      </c>
      <c r="N102" s="111">
        <f t="shared" si="36"/>
        <v>0</v>
      </c>
      <c r="O102" s="165">
        <f t="shared" si="24"/>
        <v>0</v>
      </c>
      <c r="P102" s="166">
        <f>+'Prog 01'!P102</f>
        <v>18310.174999999999</v>
      </c>
      <c r="Q102" s="111">
        <f ca="1">+'Prog 01'!Q102</f>
        <v>3926.528534</v>
      </c>
      <c r="R102" s="165">
        <f t="shared" ca="1" si="22"/>
        <v>0.21444516690856313</v>
      </c>
      <c r="T102" s="568"/>
      <c r="U102" s="568"/>
      <c r="X102" s="668"/>
      <c r="Y102" s="668"/>
      <c r="Z102" s="668"/>
      <c r="AA102" s="673"/>
    </row>
    <row r="103" spans="2:27" ht="15" hidden="1" customHeight="1" outlineLevel="2" x14ac:dyDescent="0.25">
      <c r="B103" s="168"/>
      <c r="C103" s="108"/>
      <c r="D103" s="109" t="s">
        <v>180</v>
      </c>
      <c r="E103" s="110"/>
      <c r="F103" s="112" t="str">
        <f t="shared" si="31"/>
        <v>22.05.005</v>
      </c>
      <c r="G103" s="1134" t="s">
        <v>57</v>
      </c>
      <c r="H103" s="166">
        <f t="shared" si="32"/>
        <v>65582</v>
      </c>
      <c r="I103" s="111">
        <f t="shared" si="33"/>
        <v>65581.751999999993</v>
      </c>
      <c r="J103" s="333">
        <f t="shared" ca="1" si="34"/>
        <v>16395.437999999998</v>
      </c>
      <c r="K103" s="260">
        <f t="shared" ca="1" si="21"/>
        <v>0.25</v>
      </c>
      <c r="L103" s="111">
        <f t="shared" si="35"/>
        <v>65581.751999999993</v>
      </c>
      <c r="M103" s="260">
        <f t="shared" si="23"/>
        <v>1</v>
      </c>
      <c r="N103" s="111">
        <f t="shared" si="36"/>
        <v>0</v>
      </c>
      <c r="O103" s="165">
        <f t="shared" si="24"/>
        <v>0</v>
      </c>
      <c r="P103" s="166">
        <f>+'Prog 01'!P103</f>
        <v>69713.402375999984</v>
      </c>
      <c r="Q103" s="111">
        <f ca="1">+'Prog 01'!Q103</f>
        <v>23237.800791999998</v>
      </c>
      <c r="R103" s="165">
        <f t="shared" ca="1" si="22"/>
        <v>0.33333333333333337</v>
      </c>
      <c r="T103" s="568"/>
      <c r="U103" s="568"/>
      <c r="X103" s="668"/>
      <c r="Y103" s="668"/>
      <c r="Z103" s="668"/>
      <c r="AA103" s="673"/>
    </row>
    <row r="104" spans="2:27" ht="15" hidden="1" customHeight="1" outlineLevel="2" x14ac:dyDescent="0.25">
      <c r="B104" s="168"/>
      <c r="C104" s="108"/>
      <c r="D104" s="109" t="s">
        <v>181</v>
      </c>
      <c r="E104" s="110"/>
      <c r="F104" s="112" t="str">
        <f t="shared" si="31"/>
        <v>22.05.006</v>
      </c>
      <c r="G104" s="1134" t="s">
        <v>58</v>
      </c>
      <c r="H104" s="166">
        <f>+VLOOKUP(F104,matriz01,3,FALSE)</f>
        <v>7155.7690000000002</v>
      </c>
      <c r="I104" s="111">
        <f t="shared" si="33"/>
        <v>7114.2860000000001</v>
      </c>
      <c r="J104" s="333">
        <f t="shared" ca="1" si="34"/>
        <v>0</v>
      </c>
      <c r="K104" s="260">
        <f t="shared" ca="1" si="21"/>
        <v>0</v>
      </c>
      <c r="L104" s="111">
        <f t="shared" si="35"/>
        <v>7095.7690000000002</v>
      </c>
      <c r="M104" s="260">
        <f t="shared" si="23"/>
        <v>0.99739720893987116</v>
      </c>
      <c r="N104" s="111">
        <f t="shared" si="36"/>
        <v>18.516999999999999</v>
      </c>
      <c r="O104" s="165">
        <f t="shared" si="24"/>
        <v>2.6027910601288729E-3</v>
      </c>
      <c r="P104" s="166">
        <f>+'Prog 01'!P104</f>
        <v>10630</v>
      </c>
      <c r="Q104" s="111">
        <f ca="1">+'Prog 01'!Q104</f>
        <v>530.41255099999989</v>
      </c>
      <c r="R104" s="165">
        <f t="shared" ca="1" si="22"/>
        <v>4.9897699999999989E-2</v>
      </c>
      <c r="T104" s="568"/>
      <c r="U104" s="568"/>
      <c r="X104" s="668"/>
      <c r="Y104" s="668"/>
      <c r="Z104" s="668"/>
      <c r="AA104" s="673"/>
    </row>
    <row r="105" spans="2:27" ht="15" hidden="1" customHeight="1" outlineLevel="2" x14ac:dyDescent="0.25">
      <c r="B105" s="168"/>
      <c r="C105" s="108"/>
      <c r="D105" s="109" t="s">
        <v>170</v>
      </c>
      <c r="E105" s="110"/>
      <c r="F105" s="112" t="str">
        <f t="shared" si="31"/>
        <v>22.05.007</v>
      </c>
      <c r="G105" s="1134" t="s">
        <v>59</v>
      </c>
      <c r="H105" s="166">
        <f t="shared" si="32"/>
        <v>6600</v>
      </c>
      <c r="I105" s="111">
        <f t="shared" si="33"/>
        <v>7114.7629999999999</v>
      </c>
      <c r="J105" s="333">
        <f t="shared" ca="1" si="34"/>
        <v>2845.902</v>
      </c>
      <c r="K105" s="260">
        <f t="shared" ca="1" si="21"/>
        <v>0.3999995502309775</v>
      </c>
      <c r="L105" s="111">
        <f t="shared" si="35"/>
        <v>7114.7629999999999</v>
      </c>
      <c r="M105" s="260">
        <f t="shared" si="23"/>
        <v>1</v>
      </c>
      <c r="N105" s="111">
        <f t="shared" si="36"/>
        <v>0</v>
      </c>
      <c r="O105" s="165">
        <f t="shared" si="24"/>
        <v>0</v>
      </c>
      <c r="P105" s="166">
        <f>+'Prog 01'!P105</f>
        <v>6484.2999999999993</v>
      </c>
      <c r="Q105" s="111">
        <f ca="1">+'Prog 01'!Q105</f>
        <v>2040.1436159999998</v>
      </c>
      <c r="R105" s="165">
        <f t="shared" ca="1" si="22"/>
        <v>0.31462819672131148</v>
      </c>
      <c r="T105" s="568"/>
      <c r="U105" s="568"/>
      <c r="X105" s="668"/>
      <c r="Y105" s="668"/>
      <c r="Z105" s="668"/>
      <c r="AA105" s="673"/>
    </row>
    <row r="106" spans="2:27" ht="15" hidden="1" customHeight="1" outlineLevel="2" x14ac:dyDescent="0.25">
      <c r="B106" s="168"/>
      <c r="C106" s="108"/>
      <c r="D106" s="109" t="s">
        <v>171</v>
      </c>
      <c r="E106" s="110"/>
      <c r="F106" s="112" t="str">
        <f t="shared" si="31"/>
        <v>22.05.008</v>
      </c>
      <c r="G106" s="1134" t="s">
        <v>60</v>
      </c>
      <c r="H106" s="166">
        <f t="shared" si="32"/>
        <v>38400</v>
      </c>
      <c r="I106" s="111">
        <f t="shared" si="33"/>
        <v>38400</v>
      </c>
      <c r="J106" s="333">
        <f t="shared" ca="1" si="34"/>
        <v>9407.4179999999997</v>
      </c>
      <c r="K106" s="260">
        <f t="shared" ca="1" si="21"/>
        <v>0.24498484374999999</v>
      </c>
      <c r="L106" s="111">
        <f t="shared" si="35"/>
        <v>37629.671999999999</v>
      </c>
      <c r="M106" s="260">
        <f t="shared" si="23"/>
        <v>0.97993937499999995</v>
      </c>
      <c r="N106" s="111">
        <f t="shared" si="36"/>
        <v>770.32799999999997</v>
      </c>
      <c r="O106" s="165">
        <f t="shared" si="24"/>
        <v>2.0060624999999999E-2</v>
      </c>
      <c r="P106" s="166">
        <f>+'Prog 01'!P106</f>
        <v>38268</v>
      </c>
      <c r="Q106" s="111">
        <f ca="1">+'Prog 01'!Q106</f>
        <v>12270.970108</v>
      </c>
      <c r="R106" s="165">
        <f t="shared" ca="1" si="22"/>
        <v>0.32065877777777779</v>
      </c>
      <c r="T106" s="568"/>
      <c r="U106" s="568"/>
      <c r="X106" s="668"/>
      <c r="Y106" s="668"/>
      <c r="Z106" s="668"/>
      <c r="AA106" s="673"/>
    </row>
    <row r="107" spans="2:27" s="158" customFormat="1" ht="15" hidden="1" customHeight="1" outlineLevel="1" x14ac:dyDescent="0.25">
      <c r="B107" s="168"/>
      <c r="C107" s="108" t="s">
        <v>182</v>
      </c>
      <c r="D107" s="109"/>
      <c r="E107" s="110"/>
      <c r="F107" s="110"/>
      <c r="G107" s="1340" t="s">
        <v>110</v>
      </c>
      <c r="H107" s="1339">
        <f>SUM(H108:H114)</f>
        <v>64128.5</v>
      </c>
      <c r="I107" s="111">
        <f>SUM(I108:I114)</f>
        <v>62915.716</v>
      </c>
      <c r="J107" s="111">
        <f ca="1">SUM(J108:J114)</f>
        <v>27232.602999999999</v>
      </c>
      <c r="K107" s="260">
        <f t="shared" ca="1" si="21"/>
        <v>0.43284261439542387</v>
      </c>
      <c r="L107" s="111">
        <f>SUM(L108:L114)</f>
        <v>50833.946000000004</v>
      </c>
      <c r="M107" s="260">
        <f t="shared" si="23"/>
        <v>0.80796896597346213</v>
      </c>
      <c r="N107" s="111">
        <f>SUM(N108:N114)</f>
        <v>12081.769999999997</v>
      </c>
      <c r="O107" s="165">
        <f t="shared" si="24"/>
        <v>0.19203103402653793</v>
      </c>
      <c r="P107" s="166">
        <f>SUM(P108:P114)</f>
        <v>22062.671299999998</v>
      </c>
      <c r="Q107" s="111">
        <f ca="1">SUM(Q108:Q114)</f>
        <v>5653.3305769999988</v>
      </c>
      <c r="R107" s="165">
        <f t="shared" ca="1" si="22"/>
        <v>0.25623962303241127</v>
      </c>
      <c r="S107" s="157"/>
      <c r="T107" s="568"/>
      <c r="U107" s="568"/>
      <c r="V107" s="669"/>
      <c r="W107" s="669"/>
      <c r="X107" s="668"/>
      <c r="Y107" s="668"/>
      <c r="Z107" s="668"/>
      <c r="AA107" s="673"/>
    </row>
    <row r="108" spans="2:27" ht="15" hidden="1" customHeight="1" outlineLevel="2" x14ac:dyDescent="0.25">
      <c r="B108" s="168"/>
      <c r="C108" s="108"/>
      <c r="D108" s="109" t="s">
        <v>169</v>
      </c>
      <c r="E108" s="110"/>
      <c r="F108" s="112" t="str">
        <f>+CONCATENATE($B$78,"",$C$107,"",D108)</f>
        <v>22.06.001</v>
      </c>
      <c r="G108" s="1134" t="s">
        <v>111</v>
      </c>
      <c r="H108" s="166">
        <f t="shared" ref="H108:H114" si="37">+VLOOKUP(F108,matriz01,3,FALSE)</f>
        <v>26300</v>
      </c>
      <c r="I108" s="111">
        <f t="shared" ref="I108:I114" si="38">+VLOOKUP(F108,matriz01,4,FALSE)</f>
        <v>40002.733</v>
      </c>
      <c r="J108" s="111">
        <f t="shared" ref="J108:J114" ca="1" si="39">+VLOOKUP(F108,matriz01,5,FALSE)</f>
        <v>19508.618999999999</v>
      </c>
      <c r="K108" s="260">
        <f t="shared" ca="1" si="21"/>
        <v>0.48768215411681992</v>
      </c>
      <c r="L108" s="111">
        <f t="shared" ref="L108:L114" si="40">INDEX(coincidenciaP01,MATCH(F108,indicep01,0),7)</f>
        <v>39797.629999999997</v>
      </c>
      <c r="M108" s="260">
        <f t="shared" si="23"/>
        <v>0.9948727753176263</v>
      </c>
      <c r="N108" s="111">
        <f t="shared" si="36"/>
        <v>205.10300000000001</v>
      </c>
      <c r="O108" s="165">
        <f t="shared" si="24"/>
        <v>5.1272246823735775E-3</v>
      </c>
      <c r="P108" s="166">
        <f>+'Prog 01'!P108</f>
        <v>366.84129999999999</v>
      </c>
      <c r="Q108" s="111">
        <f ca="1">+'Prog 01'!Q108</f>
        <v>366.84130000000005</v>
      </c>
      <c r="R108" s="165">
        <f t="shared" ca="1" si="22"/>
        <v>1.0000000000000002</v>
      </c>
      <c r="T108" s="568"/>
      <c r="U108" s="568"/>
      <c r="X108" s="668"/>
      <c r="Y108" s="668"/>
      <c r="Z108" s="668"/>
      <c r="AA108" s="673"/>
    </row>
    <row r="109" spans="2:27" ht="15" hidden="1" customHeight="1" outlineLevel="2" x14ac:dyDescent="0.25">
      <c r="B109" s="168"/>
      <c r="C109" s="108"/>
      <c r="D109" s="109" t="s">
        <v>165</v>
      </c>
      <c r="E109" s="110"/>
      <c r="F109" s="112" t="str">
        <f>+CONCATENATE($B$78,"",$C$107,"",D109)</f>
        <v>22.06.002</v>
      </c>
      <c r="G109" s="1134" t="s">
        <v>61</v>
      </c>
      <c r="H109" s="166">
        <f t="shared" si="37"/>
        <v>26512.2</v>
      </c>
      <c r="I109" s="111">
        <f t="shared" si="38"/>
        <v>14894.383</v>
      </c>
      <c r="J109" s="111">
        <f t="shared" ca="1" si="39"/>
        <v>5871.3260000000009</v>
      </c>
      <c r="K109" s="260">
        <f t="shared" ca="1" si="21"/>
        <v>0.3941973292884976</v>
      </c>
      <c r="L109" s="111">
        <f t="shared" si="40"/>
        <v>6322.6090000000004</v>
      </c>
      <c r="M109" s="260">
        <f t="shared" si="23"/>
        <v>0.42449620101752455</v>
      </c>
      <c r="N109" s="111">
        <f t="shared" si="36"/>
        <v>8571.7739999999994</v>
      </c>
      <c r="O109" s="165">
        <f t="shared" si="24"/>
        <v>0.57550379898247539</v>
      </c>
      <c r="P109" s="166">
        <f>+'Prog 01'!P109</f>
        <v>12756</v>
      </c>
      <c r="Q109" s="111">
        <f ca="1">+'Prog 01'!Q109</f>
        <v>4391.3135909999992</v>
      </c>
      <c r="R109" s="165">
        <f t="shared" ca="1" si="22"/>
        <v>0.34425474999999994</v>
      </c>
      <c r="T109" s="568"/>
      <c r="U109" s="568"/>
      <c r="X109" s="668"/>
      <c r="Y109" s="668"/>
      <c r="Z109" s="668"/>
      <c r="AA109" s="673"/>
    </row>
    <row r="110" spans="2:27" ht="15" hidden="1" customHeight="1" outlineLevel="2" x14ac:dyDescent="0.25">
      <c r="B110" s="168"/>
      <c r="C110" s="108"/>
      <c r="D110" s="109" t="s">
        <v>179</v>
      </c>
      <c r="E110" s="110"/>
      <c r="F110" s="112" t="s">
        <v>879</v>
      </c>
      <c r="G110" s="1497" t="str">
        <f>+'Prog 01'!G111</f>
        <v>Mantenimiento y Reparación de Máquinas y Equipos d</v>
      </c>
      <c r="H110" s="166">
        <f>+VLOOKUP(F110,matriz01,3,FALSE)</f>
        <v>916.3</v>
      </c>
      <c r="I110" s="111">
        <f>+'Prog 01'!I111</f>
        <v>1118.5999999999999</v>
      </c>
      <c r="J110" s="111">
        <f t="shared" ca="1" si="39"/>
        <v>916.3</v>
      </c>
      <c r="K110" s="260">
        <f t="shared" ca="1" si="21"/>
        <v>0.81914893617021278</v>
      </c>
      <c r="L110" s="111">
        <f>+'Prog 01'!L111</f>
        <v>916.3</v>
      </c>
      <c r="M110" s="260">
        <f t="shared" si="23"/>
        <v>0.81914893617021278</v>
      </c>
      <c r="N110" s="111">
        <f>INDEX(coincidenciaP01,MATCH(F110,indicep01,0),9)</f>
        <v>202.3</v>
      </c>
      <c r="O110" s="165">
        <f t="shared" si="24"/>
        <v>0.18085106382978725</v>
      </c>
      <c r="P110" s="166">
        <f>+'Prog 01'!P111</f>
        <v>0</v>
      </c>
      <c r="Q110" s="111">
        <f ca="1">+'Prog 01'!Q111</f>
        <v>0</v>
      </c>
      <c r="R110" s="165" t="str">
        <f t="shared" ca="1" si="22"/>
        <v>0.00%</v>
      </c>
      <c r="T110" s="568"/>
      <c r="U110" s="568"/>
      <c r="X110" s="668"/>
      <c r="Y110" s="668"/>
      <c r="Z110" s="668"/>
      <c r="AA110" s="673"/>
    </row>
    <row r="111" spans="2:27" ht="15" hidden="1" customHeight="1" outlineLevel="2" x14ac:dyDescent="0.25">
      <c r="B111" s="168"/>
      <c r="C111" s="108"/>
      <c r="D111" s="109" t="s">
        <v>166</v>
      </c>
      <c r="E111" s="110"/>
      <c r="F111" s="112" t="str">
        <f>+CONCATENATE($B$78,"",$C$107,"",D111)</f>
        <v>22.06.003</v>
      </c>
      <c r="G111" s="1134" t="s">
        <v>112</v>
      </c>
      <c r="H111" s="341">
        <f>+VLOOKUP(F111,matriz01,3,FALSE)</f>
        <v>2000</v>
      </c>
      <c r="I111" s="111">
        <f t="shared" si="38"/>
        <v>0</v>
      </c>
      <c r="J111" s="111">
        <f t="shared" ca="1" si="39"/>
        <v>0</v>
      </c>
      <c r="K111" s="260" t="str">
        <f t="shared" ca="1" si="21"/>
        <v>0.00%</v>
      </c>
      <c r="L111" s="111">
        <f t="shared" si="40"/>
        <v>0</v>
      </c>
      <c r="M111" s="260">
        <f t="shared" si="23"/>
        <v>0</v>
      </c>
      <c r="N111" s="111">
        <f t="shared" si="36"/>
        <v>0</v>
      </c>
      <c r="O111" s="165">
        <f t="shared" si="24"/>
        <v>0</v>
      </c>
      <c r="P111" s="166">
        <f>+'Prog 01'!P110</f>
        <v>0</v>
      </c>
      <c r="Q111" s="111">
        <f ca="1">+'Prog 01'!Q110</f>
        <v>0</v>
      </c>
      <c r="R111" s="165" t="str">
        <f t="shared" ca="1" si="22"/>
        <v>0.00%</v>
      </c>
      <c r="T111" s="568"/>
      <c r="U111" s="568"/>
      <c r="X111" s="668"/>
      <c r="Y111" s="668"/>
      <c r="Z111" s="668"/>
      <c r="AA111" s="673"/>
    </row>
    <row r="112" spans="2:27" ht="15" hidden="1" customHeight="1" outlineLevel="2" x14ac:dyDescent="0.25">
      <c r="B112" s="168"/>
      <c r="C112" s="108"/>
      <c r="D112" s="109" t="s">
        <v>181</v>
      </c>
      <c r="E112" s="110"/>
      <c r="F112" s="112" t="str">
        <f>+CONCATENATE($B$78,"",$C$107,"",D112)</f>
        <v>22.06.006</v>
      </c>
      <c r="G112" s="1134" t="s">
        <v>62</v>
      </c>
      <c r="H112" s="166">
        <f t="shared" si="37"/>
        <v>0</v>
      </c>
      <c r="I112" s="111">
        <f t="shared" si="38"/>
        <v>0</v>
      </c>
      <c r="J112" s="111">
        <f t="shared" ca="1" si="39"/>
        <v>0</v>
      </c>
      <c r="K112" s="260" t="str">
        <f t="shared" ca="1" si="21"/>
        <v>0.00%</v>
      </c>
      <c r="L112" s="111">
        <f t="shared" si="40"/>
        <v>0</v>
      </c>
      <c r="M112" s="260">
        <f t="shared" si="23"/>
        <v>0</v>
      </c>
      <c r="N112" s="111">
        <f t="shared" si="36"/>
        <v>0</v>
      </c>
      <c r="O112" s="165">
        <f t="shared" si="24"/>
        <v>0</v>
      </c>
      <c r="P112" s="166">
        <f>+'Prog 01'!P112</f>
        <v>542.13</v>
      </c>
      <c r="Q112" s="111">
        <f ca="1">+'Prog 01'!Q112</f>
        <v>0</v>
      </c>
      <c r="R112" s="165">
        <f t="shared" ca="1" si="22"/>
        <v>0</v>
      </c>
      <c r="T112" s="568"/>
      <c r="U112" s="568"/>
      <c r="X112" s="668"/>
      <c r="Y112" s="668"/>
      <c r="Z112" s="668"/>
      <c r="AA112" s="673"/>
    </row>
    <row r="113" spans="2:27" ht="15" hidden="1" customHeight="1" outlineLevel="2" x14ac:dyDescent="0.25">
      <c r="B113" s="168"/>
      <c r="C113" s="108"/>
      <c r="D113" s="109" t="s">
        <v>170</v>
      </c>
      <c r="E113" s="110"/>
      <c r="F113" s="112" t="str">
        <f>+CONCATENATE($B$78,"",$C$107,"",D113)</f>
        <v>22.06.007</v>
      </c>
      <c r="G113" s="1134" t="s">
        <v>63</v>
      </c>
      <c r="H113" s="166">
        <f t="shared" si="37"/>
        <v>8400</v>
      </c>
      <c r="I113" s="111">
        <f t="shared" si="38"/>
        <v>6900</v>
      </c>
      <c r="J113" s="111">
        <f t="shared" ca="1" si="39"/>
        <v>936.35799999999995</v>
      </c>
      <c r="K113" s="260">
        <f t="shared" ca="1" si="21"/>
        <v>0.13570405797101448</v>
      </c>
      <c r="L113" s="111">
        <f t="shared" si="40"/>
        <v>3797.4070000000002</v>
      </c>
      <c r="M113" s="260">
        <f t="shared" si="23"/>
        <v>0.55034884057971012</v>
      </c>
      <c r="N113" s="111">
        <f t="shared" si="36"/>
        <v>3102.5929999999998</v>
      </c>
      <c r="O113" s="165">
        <f t="shared" si="24"/>
        <v>0.44965115942028983</v>
      </c>
      <c r="P113" s="167">
        <f>+'Prog 01'!P113</f>
        <v>8397.6999999999989</v>
      </c>
      <c r="Q113" s="111">
        <f ca="1">+'Prog 01'!Q113</f>
        <v>895.17568599999993</v>
      </c>
      <c r="R113" s="165">
        <f t="shared" ca="1" si="22"/>
        <v>0.10659772151898735</v>
      </c>
      <c r="T113" s="568"/>
      <c r="U113" s="568"/>
      <c r="X113" s="668"/>
      <c r="Y113" s="668"/>
      <c r="Z113" s="668"/>
      <c r="AA113" s="673"/>
    </row>
    <row r="114" spans="2:27" ht="15" hidden="1" customHeight="1" outlineLevel="2" x14ac:dyDescent="0.25">
      <c r="B114" s="168"/>
      <c r="C114" s="108"/>
      <c r="D114" s="109" t="s">
        <v>177</v>
      </c>
      <c r="E114" s="110"/>
      <c r="F114" s="112" t="str">
        <f>+CONCATENATE($B$78,"",$C$107,"",D114)</f>
        <v>22.06.999</v>
      </c>
      <c r="G114" s="1134" t="s">
        <v>51</v>
      </c>
      <c r="H114" s="166">
        <f t="shared" si="37"/>
        <v>0</v>
      </c>
      <c r="I114" s="111">
        <f t="shared" si="38"/>
        <v>0</v>
      </c>
      <c r="J114" s="111">
        <f t="shared" ca="1" si="39"/>
        <v>0</v>
      </c>
      <c r="K114" s="260" t="str">
        <f t="shared" ca="1" si="21"/>
        <v>0.00%</v>
      </c>
      <c r="L114" s="111">
        <f t="shared" si="40"/>
        <v>0</v>
      </c>
      <c r="M114" s="260">
        <f t="shared" si="23"/>
        <v>0</v>
      </c>
      <c r="N114" s="111">
        <f t="shared" si="36"/>
        <v>0</v>
      </c>
      <c r="O114" s="165">
        <f t="shared" si="24"/>
        <v>0</v>
      </c>
      <c r="P114" s="166">
        <f>+'Prog 01'!P114</f>
        <v>0</v>
      </c>
      <c r="Q114" s="111">
        <f ca="1">+'Prog 01'!Q114</f>
        <v>0</v>
      </c>
      <c r="R114" s="165" t="str">
        <f t="shared" ca="1" si="22"/>
        <v>0.00%</v>
      </c>
      <c r="T114" s="568"/>
      <c r="U114" s="568"/>
      <c r="X114" s="668"/>
      <c r="Y114" s="668"/>
      <c r="Z114" s="668"/>
      <c r="AA114" s="673"/>
    </row>
    <row r="115" spans="2:27" s="158" customFormat="1" ht="15" hidden="1" customHeight="1" outlineLevel="1" x14ac:dyDescent="0.25">
      <c r="B115" s="168"/>
      <c r="C115" s="108" t="s">
        <v>183</v>
      </c>
      <c r="D115" s="109"/>
      <c r="E115" s="110"/>
      <c r="F115" s="110"/>
      <c r="G115" s="1136" t="s">
        <v>64</v>
      </c>
      <c r="H115" s="166">
        <f>SUM(H116:H117)</f>
        <v>1912.9669999999999</v>
      </c>
      <c r="I115" s="111">
        <f>SUM(I116:I117)</f>
        <v>8102.1930000000002</v>
      </c>
      <c r="J115" s="111">
        <f ca="1">SUM(J116:J117)</f>
        <v>6153.6030000000001</v>
      </c>
      <c r="K115" s="260">
        <f t="shared" ca="1" si="21"/>
        <v>0.75949844690196833</v>
      </c>
      <c r="L115" s="111">
        <f>SUM(L116:L117)</f>
        <v>8102.1930000000002</v>
      </c>
      <c r="M115" s="260">
        <f t="shared" si="23"/>
        <v>1</v>
      </c>
      <c r="N115" s="111">
        <f>SUM(N116:N117)</f>
        <v>0</v>
      </c>
      <c r="O115" s="165">
        <f t="shared" si="24"/>
        <v>0</v>
      </c>
      <c r="P115" s="166">
        <f>SUM(P116:P117)</f>
        <v>19132.724399999999</v>
      </c>
      <c r="Q115" s="111">
        <f ca="1">SUM(Q116:Q117)</f>
        <v>2700.090158</v>
      </c>
      <c r="R115" s="165">
        <f t="shared" ca="1" si="22"/>
        <v>0.14112418605684823</v>
      </c>
      <c r="S115" s="157"/>
      <c r="T115" s="568"/>
      <c r="U115" s="568"/>
      <c r="V115" s="669"/>
      <c r="W115" s="669"/>
      <c r="X115" s="668"/>
      <c r="Y115" s="668"/>
      <c r="Z115" s="668"/>
      <c r="AA115" s="673"/>
    </row>
    <row r="116" spans="2:27" ht="15" hidden="1" customHeight="1" outlineLevel="2" x14ac:dyDescent="0.25">
      <c r="B116" s="168"/>
      <c r="C116" s="108"/>
      <c r="D116" s="109" t="s">
        <v>169</v>
      </c>
      <c r="E116" s="110"/>
      <c r="F116" s="112" t="str">
        <f>+CONCATENATE($B$78,"",$C$115,"",D116)</f>
        <v>22.07.001</v>
      </c>
      <c r="G116" s="1134" t="s">
        <v>65</v>
      </c>
      <c r="H116" s="166">
        <f>+VLOOKUP(F116,matriz01,3,FALSE)</f>
        <v>1740.4159999999999</v>
      </c>
      <c r="I116" s="111">
        <f>+VLOOKUP(F116,matriz01,4,FALSE)</f>
        <v>4038.5590000000002</v>
      </c>
      <c r="J116" s="111">
        <f ca="1">+VLOOKUP(F116,matriz01,5,FALSE)</f>
        <v>2089.9690000000001</v>
      </c>
      <c r="K116" s="260">
        <f t="shared" ca="1" si="21"/>
        <v>0.51750364424538553</v>
      </c>
      <c r="L116" s="111">
        <f>INDEX(coincidenciaP01,MATCH(F116,indicep01,0),7)</f>
        <v>4038.5590000000002</v>
      </c>
      <c r="M116" s="260">
        <f t="shared" si="23"/>
        <v>1</v>
      </c>
      <c r="N116" s="111">
        <f t="shared" si="36"/>
        <v>0</v>
      </c>
      <c r="O116" s="165">
        <f t="shared" si="24"/>
        <v>0</v>
      </c>
      <c r="P116" s="167">
        <f>+'Prog 01'!P116</f>
        <v>10630</v>
      </c>
      <c r="Q116" s="111">
        <f ca="1">+'Prog 01'!Q116</f>
        <v>2677.607708</v>
      </c>
      <c r="R116" s="165">
        <f t="shared" ca="1" si="22"/>
        <v>0.25189159999999999</v>
      </c>
      <c r="T116" s="568"/>
      <c r="U116" s="568"/>
      <c r="X116" s="668"/>
      <c r="Y116" s="668"/>
      <c r="Z116" s="668"/>
      <c r="AA116" s="673"/>
    </row>
    <row r="117" spans="2:27" ht="15" hidden="1" customHeight="1" outlineLevel="2" x14ac:dyDescent="0.25">
      <c r="B117" s="168"/>
      <c r="C117" s="108"/>
      <c r="D117" s="109" t="s">
        <v>165</v>
      </c>
      <c r="E117" s="110"/>
      <c r="F117" s="112" t="str">
        <f>+CONCATENATE($B$78,"",$C$115,"",D117)</f>
        <v>22.07.002</v>
      </c>
      <c r="G117" s="1134" t="s">
        <v>66</v>
      </c>
      <c r="H117" s="166">
        <f>+VLOOKUP(F117,matriz01,3,FALSE)</f>
        <v>172.55099999999999</v>
      </c>
      <c r="I117" s="111">
        <f>+VLOOKUP(F117,matriz01,4,FALSE)</f>
        <v>4063.634</v>
      </c>
      <c r="J117" s="111">
        <f ca="1">+VLOOKUP(F117,matriz01,5,FALSE)</f>
        <v>4063.634</v>
      </c>
      <c r="K117" s="260">
        <f t="shared" ca="1" si="21"/>
        <v>1</v>
      </c>
      <c r="L117" s="111">
        <f>INDEX(coincidenciaP01,MATCH(F117,indicep01,0),7)</f>
        <v>4063.634</v>
      </c>
      <c r="M117" s="260">
        <f t="shared" si="23"/>
        <v>1</v>
      </c>
      <c r="N117" s="111">
        <f t="shared" si="36"/>
        <v>0</v>
      </c>
      <c r="O117" s="165">
        <f t="shared" si="24"/>
        <v>0</v>
      </c>
      <c r="P117" s="166">
        <f>+'Prog 01'!P117</f>
        <v>8502.7243999999992</v>
      </c>
      <c r="Q117" s="111">
        <f ca="1">+'Prog 01'!Q117</f>
        <v>22.482449999999996</v>
      </c>
      <c r="R117" s="165">
        <f t="shared" ca="1" si="22"/>
        <v>2.6441466219932989E-3</v>
      </c>
      <c r="T117" s="568"/>
      <c r="U117" s="568"/>
      <c r="X117" s="668"/>
      <c r="Y117" s="668"/>
      <c r="Z117" s="668"/>
      <c r="AA117" s="673"/>
    </row>
    <row r="118" spans="2:27" s="158" customFormat="1" ht="15" hidden="1" customHeight="1" outlineLevel="1" x14ac:dyDescent="0.25">
      <c r="B118" s="168"/>
      <c r="C118" s="108" t="s">
        <v>184</v>
      </c>
      <c r="D118" s="109"/>
      <c r="E118" s="110"/>
      <c r="F118" s="110"/>
      <c r="G118" s="1133" t="s">
        <v>67</v>
      </c>
      <c r="H118" s="166">
        <f>SUM(H119:H124)</f>
        <v>336456.99099999998</v>
      </c>
      <c r="I118" s="111">
        <f>SUM(I119:I124)</f>
        <v>486161.28300000005</v>
      </c>
      <c r="J118" s="111">
        <f ca="1">SUM(J119:J124)</f>
        <v>118582.606</v>
      </c>
      <c r="K118" s="260">
        <f t="shared" ca="1" si="21"/>
        <v>0.24391618614351893</v>
      </c>
      <c r="L118" s="111">
        <f>SUM(L119:L124)</f>
        <v>259933.04200000004</v>
      </c>
      <c r="M118" s="260">
        <f t="shared" si="23"/>
        <v>0.53466421759463723</v>
      </c>
      <c r="N118" s="111">
        <f>SUM(N119:N124)</f>
        <v>226228.24099999998</v>
      </c>
      <c r="O118" s="165">
        <f t="shared" si="24"/>
        <v>0.46533578240536272</v>
      </c>
      <c r="P118" s="166">
        <f>SUM(P119:P124)</f>
        <v>219848.686292</v>
      </c>
      <c r="Q118" s="111">
        <f ca="1">SUM(Q119:Q124)</f>
        <v>76076.525691000003</v>
      </c>
      <c r="R118" s="165">
        <f t="shared" ca="1" si="22"/>
        <v>0.34604039248138246</v>
      </c>
      <c r="S118" s="157"/>
      <c r="T118" s="568"/>
      <c r="U118" s="568"/>
      <c r="V118" s="669"/>
      <c r="W118" s="669"/>
      <c r="X118" s="668"/>
      <c r="Y118" s="668"/>
      <c r="Z118" s="668"/>
      <c r="AA118" s="673"/>
    </row>
    <row r="119" spans="2:27" ht="15" hidden="1" customHeight="1" outlineLevel="2" x14ac:dyDescent="0.25">
      <c r="B119" s="168"/>
      <c r="C119" s="108"/>
      <c r="D119" s="109" t="s">
        <v>169</v>
      </c>
      <c r="E119" s="110"/>
      <c r="F119" s="112" t="str">
        <f t="shared" ref="F119:F124" si="41">+CONCATENATE($B$78,"",$C$118,"",D119)</f>
        <v>22.08.001</v>
      </c>
      <c r="G119" s="1134" t="s">
        <v>68</v>
      </c>
      <c r="H119" s="166">
        <f t="shared" ref="H119:H124" si="42">+VLOOKUP(F119,matriz01,3,FALSE)</f>
        <v>100114.352</v>
      </c>
      <c r="I119" s="111">
        <f t="shared" ref="I119:I124" si="43">+VLOOKUP(F119,matriz01,4,FALSE)</f>
        <v>101783.73</v>
      </c>
      <c r="J119" s="111">
        <f t="shared" ref="J119:J124" ca="1" si="44">+VLOOKUP(F119,matriz01,5,FALSE)</f>
        <v>27073.354000000003</v>
      </c>
      <c r="K119" s="260">
        <f t="shared" ca="1" si="21"/>
        <v>0.26598901415776377</v>
      </c>
      <c r="L119" s="111">
        <f t="shared" ref="L119:L124" si="45">INDEX(coincidenciaP01,MATCH(F119,indicep01,0),7)</f>
        <v>83675.803</v>
      </c>
      <c r="M119" s="260">
        <f t="shared" si="23"/>
        <v>0.82209409106936837</v>
      </c>
      <c r="N119" s="111">
        <f t="shared" si="36"/>
        <v>18107.927</v>
      </c>
      <c r="O119" s="165">
        <f t="shared" si="24"/>
        <v>0.17790590893063166</v>
      </c>
      <c r="P119" s="167">
        <f>+'Prog 01'!P119</f>
        <v>90398.305557</v>
      </c>
      <c r="Q119" s="111">
        <f ca="1">+'Prog 01'!Q119</f>
        <v>26977.588927000001</v>
      </c>
      <c r="R119" s="165">
        <f t="shared" ca="1" si="22"/>
        <v>0.29843025000053208</v>
      </c>
      <c r="T119" s="568"/>
      <c r="U119" s="568"/>
      <c r="X119" s="668"/>
      <c r="Y119" s="668"/>
      <c r="Z119" s="668"/>
      <c r="AA119" s="673"/>
    </row>
    <row r="120" spans="2:27" ht="15" hidden="1" customHeight="1" outlineLevel="2" x14ac:dyDescent="0.25">
      <c r="B120" s="168"/>
      <c r="C120" s="108"/>
      <c r="D120" s="115" t="s">
        <v>165</v>
      </c>
      <c r="E120" s="110"/>
      <c r="F120" s="112" t="str">
        <f t="shared" si="41"/>
        <v>22.08.002</v>
      </c>
      <c r="G120" s="1134" t="s">
        <v>69</v>
      </c>
      <c r="H120" s="166">
        <f t="shared" si="42"/>
        <v>12000</v>
      </c>
      <c r="I120" s="111">
        <f t="shared" si="43"/>
        <v>8000</v>
      </c>
      <c r="J120" s="111">
        <f t="shared" ca="1" si="44"/>
        <v>0</v>
      </c>
      <c r="K120" s="260">
        <f t="shared" ca="1" si="21"/>
        <v>0</v>
      </c>
      <c r="L120" s="111">
        <f t="shared" si="45"/>
        <v>0</v>
      </c>
      <c r="M120" s="260">
        <f t="shared" si="23"/>
        <v>0</v>
      </c>
      <c r="N120" s="111">
        <f t="shared" si="36"/>
        <v>8000</v>
      </c>
      <c r="O120" s="165">
        <f t="shared" si="24"/>
        <v>1</v>
      </c>
      <c r="P120" s="166">
        <f>+'Prog 01'!P120</f>
        <v>0</v>
      </c>
      <c r="Q120" s="111">
        <f ca="1">+'Prog 01'!Q120</f>
        <v>0</v>
      </c>
      <c r="R120" s="165" t="str">
        <f t="shared" ca="1" si="22"/>
        <v>0.00%</v>
      </c>
      <c r="T120" s="568"/>
      <c r="U120" s="568"/>
      <c r="X120" s="668"/>
      <c r="Y120" s="668"/>
      <c r="Z120" s="668"/>
      <c r="AA120" s="673"/>
    </row>
    <row r="121" spans="2:27" ht="15" hidden="1" customHeight="1" outlineLevel="2" x14ac:dyDescent="0.25">
      <c r="B121" s="168"/>
      <c r="C121" s="108"/>
      <c r="D121" s="109" t="s">
        <v>170</v>
      </c>
      <c r="E121" s="110"/>
      <c r="F121" s="112" t="str">
        <f t="shared" si="41"/>
        <v>22.08.007</v>
      </c>
      <c r="G121" s="1134" t="s">
        <v>113</v>
      </c>
      <c r="H121" s="166">
        <f>+VLOOKUP(F121,matriz01,3,FALSE)</f>
        <v>159210.45800000001</v>
      </c>
      <c r="I121" s="111">
        <f>+VLOOKUP(F121,matriz01,4,FALSE)</f>
        <v>162731.35500000001</v>
      </c>
      <c r="J121" s="111">
        <f t="shared" ca="1" si="44"/>
        <v>55800.557999999997</v>
      </c>
      <c r="K121" s="260">
        <f t="shared" ca="1" si="21"/>
        <v>0.34289985479442481</v>
      </c>
      <c r="L121" s="111">
        <f t="shared" si="45"/>
        <v>93083.010999999999</v>
      </c>
      <c r="M121" s="260">
        <f t="shared" si="23"/>
        <v>0.5720041537170264</v>
      </c>
      <c r="N121" s="111">
        <f t="shared" si="36"/>
        <v>69648.343999999997</v>
      </c>
      <c r="O121" s="165">
        <f t="shared" si="24"/>
        <v>0.42799584628297349</v>
      </c>
      <c r="P121" s="166">
        <f>+'Prog 01'!P121</f>
        <v>58081.987280999994</v>
      </c>
      <c r="Q121" s="111">
        <f ca="1">+'Prog 01'!Q121</f>
        <v>24105.638243999994</v>
      </c>
      <c r="R121" s="165">
        <f t="shared" ca="1" si="22"/>
        <v>0.4150277800822687</v>
      </c>
      <c r="T121" s="568"/>
      <c r="U121" s="568"/>
      <c r="X121" s="668"/>
      <c r="Y121" s="668"/>
      <c r="Z121" s="668"/>
      <c r="AA121" s="673"/>
    </row>
    <row r="122" spans="2:27" ht="15" hidden="1" customHeight="1" outlineLevel="2" x14ac:dyDescent="0.25">
      <c r="B122" s="168"/>
      <c r="C122" s="108"/>
      <c r="D122" s="109" t="s">
        <v>171</v>
      </c>
      <c r="E122" s="110"/>
      <c r="F122" s="112" t="str">
        <f t="shared" si="41"/>
        <v>22.08.008</v>
      </c>
      <c r="G122" s="1134" t="s">
        <v>114</v>
      </c>
      <c r="H122" s="166">
        <f t="shared" si="42"/>
        <v>56104.597000000002</v>
      </c>
      <c r="I122" s="111">
        <f t="shared" si="43"/>
        <v>67623.661999999997</v>
      </c>
      <c r="J122" s="111">
        <f t="shared" ca="1" si="44"/>
        <v>17834.5</v>
      </c>
      <c r="K122" s="260">
        <f t="shared" ca="1" si="21"/>
        <v>0.26373165061661408</v>
      </c>
      <c r="L122" s="111">
        <f t="shared" si="45"/>
        <v>64394.654000000002</v>
      </c>
      <c r="M122" s="260">
        <f t="shared" si="23"/>
        <v>0.95225032326702452</v>
      </c>
      <c r="N122" s="111">
        <f t="shared" si="36"/>
        <v>3229.0079999999998</v>
      </c>
      <c r="O122" s="165">
        <f t="shared" si="24"/>
        <v>4.7749676732975505E-2</v>
      </c>
      <c r="P122" s="166">
        <f>+'Prog 01'!P122</f>
        <v>57993.727454</v>
      </c>
      <c r="Q122" s="111">
        <f ca="1">+'Prog 01'!Q122</f>
        <v>19523.057999999997</v>
      </c>
      <c r="R122" s="165">
        <f t="shared" ca="1" si="22"/>
        <v>0.33664085509050057</v>
      </c>
      <c r="T122" s="568"/>
      <c r="U122" s="568"/>
      <c r="X122" s="668"/>
      <c r="Y122" s="668"/>
      <c r="Z122" s="668"/>
      <c r="AA122" s="673"/>
    </row>
    <row r="123" spans="2:27" ht="15" hidden="1" customHeight="1" outlineLevel="2" x14ac:dyDescent="0.25">
      <c r="B123" s="168"/>
      <c r="C123" s="108"/>
      <c r="D123" s="109" t="s">
        <v>173</v>
      </c>
      <c r="E123" s="110"/>
      <c r="F123" s="112" t="str">
        <f t="shared" si="41"/>
        <v>22.08.010</v>
      </c>
      <c r="G123" s="1134" t="s">
        <v>70</v>
      </c>
      <c r="H123" s="166">
        <f t="shared" si="42"/>
        <v>3300</v>
      </c>
      <c r="I123" s="111">
        <f t="shared" si="43"/>
        <v>2503.154</v>
      </c>
      <c r="J123" s="111">
        <f t="shared" ca="1" si="44"/>
        <v>2371.2739999999994</v>
      </c>
      <c r="K123" s="260">
        <f t="shared" ca="1" si="21"/>
        <v>0.9473144680670863</v>
      </c>
      <c r="L123" s="111">
        <f t="shared" si="45"/>
        <v>2503.154</v>
      </c>
      <c r="M123" s="260">
        <f t="shared" si="23"/>
        <v>1</v>
      </c>
      <c r="N123" s="111">
        <f t="shared" si="36"/>
        <v>0</v>
      </c>
      <c r="O123" s="165">
        <f t="shared" si="24"/>
        <v>0</v>
      </c>
      <c r="P123" s="166">
        <f>+'Prog 01'!P123</f>
        <v>3507.8999999999996</v>
      </c>
      <c r="Q123" s="111">
        <f ca="1">+'Prog 01'!Q123</f>
        <v>2181.3185199999998</v>
      </c>
      <c r="R123" s="165">
        <f t="shared" ca="1" si="22"/>
        <v>0.62183030303030307</v>
      </c>
      <c r="T123" s="568"/>
      <c r="U123" s="568"/>
      <c r="X123" s="668"/>
      <c r="Y123" s="668"/>
      <c r="Z123" s="668"/>
      <c r="AA123" s="673"/>
    </row>
    <row r="124" spans="2:27" ht="15" hidden="1" customHeight="1" outlineLevel="2" x14ac:dyDescent="0.25">
      <c r="B124" s="168"/>
      <c r="C124" s="108"/>
      <c r="D124" s="109" t="s">
        <v>177</v>
      </c>
      <c r="E124" s="110"/>
      <c r="F124" s="112" t="str">
        <f t="shared" si="41"/>
        <v>22.08.999</v>
      </c>
      <c r="G124" s="1134" t="s">
        <v>109</v>
      </c>
      <c r="H124" s="166">
        <f t="shared" si="42"/>
        <v>5727.5839999999998</v>
      </c>
      <c r="I124" s="111">
        <f t="shared" si="43"/>
        <v>143519.38200000001</v>
      </c>
      <c r="J124" s="111">
        <f t="shared" ca="1" si="44"/>
        <v>15502.920000000002</v>
      </c>
      <c r="K124" s="260">
        <f t="shared" ca="1" si="21"/>
        <v>0.10801969590420896</v>
      </c>
      <c r="L124" s="111">
        <f t="shared" si="45"/>
        <v>16276.42</v>
      </c>
      <c r="M124" s="260">
        <f t="shared" si="23"/>
        <v>0.11340921186519601</v>
      </c>
      <c r="N124" s="111">
        <f t="shared" si="36"/>
        <v>127242.962</v>
      </c>
      <c r="O124" s="165">
        <f t="shared" si="24"/>
        <v>0.88659078813480385</v>
      </c>
      <c r="P124" s="166">
        <f>+'Prog 01'!P124</f>
        <v>9866.7659999999996</v>
      </c>
      <c r="Q124" s="111">
        <f ca="1">+'Prog 01'!Q124</f>
        <v>3288.922</v>
      </c>
      <c r="R124" s="165">
        <f t="shared" ca="1" si="22"/>
        <v>0.33333333333333337</v>
      </c>
      <c r="T124" s="568"/>
      <c r="U124" s="568"/>
      <c r="X124" s="668"/>
      <c r="Y124" s="668"/>
      <c r="Z124" s="668"/>
      <c r="AA124" s="673"/>
    </row>
    <row r="125" spans="2:27" s="158" customFormat="1" ht="15" hidden="1" customHeight="1" outlineLevel="1" x14ac:dyDescent="0.25">
      <c r="B125" s="168"/>
      <c r="C125" s="108" t="s">
        <v>185</v>
      </c>
      <c r="D125" s="109"/>
      <c r="E125" s="110"/>
      <c r="F125" s="110"/>
      <c r="G125" s="1133" t="s">
        <v>115</v>
      </c>
      <c r="H125" s="166">
        <f>SUM(H126:H129)</f>
        <v>791977.56799999997</v>
      </c>
      <c r="I125" s="111">
        <f>SUM(I126:I129)</f>
        <v>685416.50699999998</v>
      </c>
      <c r="J125" s="111">
        <f ca="1">SUM(J126:J129)</f>
        <v>259573.29100000003</v>
      </c>
      <c r="K125" s="260">
        <f t="shared" ca="1" si="21"/>
        <v>0.37870884104633917</v>
      </c>
      <c r="L125" s="111">
        <f>SUM(L126:L129)</f>
        <v>579489.60700000008</v>
      </c>
      <c r="M125" s="260">
        <f t="shared" si="23"/>
        <v>0.84545615852814604</v>
      </c>
      <c r="N125" s="111">
        <f>SUM(N126:N129)</f>
        <v>105926.9</v>
      </c>
      <c r="O125" s="165">
        <f t="shared" si="24"/>
        <v>0.15454384147185413</v>
      </c>
      <c r="P125" s="166">
        <f>SUM(P126:P129)</f>
        <v>792118.85647999984</v>
      </c>
      <c r="Q125" s="111">
        <f ca="1">SUM(Q126:Q129)</f>
        <v>181077.28669699997</v>
      </c>
      <c r="R125" s="165">
        <f t="shared" ca="1" si="22"/>
        <v>0.22859863165190536</v>
      </c>
      <c r="S125" s="157"/>
      <c r="T125" s="568"/>
      <c r="U125" s="568"/>
      <c r="V125" s="669"/>
      <c r="W125" s="669"/>
      <c r="X125" s="668"/>
      <c r="Y125" s="668"/>
      <c r="Z125" s="668"/>
      <c r="AA125" s="673"/>
    </row>
    <row r="126" spans="2:27" ht="15" hidden="1" customHeight="1" outlineLevel="2" x14ac:dyDescent="0.25">
      <c r="B126" s="168"/>
      <c r="C126" s="108"/>
      <c r="D126" s="109" t="s">
        <v>165</v>
      </c>
      <c r="E126" s="110"/>
      <c r="F126" s="112" t="str">
        <f>+CONCATENATE($B$78,"",$C$125,"",D126)</f>
        <v>22.09.002</v>
      </c>
      <c r="G126" s="1134" t="s">
        <v>71</v>
      </c>
      <c r="H126" s="166">
        <f>+VLOOKUP(F126,matriz01,3,FALSE)</f>
        <v>656797.56799999997</v>
      </c>
      <c r="I126" s="111">
        <f>+VLOOKUP(F126,matriz01,4,FALSE)</f>
        <v>563390.77300000004</v>
      </c>
      <c r="J126" s="111">
        <f ca="1">+VLOOKUP(F126,matriz01,5,FALSE)</f>
        <v>231184.46000000002</v>
      </c>
      <c r="K126" s="260">
        <f t="shared" ca="1" si="21"/>
        <v>0.41034477502882355</v>
      </c>
      <c r="L126" s="111">
        <f>INDEX(coincidenciaP01,MATCH(F126,indicep01,0),7)</f>
        <v>497403.35700000002</v>
      </c>
      <c r="M126" s="260">
        <f t="shared" si="23"/>
        <v>0.88287451771951542</v>
      </c>
      <c r="N126" s="111">
        <f t="shared" si="36"/>
        <v>65987.415999999997</v>
      </c>
      <c r="O126" s="165">
        <f t="shared" si="24"/>
        <v>0.11712548228048454</v>
      </c>
      <c r="P126" s="167">
        <f>+'Prog 01'!P126</f>
        <v>630631.4394589999</v>
      </c>
      <c r="Q126" s="111">
        <f ca="1">+'Prog 01'!Q126</f>
        <v>153958.84708099999</v>
      </c>
      <c r="R126" s="165">
        <f t="shared" ca="1" si="22"/>
        <v>0.24413443010877595</v>
      </c>
      <c r="T126" s="568"/>
      <c r="U126" s="568"/>
      <c r="X126" s="668"/>
      <c r="Y126" s="668"/>
      <c r="Z126" s="668"/>
      <c r="AA126" s="673"/>
    </row>
    <row r="127" spans="2:27" ht="15" hidden="1" customHeight="1" outlineLevel="2" x14ac:dyDescent="0.25">
      <c r="B127" s="168"/>
      <c r="C127" s="108"/>
      <c r="D127" s="109" t="s">
        <v>180</v>
      </c>
      <c r="E127" s="110"/>
      <c r="F127" s="112" t="str">
        <f>+CONCATENATE($B$78,"",$C$125,"",D127)</f>
        <v>22.09.005</v>
      </c>
      <c r="G127" s="1134" t="s">
        <v>116</v>
      </c>
      <c r="H127" s="166">
        <f>+VLOOKUP(F127,matriz01,3,FALSE)</f>
        <v>37080</v>
      </c>
      <c r="I127" s="111">
        <f>+VLOOKUP(F127,matriz01,4,FALSE)</f>
        <v>37080</v>
      </c>
      <c r="J127" s="111">
        <f ca="1">+VLOOKUP(F127,matriz01,5,FALSE)</f>
        <v>5355.1629999999996</v>
      </c>
      <c r="K127" s="260">
        <f t="shared" ca="1" si="21"/>
        <v>0.14442187162891046</v>
      </c>
      <c r="L127" s="111">
        <f>INDEX(coincidenciaP01,MATCH(F127,indicep01,0),7)</f>
        <v>29880</v>
      </c>
      <c r="M127" s="260">
        <f t="shared" si="23"/>
        <v>0.80582524271844658</v>
      </c>
      <c r="N127" s="111">
        <f t="shared" si="36"/>
        <v>7200</v>
      </c>
      <c r="O127" s="165">
        <f t="shared" si="24"/>
        <v>0.1941747572815534</v>
      </c>
      <c r="P127" s="166">
        <f>+'Prog 01'!P127</f>
        <v>47214.917021000001</v>
      </c>
      <c r="Q127" s="111">
        <f ca="1">+'Prog 01'!Q127</f>
        <v>8049.5494289999997</v>
      </c>
      <c r="R127" s="165">
        <f t="shared" ca="1" si="22"/>
        <v>0.17048742085938146</v>
      </c>
      <c r="T127" s="568"/>
      <c r="U127" s="568"/>
      <c r="X127" s="668"/>
      <c r="Y127" s="668"/>
      <c r="Z127" s="668"/>
      <c r="AA127" s="673"/>
    </row>
    <row r="128" spans="2:27" ht="15" hidden="1" customHeight="1" outlineLevel="2" x14ac:dyDescent="0.25">
      <c r="B128" s="168"/>
      <c r="C128" s="108"/>
      <c r="D128" s="109" t="s">
        <v>181</v>
      </c>
      <c r="E128" s="110"/>
      <c r="F128" s="112" t="str">
        <f>+CONCATENATE($B$78,"",$C$125,"",D128)</f>
        <v>22.09.006</v>
      </c>
      <c r="G128" s="1134" t="s">
        <v>117</v>
      </c>
      <c r="H128" s="166">
        <f>+VLOOKUP(F128,matriz01,3,FALSE)</f>
        <v>85600</v>
      </c>
      <c r="I128" s="111">
        <f>+VLOOKUP(F128,matriz01,4,FALSE)</f>
        <v>60439.483999999997</v>
      </c>
      <c r="J128" s="111">
        <f ca="1">+VLOOKUP(F128,matriz01,5,FALSE)</f>
        <v>19909.917999999998</v>
      </c>
      <c r="K128" s="260">
        <f t="shared" ca="1" si="21"/>
        <v>0.32941905989799647</v>
      </c>
      <c r="L128" s="111">
        <f>INDEX(coincidenciaP01,MATCH(F128,indicep01,0),7)</f>
        <v>47000</v>
      </c>
      <c r="M128" s="260">
        <f t="shared" si="23"/>
        <v>0.7776373471355249</v>
      </c>
      <c r="N128" s="111">
        <f t="shared" si="36"/>
        <v>13439.484</v>
      </c>
      <c r="O128" s="165">
        <f t="shared" si="24"/>
        <v>0.22236265286447518</v>
      </c>
      <c r="P128" s="166">
        <f>+'Prog 01'!P128</f>
        <v>100985</v>
      </c>
      <c r="Q128" s="111">
        <f ca="1">+'Prog 01'!Q128</f>
        <v>15748.343936999998</v>
      </c>
      <c r="R128" s="165">
        <f t="shared" ca="1" si="22"/>
        <v>0.15594735789473682</v>
      </c>
      <c r="T128" s="568"/>
      <c r="U128" s="568"/>
      <c r="X128" s="668"/>
      <c r="Y128" s="668"/>
      <c r="Z128" s="668"/>
      <c r="AA128" s="673"/>
    </row>
    <row r="129" spans="2:27" ht="15" hidden="1" customHeight="1" outlineLevel="2" x14ac:dyDescent="0.25">
      <c r="B129" s="168"/>
      <c r="C129" s="108"/>
      <c r="D129" s="109" t="s">
        <v>177</v>
      </c>
      <c r="E129" s="110"/>
      <c r="F129" s="112" t="str">
        <f>+CONCATENATE($B$78,"",$C$125,"",D129)</f>
        <v>22.09.999</v>
      </c>
      <c r="G129" s="1134" t="s">
        <v>109</v>
      </c>
      <c r="H129" s="166">
        <f>+VLOOKUP(F129,matriz01,3,FALSE)</f>
        <v>12500</v>
      </c>
      <c r="I129" s="111">
        <f>+VLOOKUP(F129,matriz01,4,FALSE)</f>
        <v>24506.25</v>
      </c>
      <c r="J129" s="111">
        <f ca="1">+VLOOKUP(F129,matriz01,5,FALSE)</f>
        <v>3123.75</v>
      </c>
      <c r="K129" s="260">
        <f t="shared" ca="1" si="21"/>
        <v>0.12746748278500383</v>
      </c>
      <c r="L129" s="111">
        <f>INDEX(coincidenciaP01,MATCH(F129,indicep01,0),7)</f>
        <v>5206.25</v>
      </c>
      <c r="M129" s="260">
        <f t="shared" si="23"/>
        <v>0.21244580464167304</v>
      </c>
      <c r="N129" s="111">
        <f t="shared" si="36"/>
        <v>19300</v>
      </c>
      <c r="O129" s="165">
        <f t="shared" si="24"/>
        <v>0.78755419535832694</v>
      </c>
      <c r="P129" s="166">
        <f>+'Prog 01'!P129</f>
        <v>13287.5</v>
      </c>
      <c r="Q129" s="111">
        <f ca="1">+'Prog 01'!Q129</f>
        <v>3320.5462499999994</v>
      </c>
      <c r="R129" s="165">
        <f t="shared" ca="1" si="22"/>
        <v>0.24989999999999996</v>
      </c>
      <c r="T129" s="568"/>
      <c r="U129" s="568"/>
      <c r="X129" s="668"/>
      <c r="Y129" s="668"/>
      <c r="Z129" s="668"/>
      <c r="AA129" s="673"/>
    </row>
    <row r="130" spans="2:27" s="158" customFormat="1" ht="15" hidden="1" customHeight="1" outlineLevel="1" x14ac:dyDescent="0.25">
      <c r="B130" s="168"/>
      <c r="C130" s="108" t="s">
        <v>186</v>
      </c>
      <c r="D130" s="109"/>
      <c r="E130" s="110"/>
      <c r="F130" s="110"/>
      <c r="G130" s="1133" t="s">
        <v>118</v>
      </c>
      <c r="H130" s="166">
        <f>SUM(H131:H131)</f>
        <v>37000</v>
      </c>
      <c r="I130" s="111">
        <f>SUM(I131:I132)</f>
        <v>33915.277000000002</v>
      </c>
      <c r="J130" s="111">
        <f ca="1">SUM(J131:J132)</f>
        <v>140.74199999999999</v>
      </c>
      <c r="K130" s="260">
        <f t="shared" ca="1" si="21"/>
        <v>4.1498113077478322E-3</v>
      </c>
      <c r="L130" s="111">
        <f>SUM(L131:L132)</f>
        <v>140.74199999999999</v>
      </c>
      <c r="M130" s="260">
        <f t="shared" si="23"/>
        <v>4.1498113077478322E-3</v>
      </c>
      <c r="N130" s="111">
        <f>SUM(N131:N131)</f>
        <v>33774.535000000003</v>
      </c>
      <c r="O130" s="165">
        <f t="shared" si="24"/>
        <v>0.99585018869225217</v>
      </c>
      <c r="P130" s="166">
        <f>SUM(P131:P132)</f>
        <v>10093.291299999999</v>
      </c>
      <c r="Q130" s="111">
        <f ca="1">+Q132+Q131</f>
        <v>122.35129999999998</v>
      </c>
      <c r="R130" s="165">
        <f t="shared" ca="1" si="22"/>
        <v>1.212204189529336E-2</v>
      </c>
      <c r="S130" s="157"/>
      <c r="T130" s="568"/>
      <c r="U130" s="568"/>
      <c r="V130" s="669"/>
      <c r="W130" s="669"/>
      <c r="X130" s="668"/>
      <c r="Y130" s="668"/>
      <c r="Z130" s="668"/>
      <c r="AA130" s="673"/>
    </row>
    <row r="131" spans="2:27" ht="15" hidden="1" customHeight="1" outlineLevel="2" x14ac:dyDescent="0.25">
      <c r="B131" s="168"/>
      <c r="C131" s="108"/>
      <c r="D131" s="109" t="s">
        <v>165</v>
      </c>
      <c r="E131" s="110"/>
      <c r="F131" s="112" t="str">
        <f>+CONCATENATE($B$78,"",$C$130,"",D131)</f>
        <v>22.10.002</v>
      </c>
      <c r="G131" s="1134" t="s">
        <v>119</v>
      </c>
      <c r="H131" s="166">
        <f>+VLOOKUP(F131,matriz01,3,FALSE)</f>
        <v>37000</v>
      </c>
      <c r="I131" s="111">
        <f>+VLOOKUP(F131,matriz01,4,FALSE)</f>
        <v>33915.277000000002</v>
      </c>
      <c r="J131" s="111">
        <f ca="1">+VLOOKUP(F131,matriz01,5,FALSE)</f>
        <v>140.74199999999999</v>
      </c>
      <c r="K131" s="260">
        <f t="shared" ca="1" si="21"/>
        <v>4.1498113077478322E-3</v>
      </c>
      <c r="L131" s="111">
        <f>INDEX(coincidenciaP01,MATCH(F131,indicep01,0),7)</f>
        <v>140.74199999999999</v>
      </c>
      <c r="M131" s="260">
        <f t="shared" si="23"/>
        <v>4.1498113077478322E-3</v>
      </c>
      <c r="N131" s="111">
        <f t="shared" si="36"/>
        <v>33774.535000000003</v>
      </c>
      <c r="O131" s="165">
        <f t="shared" si="24"/>
        <v>0.99585018869225217</v>
      </c>
      <c r="P131" s="167">
        <f>+'Prog 01'!P131</f>
        <v>10093.291299999999</v>
      </c>
      <c r="Q131" s="111">
        <f ca="1">+'Prog 01'!Q131</f>
        <v>122.35129999999998</v>
      </c>
      <c r="R131" s="165">
        <f t="shared" ca="1" si="22"/>
        <v>1.212204189529336E-2</v>
      </c>
      <c r="T131" s="568"/>
      <c r="U131" s="568"/>
      <c r="X131" s="668"/>
      <c r="Y131" s="668"/>
      <c r="Z131" s="668"/>
      <c r="AA131" s="673"/>
    </row>
    <row r="132" spans="2:27" ht="15" hidden="1" customHeight="1" outlineLevel="2" x14ac:dyDescent="0.25">
      <c r="B132" s="168"/>
      <c r="C132" s="108"/>
      <c r="D132" s="109" t="s">
        <v>179</v>
      </c>
      <c r="E132" s="110"/>
      <c r="F132" s="112" t="str">
        <f>+CONCATENATE($B$78,"",$C$130,"",D132)</f>
        <v>22.10.004</v>
      </c>
      <c r="G132" s="1135" t="s">
        <v>72</v>
      </c>
      <c r="H132" s="166">
        <f>+'Prog 01'!H132</f>
        <v>0</v>
      </c>
      <c r="I132" s="111">
        <f>+'Prog 01'!I132</f>
        <v>0</v>
      </c>
      <c r="J132" s="111">
        <f ca="1">+'Prog 01'!J132</f>
        <v>0</v>
      </c>
      <c r="K132" s="260" t="str">
        <f t="shared" ca="1" si="21"/>
        <v>0.00%</v>
      </c>
      <c r="L132" s="111">
        <f>INDEX(coincidenciaP01,MATCH(F132,indicep01,0),7)</f>
        <v>0</v>
      </c>
      <c r="M132" s="260">
        <f t="shared" si="23"/>
        <v>0</v>
      </c>
      <c r="N132" s="111">
        <f t="shared" si="36"/>
        <v>0</v>
      </c>
      <c r="O132" s="165">
        <f t="shared" si="24"/>
        <v>0</v>
      </c>
      <c r="P132" s="166">
        <f>+'Prog 01'!P132</f>
        <v>0</v>
      </c>
      <c r="Q132" s="111">
        <f ca="1">+'Prog 01'!Q132</f>
        <v>0</v>
      </c>
      <c r="R132" s="165" t="str">
        <f t="shared" ca="1" si="22"/>
        <v>0.00%</v>
      </c>
      <c r="T132" s="568"/>
      <c r="U132" s="568"/>
      <c r="X132" s="668"/>
      <c r="Y132" s="668"/>
      <c r="Z132" s="668"/>
      <c r="AA132" s="673"/>
    </row>
    <row r="133" spans="2:27" s="158" customFormat="1" ht="15" hidden="1" customHeight="1" outlineLevel="1" x14ac:dyDescent="0.25">
      <c r="B133" s="168"/>
      <c r="C133" s="108" t="s">
        <v>187</v>
      </c>
      <c r="D133" s="109"/>
      <c r="E133" s="110"/>
      <c r="F133" s="110"/>
      <c r="G133" s="1133" t="s">
        <v>73</v>
      </c>
      <c r="H133" s="166">
        <f>SUM(H134:H137)</f>
        <v>882367.00200000009</v>
      </c>
      <c r="I133" s="111">
        <f>SUM(I134:I137)</f>
        <v>1193280.416</v>
      </c>
      <c r="J133" s="111">
        <f ca="1">SUM(J134:J137)</f>
        <v>140648.43300000002</v>
      </c>
      <c r="K133" s="260">
        <f t="shared" ca="1" si="21"/>
        <v>0.11786704207504568</v>
      </c>
      <c r="L133" s="111">
        <f>SUM(L134:L137)</f>
        <v>835453.97100000002</v>
      </c>
      <c r="M133" s="260">
        <f t="shared" si="23"/>
        <v>0.70013213977023825</v>
      </c>
      <c r="N133" s="111">
        <f>SUM(N134:N137)</f>
        <v>357826.44500000001</v>
      </c>
      <c r="O133" s="165">
        <f t="shared" si="24"/>
        <v>0.29986786022976181</v>
      </c>
      <c r="P133" s="166">
        <f>SUM(P134:P137)</f>
        <v>976693.43549999991</v>
      </c>
      <c r="Q133" s="111">
        <f ca="1">SUM(Q134:Q137)</f>
        <v>159779.430078</v>
      </c>
      <c r="R133" s="165">
        <f t="shared" ca="1" si="22"/>
        <v>0.16359220229242549</v>
      </c>
      <c r="S133" s="157"/>
      <c r="T133" s="568"/>
      <c r="U133" s="568"/>
      <c r="V133" s="669"/>
      <c r="W133" s="669"/>
      <c r="X133" s="668"/>
      <c r="Y133" s="668"/>
      <c r="Z133" s="668"/>
      <c r="AA133" s="673"/>
    </row>
    <row r="134" spans="2:27" ht="15" hidden="1" customHeight="1" outlineLevel="2" x14ac:dyDescent="0.25">
      <c r="B134" s="168"/>
      <c r="C134" s="108"/>
      <c r="D134" s="109" t="s">
        <v>169</v>
      </c>
      <c r="E134" s="110"/>
      <c r="F134" s="112" t="str">
        <f>+CONCATENATE($B$78,"",$C$133,"",D134)</f>
        <v>22.11.001</v>
      </c>
      <c r="G134" s="1134" t="s">
        <v>74</v>
      </c>
      <c r="H134" s="166">
        <f>+VLOOKUP(F134,matriz01,3,FALSE)</f>
        <v>24323.001</v>
      </c>
      <c r="I134" s="111">
        <f>+VLOOKUP(F134,matriz01,4,FALSE)</f>
        <v>447835.97100000002</v>
      </c>
      <c r="J134" s="111">
        <f ca="1">+VLOOKUP(F134,matriz01,5,FALSE)</f>
        <v>68698</v>
      </c>
      <c r="K134" s="260">
        <f t="shared" ca="1" si="21"/>
        <v>0.15339991525602573</v>
      </c>
      <c r="L134" s="111">
        <f>INDEX(coincidenciaP01,MATCH(F134,indicep01,0),7)</f>
        <v>219420.69399999999</v>
      </c>
      <c r="M134" s="260">
        <f t="shared" si="23"/>
        <v>0.4899577260621612</v>
      </c>
      <c r="N134" s="111">
        <f t="shared" si="36"/>
        <v>228415.277</v>
      </c>
      <c r="O134" s="165">
        <f t="shared" si="24"/>
        <v>0.51004227393783874</v>
      </c>
      <c r="P134" s="167">
        <f>+'Prog 01'!P134</f>
        <v>57960.074999999997</v>
      </c>
      <c r="Q134" s="111">
        <f ca="1">+'Prog 01'!Q134</f>
        <v>57960.074999999997</v>
      </c>
      <c r="R134" s="165">
        <f t="shared" ca="1" si="22"/>
        <v>1</v>
      </c>
      <c r="T134" s="568"/>
      <c r="U134" s="568"/>
      <c r="X134" s="668"/>
      <c r="Y134" s="668"/>
      <c r="Z134" s="668"/>
      <c r="AA134" s="673"/>
    </row>
    <row r="135" spans="2:27" ht="15" hidden="1" customHeight="1" outlineLevel="2" collapsed="1" x14ac:dyDescent="0.25">
      <c r="B135" s="168"/>
      <c r="C135" s="108"/>
      <c r="D135" s="109" t="s">
        <v>165</v>
      </c>
      <c r="E135" s="110"/>
      <c r="F135" s="112" t="str">
        <f>+CONCATENATE($B$78,"",$C$133,"",D135)</f>
        <v>22.11.002</v>
      </c>
      <c r="G135" s="1134" t="s">
        <v>75</v>
      </c>
      <c r="H135" s="166">
        <f>+VLOOKUP(F135,matriz01,3,FALSE)</f>
        <v>52663</v>
      </c>
      <c r="I135" s="111">
        <f>+VLOOKUP(F135,matriz01,4,FALSE)</f>
        <v>52663</v>
      </c>
      <c r="J135" s="111">
        <f ca="1">+VLOOKUP(F135,matriz01,5,FALSE)</f>
        <v>0</v>
      </c>
      <c r="K135" s="260">
        <f t="shared" ca="1" si="21"/>
        <v>0</v>
      </c>
      <c r="L135" s="111">
        <f>INDEX(coincidenciaP01,MATCH(F135,indicep01,0),7)</f>
        <v>9224.9069999999992</v>
      </c>
      <c r="M135" s="260">
        <f t="shared" si="23"/>
        <v>0.17516865731158496</v>
      </c>
      <c r="N135" s="111">
        <f t="shared" si="36"/>
        <v>43438.093000000001</v>
      </c>
      <c r="O135" s="165">
        <f t="shared" si="24"/>
        <v>0.82483134268841507</v>
      </c>
      <c r="P135" s="166">
        <f>+'Prog 01'!P135</f>
        <v>58514.960999999996</v>
      </c>
      <c r="Q135" s="111">
        <f ca="1">+'Prog 01'!Q135</f>
        <v>6696.9</v>
      </c>
      <c r="R135" s="165">
        <f t="shared" ca="1" si="22"/>
        <v>0.11444765382309663</v>
      </c>
      <c r="T135" s="568"/>
      <c r="U135" s="568"/>
      <c r="X135" s="668"/>
      <c r="Y135" s="668"/>
      <c r="Z135" s="668"/>
      <c r="AA135" s="673"/>
    </row>
    <row r="136" spans="2:27" ht="15" hidden="1" customHeight="1" outlineLevel="2" x14ac:dyDescent="0.25">
      <c r="B136" s="168"/>
      <c r="C136" s="108"/>
      <c r="D136" s="109" t="s">
        <v>166</v>
      </c>
      <c r="E136" s="110"/>
      <c r="F136" s="112" t="str">
        <f>+CONCATENATE($B$78,"",$C$133,"",D136)</f>
        <v>22.11.003</v>
      </c>
      <c r="G136" s="1134" t="s">
        <v>120</v>
      </c>
      <c r="H136" s="166">
        <f>+VLOOKUP(F136,matriz01,3,FALSE)</f>
        <v>799881.00100000005</v>
      </c>
      <c r="I136" s="111">
        <f>+VLOOKUP(F136,matriz01,4,FALSE)</f>
        <v>687281.44499999995</v>
      </c>
      <c r="J136" s="111">
        <f ca="1">+VLOOKUP(F136,matriz01,5,FALSE)</f>
        <v>71950.433000000005</v>
      </c>
      <c r="K136" s="260">
        <f t="shared" ca="1" si="21"/>
        <v>0.10468845554240157</v>
      </c>
      <c r="L136" s="111">
        <f>INDEX(coincidenciaP01,MATCH(F136,indicep01,0),7)</f>
        <v>606808.37</v>
      </c>
      <c r="M136" s="260">
        <f t="shared" si="23"/>
        <v>0.88291103217547218</v>
      </c>
      <c r="N136" s="111">
        <f t="shared" si="36"/>
        <v>80473.074999999997</v>
      </c>
      <c r="O136" s="165">
        <f t="shared" si="24"/>
        <v>0.11708896782452785</v>
      </c>
      <c r="P136" s="166">
        <f>+'Prog 01'!P136</f>
        <v>854903.39949999994</v>
      </c>
      <c r="Q136" s="111">
        <f ca="1">+'Prog 01'!Q136</f>
        <v>95122.455077999999</v>
      </c>
      <c r="R136" s="165">
        <f t="shared" ca="1" si="22"/>
        <v>0.11126690469780967</v>
      </c>
      <c r="T136" s="568"/>
      <c r="U136" s="568"/>
      <c r="X136" s="668"/>
      <c r="Y136" s="668"/>
      <c r="Z136" s="668"/>
      <c r="AA136" s="673"/>
    </row>
    <row r="137" spans="2:27" ht="15" hidden="1" customHeight="1" outlineLevel="2" x14ac:dyDescent="0.25">
      <c r="B137" s="168"/>
      <c r="C137" s="108"/>
      <c r="D137" s="109" t="s">
        <v>177</v>
      </c>
      <c r="E137" s="110"/>
      <c r="F137" s="112" t="str">
        <f>+CONCATENATE($B$78,"",$C$133,"",D137)</f>
        <v>22.11.999</v>
      </c>
      <c r="G137" s="1134" t="s">
        <v>109</v>
      </c>
      <c r="H137" s="166">
        <f>+VLOOKUP(F137,matriz01,3,FALSE)</f>
        <v>5500</v>
      </c>
      <c r="I137" s="111">
        <f>+VLOOKUP(F137,matriz01,4,FALSE)</f>
        <v>5500</v>
      </c>
      <c r="J137" s="111">
        <f ca="1">+VLOOKUP(F137,matriz01,5,FALSE)</f>
        <v>0</v>
      </c>
      <c r="K137" s="260">
        <f t="shared" ca="1" si="21"/>
        <v>0</v>
      </c>
      <c r="L137" s="111">
        <f>INDEX(coincidenciaP01,MATCH(F137,indicep01,0),7)</f>
        <v>0</v>
      </c>
      <c r="M137" s="260">
        <f t="shared" si="23"/>
        <v>0</v>
      </c>
      <c r="N137" s="111">
        <f t="shared" si="36"/>
        <v>5500</v>
      </c>
      <c r="O137" s="165">
        <f t="shared" si="24"/>
        <v>1</v>
      </c>
      <c r="P137" s="166">
        <f>+'Prog 01'!P137</f>
        <v>5315</v>
      </c>
      <c r="Q137" s="111">
        <f ca="1">+'Prog 01'!Q137</f>
        <v>0</v>
      </c>
      <c r="R137" s="165">
        <f t="shared" ca="1" si="22"/>
        <v>0</v>
      </c>
      <c r="T137" s="568"/>
      <c r="U137" s="568"/>
      <c r="X137" s="668"/>
      <c r="Y137" s="668"/>
      <c r="Z137" s="668"/>
      <c r="AA137" s="673"/>
    </row>
    <row r="138" spans="2:27" s="158" customFormat="1" ht="15" hidden="1" customHeight="1" outlineLevel="1" x14ac:dyDescent="0.25">
      <c r="B138" s="168"/>
      <c r="C138" s="335" t="s">
        <v>188</v>
      </c>
      <c r="D138" s="336"/>
      <c r="E138" s="337"/>
      <c r="F138" s="337"/>
      <c r="G138" s="1137" t="s">
        <v>76</v>
      </c>
      <c r="H138" s="341">
        <f>SUM(H139:H141)</f>
        <v>991.01299999999992</v>
      </c>
      <c r="I138" s="111">
        <f>SUM(I139:I141)</f>
        <v>8549.5550000000003</v>
      </c>
      <c r="J138" s="333">
        <f ca="1">SUM(J139:J141)</f>
        <v>8027.7449999999999</v>
      </c>
      <c r="K138" s="260">
        <f t="shared" ca="1" si="21"/>
        <v>0.93896641404143255</v>
      </c>
      <c r="L138" s="111">
        <f>SUM(L139:L141)</f>
        <v>8066.7449999999999</v>
      </c>
      <c r="M138" s="260">
        <f t="shared" si="23"/>
        <v>0.94352805496894276</v>
      </c>
      <c r="N138" s="111">
        <f>SUM(N139:N141)</f>
        <v>482.81</v>
      </c>
      <c r="O138" s="165">
        <f t="shared" si="24"/>
        <v>5.6471945031057173E-2</v>
      </c>
      <c r="P138" s="341">
        <f>SUM(P139:P141)</f>
        <v>4061.7899689999999</v>
      </c>
      <c r="Q138" s="333">
        <f ca="1">SUM(Q139:Q141)</f>
        <v>2310.8546369999999</v>
      </c>
      <c r="R138" s="165">
        <f t="shared" ca="1" si="22"/>
        <v>0.56892519175946588</v>
      </c>
      <c r="S138" s="157"/>
      <c r="T138" s="568"/>
      <c r="U138" s="568"/>
      <c r="V138" s="669"/>
      <c r="W138" s="669"/>
      <c r="X138" s="668"/>
      <c r="Y138" s="668"/>
      <c r="Z138" s="668"/>
      <c r="AA138" s="673"/>
    </row>
    <row r="139" spans="2:27" ht="15" hidden="1" customHeight="1" outlineLevel="2" x14ac:dyDescent="0.25">
      <c r="B139" s="168"/>
      <c r="C139" s="335"/>
      <c r="D139" s="336" t="s">
        <v>165</v>
      </c>
      <c r="E139" s="337"/>
      <c r="F139" s="509" t="str">
        <f>+CONCATENATE($B$78,"",$C$138,"",D139)</f>
        <v>22.12.002</v>
      </c>
      <c r="G139" s="823" t="s">
        <v>77</v>
      </c>
      <c r="H139" s="341">
        <f>+VLOOKUP(F139,matriz01,3,FALSE)</f>
        <v>991.01099999999997</v>
      </c>
      <c r="I139" s="111">
        <f>+VLOOKUP(F139,matriz01,4,FALSE)</f>
        <v>2974.107</v>
      </c>
      <c r="J139" s="333">
        <f ca="1">+VLOOKUP(F139,matriz01,5,FALSE)</f>
        <v>2494.2449999999999</v>
      </c>
      <c r="K139" s="260">
        <f t="shared" ca="1" si="21"/>
        <v>0.83865341764771739</v>
      </c>
      <c r="L139" s="111">
        <f>INDEX(coincidenciaP01,MATCH(F139,indicep01,0),7)</f>
        <v>2533.2449999999999</v>
      </c>
      <c r="M139" s="260">
        <f t="shared" si="23"/>
        <v>0.85176659750304884</v>
      </c>
      <c r="N139" s="111">
        <f t="shared" si="36"/>
        <v>440.86200000000002</v>
      </c>
      <c r="O139" s="165">
        <f t="shared" si="24"/>
        <v>0.14823340249695119</v>
      </c>
      <c r="P139" s="383">
        <f>+'Prog 01'!P139</f>
        <v>3791.6402119999998</v>
      </c>
      <c r="Q139" s="333">
        <f ca="1">+'Prog 01'!Q139</f>
        <v>2051.3348799999999</v>
      </c>
      <c r="R139" s="165">
        <f t="shared" ca="1" si="22"/>
        <v>0.54101517161565538</v>
      </c>
      <c r="T139" s="568"/>
      <c r="U139" s="568"/>
      <c r="X139" s="668"/>
      <c r="Y139" s="668"/>
      <c r="Z139" s="668"/>
      <c r="AA139" s="673"/>
    </row>
    <row r="140" spans="2:27" ht="15" hidden="1" customHeight="1" outlineLevel="2" x14ac:dyDescent="0.25">
      <c r="B140" s="168"/>
      <c r="C140" s="335"/>
      <c r="D140" s="336" t="s">
        <v>166</v>
      </c>
      <c r="E140" s="337"/>
      <c r="F140" s="509" t="str">
        <f>+CONCATENATE($B$78,"",$C$138,"",D140)</f>
        <v>22.12.003</v>
      </c>
      <c r="G140" s="823" t="s">
        <v>853</v>
      </c>
      <c r="H140" s="341">
        <f>+VLOOKUP(F140,matriz01,3,FALSE)</f>
        <v>1E-3</v>
      </c>
      <c r="I140" s="111">
        <f>+VLOOKUP(F140,matriz01,4,FALSE)</f>
        <v>5533.5</v>
      </c>
      <c r="J140" s="333">
        <f ca="1">+VLOOKUP(F140,matriz01,5,FALSE)</f>
        <v>5533.5</v>
      </c>
      <c r="K140" s="260">
        <f t="shared" ref="K140:K205" ca="1" si="46">IFERROR(J140/I140,"0.00%")</f>
        <v>1</v>
      </c>
      <c r="L140" s="111">
        <f>INDEX(coincidenciaP01,MATCH(F140,indicep01,0),7)</f>
        <v>5533.5</v>
      </c>
      <c r="M140" s="260">
        <f t="shared" si="23"/>
        <v>1</v>
      </c>
      <c r="N140" s="111">
        <f t="shared" si="36"/>
        <v>0</v>
      </c>
      <c r="O140" s="165">
        <f t="shared" si="24"/>
        <v>0</v>
      </c>
      <c r="P140" s="383">
        <f>+'Prog 01'!P140</f>
        <v>0</v>
      </c>
      <c r="Q140" s="333">
        <f ca="1">+'Prog 01'!Q140</f>
        <v>0</v>
      </c>
      <c r="R140" s="165" t="str">
        <f t="shared" ref="R140:R205" ca="1" si="47">IFERROR(Q140/P140,"0.00%")</f>
        <v>0.00%</v>
      </c>
      <c r="T140" s="568"/>
      <c r="U140" s="568"/>
      <c r="X140" s="668"/>
      <c r="Y140" s="668"/>
      <c r="Z140" s="668"/>
      <c r="AA140" s="673"/>
    </row>
    <row r="141" spans="2:27" ht="15" hidden="1" customHeight="1" outlineLevel="2" x14ac:dyDescent="0.25">
      <c r="B141" s="168"/>
      <c r="C141" s="335"/>
      <c r="D141" s="336" t="s">
        <v>177</v>
      </c>
      <c r="E141" s="337"/>
      <c r="F141" s="509" t="str">
        <f>+CONCATENATE($B$78,"",$C$138,"",D141)</f>
        <v>22.12.999</v>
      </c>
      <c r="G141" s="823" t="s">
        <v>51</v>
      </c>
      <c r="H141" s="341">
        <f>+VLOOKUP(F141,matriz01,3,FALSE)</f>
        <v>1E-3</v>
      </c>
      <c r="I141" s="111">
        <f>+VLOOKUP(F141,matriz01,4,FALSE)</f>
        <v>41.948</v>
      </c>
      <c r="J141" s="333">
        <f ca="1">+VLOOKUP(F141,matriz01,5,FALSE)</f>
        <v>0</v>
      </c>
      <c r="K141" s="260">
        <f t="shared" ca="1" si="46"/>
        <v>0</v>
      </c>
      <c r="L141" s="111">
        <f>INDEX(coincidenciaP01,MATCH(F141,indicep01,0),7)</f>
        <v>0</v>
      </c>
      <c r="M141" s="260">
        <f t="shared" ref="M141:M206" si="48">+IFERROR(L141/I141,0)</f>
        <v>0</v>
      </c>
      <c r="N141" s="111">
        <f t="shared" si="36"/>
        <v>41.948</v>
      </c>
      <c r="O141" s="165">
        <f t="shared" ref="O141:O206" si="49">+IFERROR(N141/I141,0)</f>
        <v>1</v>
      </c>
      <c r="P141" s="383">
        <f>+'Prog 01'!P141</f>
        <v>270.14975700000002</v>
      </c>
      <c r="Q141" s="333">
        <f ca="1">+'Prog 01'!Q141</f>
        <v>259.51975700000003</v>
      </c>
      <c r="R141" s="165">
        <f t="shared" ca="1" si="47"/>
        <v>0.96065145451898371</v>
      </c>
      <c r="T141" s="568"/>
      <c r="U141" s="568"/>
      <c r="X141" s="668"/>
      <c r="Y141" s="668"/>
      <c r="Z141" s="668"/>
      <c r="AA141" s="673"/>
    </row>
    <row r="142" spans="2:27" ht="15" customHeight="1" outlineLevel="2" x14ac:dyDescent="0.25">
      <c r="B142" s="168">
        <v>23</v>
      </c>
      <c r="C142" s="335"/>
      <c r="D142" s="336"/>
      <c r="E142" s="337"/>
      <c r="F142" s="509"/>
      <c r="G142" s="1137" t="s">
        <v>280</v>
      </c>
      <c r="H142" s="341">
        <f>+H143</f>
        <v>10</v>
      </c>
      <c r="I142" s="111">
        <f>+I143</f>
        <v>10</v>
      </c>
      <c r="J142" s="333">
        <f ca="1">+J143</f>
        <v>0</v>
      </c>
      <c r="K142" s="260">
        <f t="shared" ca="1" si="46"/>
        <v>0</v>
      </c>
      <c r="L142" s="111">
        <f>+L143</f>
        <v>0</v>
      </c>
      <c r="M142" s="260">
        <f t="shared" si="48"/>
        <v>0</v>
      </c>
      <c r="N142" s="111">
        <f>+N143</f>
        <v>10</v>
      </c>
      <c r="O142" s="165">
        <f t="shared" si="49"/>
        <v>1</v>
      </c>
      <c r="P142" s="383">
        <f>+'Prog 01'!P142</f>
        <v>4634.6799999999994</v>
      </c>
      <c r="Q142" s="333">
        <f ca="1">+Q143</f>
        <v>4634.6799999999994</v>
      </c>
      <c r="R142" s="165">
        <f t="shared" ca="1" si="47"/>
        <v>1</v>
      </c>
      <c r="T142" s="568"/>
      <c r="U142" s="568"/>
      <c r="X142" s="668"/>
      <c r="Y142" s="668"/>
      <c r="Z142" s="668"/>
      <c r="AA142" s="673"/>
    </row>
    <row r="143" spans="2:27" ht="15" hidden="1" customHeight="1" outlineLevel="2" x14ac:dyDescent="0.25">
      <c r="B143" s="168"/>
      <c r="C143" s="335" t="s">
        <v>163</v>
      </c>
      <c r="D143" s="336"/>
      <c r="E143" s="337"/>
      <c r="F143" s="509" t="s">
        <v>348</v>
      </c>
      <c r="G143" s="823" t="s">
        <v>799</v>
      </c>
      <c r="H143" s="341">
        <f>+VLOOKUP(F143,matriz01,3,FALSE)</f>
        <v>10</v>
      </c>
      <c r="I143" s="333">
        <f>+VLOOKUP(F143,matriz01,4,FALSE)</f>
        <v>10</v>
      </c>
      <c r="J143" s="333">
        <f ca="1">+VLOOKUP(F143,matriz01,5,FALSE)</f>
        <v>0</v>
      </c>
      <c r="K143" s="260">
        <f t="shared" ca="1" si="46"/>
        <v>0</v>
      </c>
      <c r="L143" s="111">
        <f>INDEX(coincidenciaP01,MATCH(F143,indicep01,0),7)</f>
        <v>0</v>
      </c>
      <c r="M143" s="260">
        <f t="shared" si="48"/>
        <v>0</v>
      </c>
      <c r="N143" s="111">
        <f t="shared" si="36"/>
        <v>10</v>
      </c>
      <c r="O143" s="165">
        <f t="shared" si="49"/>
        <v>1</v>
      </c>
      <c r="P143" s="383">
        <f>+'Prog 01'!P143</f>
        <v>4634.6799999999994</v>
      </c>
      <c r="Q143" s="333">
        <f ca="1">+Q144</f>
        <v>4634.6799999999994</v>
      </c>
      <c r="R143" s="165">
        <f t="shared" ca="1" si="47"/>
        <v>1</v>
      </c>
      <c r="T143" s="568"/>
      <c r="U143" s="568"/>
      <c r="X143" s="668"/>
      <c r="Y143" s="668"/>
      <c r="Z143" s="668"/>
      <c r="AA143" s="673"/>
    </row>
    <row r="144" spans="2:27" ht="15" hidden="1" customHeight="1" outlineLevel="2" x14ac:dyDescent="0.25">
      <c r="B144" s="168"/>
      <c r="C144" s="335"/>
      <c r="D144" s="336" t="s">
        <v>166</v>
      </c>
      <c r="E144" s="337"/>
      <c r="F144" s="509" t="s">
        <v>282</v>
      </c>
      <c r="G144" s="823" t="s">
        <v>281</v>
      </c>
      <c r="H144" s="341">
        <f>+VLOOKUP(F144,matriz01,3,FALSE)</f>
        <v>10</v>
      </c>
      <c r="I144" s="333">
        <f>+VLOOKUP(F144,matriz01,4,FALSE)</f>
        <v>10</v>
      </c>
      <c r="J144" s="333">
        <f ca="1">+VLOOKUP(F144,matriz01,5,FALSE)</f>
        <v>0</v>
      </c>
      <c r="K144" s="260">
        <f t="shared" ca="1" si="46"/>
        <v>0</v>
      </c>
      <c r="L144" s="111">
        <f>INDEX(coincidenciaP01,MATCH(F144,indicep01,0),7)</f>
        <v>0</v>
      </c>
      <c r="M144" s="260">
        <f t="shared" si="48"/>
        <v>0</v>
      </c>
      <c r="N144" s="111">
        <f t="shared" si="36"/>
        <v>10</v>
      </c>
      <c r="O144" s="165">
        <f t="shared" si="49"/>
        <v>1</v>
      </c>
      <c r="P144" s="383">
        <f>+'Prog 01'!P144</f>
        <v>4634.6799999999994</v>
      </c>
      <c r="Q144" s="333">
        <f ca="1">+'Prog 01'!Q144</f>
        <v>4634.6799999999994</v>
      </c>
      <c r="R144" s="165">
        <f t="shared" ca="1" si="47"/>
        <v>1</v>
      </c>
      <c r="T144" s="568"/>
      <c r="U144" s="568"/>
      <c r="X144" s="668"/>
      <c r="Y144" s="668"/>
      <c r="Z144" s="668"/>
      <c r="AA144" s="673"/>
    </row>
    <row r="145" spans="2:51" ht="15" customHeight="1" collapsed="1" x14ac:dyDescent="0.25">
      <c r="B145" s="168">
        <v>24</v>
      </c>
      <c r="C145" s="108" t="s">
        <v>2</v>
      </c>
      <c r="D145" s="109"/>
      <c r="E145" s="110"/>
      <c r="F145" s="110"/>
      <c r="G145" s="1133" t="s">
        <v>148</v>
      </c>
      <c r="H145" s="166">
        <f>+H153+H175+H189+H146</f>
        <v>85436322</v>
      </c>
      <c r="I145" s="111">
        <f>+I153+I175+I189+I146</f>
        <v>85436322</v>
      </c>
      <c r="J145" s="111">
        <f ca="1">+J153+J175+J189+J146</f>
        <v>76302303.077000007</v>
      </c>
      <c r="K145" s="260">
        <f t="shared" ca="1" si="46"/>
        <v>0.89308974556512399</v>
      </c>
      <c r="L145" s="111">
        <f>+L153+L175+L189+L146</f>
        <v>77157408.140000001</v>
      </c>
      <c r="M145" s="260">
        <f t="shared" si="48"/>
        <v>0.90309842855828926</v>
      </c>
      <c r="N145" s="111">
        <f>+N153+N175+N189+N146</f>
        <v>8278913.8599999957</v>
      </c>
      <c r="O145" s="165">
        <f t="shared" si="49"/>
        <v>9.690157144171066E-2</v>
      </c>
      <c r="P145" s="166">
        <f>+P153+P175+P189+P146</f>
        <v>85170182.420999989</v>
      </c>
      <c r="Q145" s="111">
        <f ca="1">+Q153+Q175+Q189+Q146</f>
        <v>76019352.333796009</v>
      </c>
      <c r="R145" s="165">
        <f t="shared" ca="1" si="47"/>
        <v>0.89255828944957494</v>
      </c>
      <c r="T145" s="568"/>
      <c r="U145" s="568"/>
      <c r="X145" s="668"/>
      <c r="Y145" s="668"/>
      <c r="Z145" s="668"/>
      <c r="AA145" s="673"/>
    </row>
    <row r="146" spans="2:51" ht="15" hidden="1" customHeight="1" outlineLevel="1" x14ac:dyDescent="0.25">
      <c r="B146" s="334" t="s">
        <v>2</v>
      </c>
      <c r="C146" s="511" t="s">
        <v>311</v>
      </c>
      <c r="D146" s="336"/>
      <c r="E146" s="337"/>
      <c r="F146" s="337"/>
      <c r="G146" s="1137" t="s">
        <v>312</v>
      </c>
      <c r="H146" s="341">
        <v>0</v>
      </c>
      <c r="I146" s="333">
        <f t="shared" ref="I146:N146" si="50">SUM(I147:I152)</f>
        <v>0</v>
      </c>
      <c r="J146" s="333">
        <f t="shared" ca="1" si="50"/>
        <v>0</v>
      </c>
      <c r="K146" s="260" t="str">
        <f t="shared" ca="1" si="46"/>
        <v>0.00%</v>
      </c>
      <c r="L146" s="333">
        <f t="shared" si="50"/>
        <v>0</v>
      </c>
      <c r="M146" s="260">
        <f t="shared" si="48"/>
        <v>0</v>
      </c>
      <c r="N146" s="333">
        <f t="shared" si="50"/>
        <v>0</v>
      </c>
      <c r="O146" s="165">
        <f t="shared" si="49"/>
        <v>0</v>
      </c>
      <c r="P146" s="340">
        <f>+SUM(P147:P152)</f>
        <v>0</v>
      </c>
      <c r="Q146" s="671">
        <f ca="1">+SUM(Q147:Q152)</f>
        <v>0</v>
      </c>
      <c r="R146" s="165" t="str">
        <f t="shared" ca="1" si="47"/>
        <v>0.00%</v>
      </c>
      <c r="T146" s="568"/>
      <c r="U146" s="568"/>
      <c r="X146" s="668"/>
      <c r="Y146" s="668"/>
      <c r="Z146" s="668"/>
      <c r="AA146" s="673"/>
    </row>
    <row r="147" spans="2:51" ht="15" hidden="1" customHeight="1" outlineLevel="1" x14ac:dyDescent="0.25">
      <c r="B147" s="168"/>
      <c r="C147" s="115"/>
      <c r="D147" s="109"/>
      <c r="E147" s="110"/>
      <c r="F147" s="277" t="s">
        <v>310</v>
      </c>
      <c r="G147" s="1138" t="s">
        <v>647</v>
      </c>
      <c r="H147" s="166">
        <v>0</v>
      </c>
      <c r="I147" s="111">
        <v>0</v>
      </c>
      <c r="J147" s="111">
        <v>0</v>
      </c>
      <c r="K147" s="260" t="str">
        <f t="shared" si="46"/>
        <v>0.00%</v>
      </c>
      <c r="L147" s="111">
        <v>0</v>
      </c>
      <c r="M147" s="260">
        <f t="shared" si="48"/>
        <v>0</v>
      </c>
      <c r="N147" s="111">
        <v>0</v>
      </c>
      <c r="O147" s="165">
        <f t="shared" si="49"/>
        <v>0</v>
      </c>
      <c r="P147" s="167">
        <f>+'Prog 01'!P148</f>
        <v>0</v>
      </c>
      <c r="Q147" s="116">
        <f ca="1">+'Prog 01'!Q148</f>
        <v>0</v>
      </c>
      <c r="R147" s="165" t="str">
        <f t="shared" ca="1" si="47"/>
        <v>0.00%</v>
      </c>
      <c r="T147" s="568"/>
      <c r="U147" s="568"/>
      <c r="X147" s="668"/>
      <c r="Y147" s="668"/>
      <c r="Z147" s="668"/>
      <c r="AA147" s="673"/>
    </row>
    <row r="148" spans="2:51" ht="15" hidden="1" customHeight="1" outlineLevel="1" x14ac:dyDescent="0.25">
      <c r="B148" s="168"/>
      <c r="C148" s="115"/>
      <c r="D148" s="109"/>
      <c r="E148" s="110"/>
      <c r="F148" s="277" t="s">
        <v>317</v>
      </c>
      <c r="G148" s="1138" t="s">
        <v>654</v>
      </c>
      <c r="H148" s="166">
        <v>0</v>
      </c>
      <c r="I148" s="111">
        <v>0</v>
      </c>
      <c r="J148" s="111">
        <v>0</v>
      </c>
      <c r="K148" s="260" t="str">
        <f t="shared" si="46"/>
        <v>0.00%</v>
      </c>
      <c r="L148" s="111">
        <v>0</v>
      </c>
      <c r="M148" s="260">
        <f t="shared" si="48"/>
        <v>0</v>
      </c>
      <c r="N148" s="111">
        <v>0</v>
      </c>
      <c r="O148" s="165">
        <f t="shared" si="49"/>
        <v>0</v>
      </c>
      <c r="P148" s="265">
        <f>+'Prog 01'!P149</f>
        <v>0</v>
      </c>
      <c r="Q148" s="116">
        <f ca="1">+'Prog 01'!Q149</f>
        <v>0</v>
      </c>
      <c r="R148" s="165" t="str">
        <f t="shared" ca="1" si="47"/>
        <v>0.00%</v>
      </c>
      <c r="T148" s="568"/>
      <c r="U148" s="568"/>
      <c r="X148" s="668"/>
      <c r="Y148" s="668"/>
      <c r="Z148" s="668"/>
      <c r="AA148" s="673"/>
    </row>
    <row r="149" spans="2:51" ht="15" hidden="1" customHeight="1" outlineLevel="1" x14ac:dyDescent="0.25">
      <c r="B149" s="168"/>
      <c r="C149" s="115"/>
      <c r="D149" s="109"/>
      <c r="E149" s="110"/>
      <c r="F149" s="277" t="s">
        <v>338</v>
      </c>
      <c r="G149" s="1138" t="s">
        <v>754</v>
      </c>
      <c r="H149" s="166">
        <v>0</v>
      </c>
      <c r="I149" s="111">
        <f>+'Prog 01'!I150</f>
        <v>0</v>
      </c>
      <c r="J149" s="111">
        <f ca="1">+'Prog 01'!J150</f>
        <v>0</v>
      </c>
      <c r="K149" s="260" t="str">
        <f t="shared" ca="1" si="46"/>
        <v>0.00%</v>
      </c>
      <c r="L149" s="111">
        <f>+'Prog 01'!L150</f>
        <v>0</v>
      </c>
      <c r="M149" s="260">
        <f t="shared" si="48"/>
        <v>0</v>
      </c>
      <c r="N149" s="111">
        <f>+'Prog 01'!N150</f>
        <v>0</v>
      </c>
      <c r="O149" s="165">
        <f t="shared" si="49"/>
        <v>0</v>
      </c>
      <c r="P149" s="265">
        <f>+'Prog 01'!P150</f>
        <v>0</v>
      </c>
      <c r="Q149" s="116">
        <f ca="1">+'Prog 01'!Q150</f>
        <v>0</v>
      </c>
      <c r="R149" s="165" t="str">
        <f t="shared" ca="1" si="47"/>
        <v>0.00%</v>
      </c>
      <c r="T149" s="568"/>
      <c r="U149" s="568"/>
      <c r="X149" s="668"/>
      <c r="Y149" s="668"/>
      <c r="Z149" s="668"/>
      <c r="AA149" s="673"/>
    </row>
    <row r="150" spans="2:51" ht="15" hidden="1" customHeight="1" outlineLevel="1" x14ac:dyDescent="0.25">
      <c r="B150" s="168"/>
      <c r="C150" s="115"/>
      <c r="D150" s="109"/>
      <c r="E150" s="110"/>
      <c r="F150" s="277" t="s">
        <v>753</v>
      </c>
      <c r="G150" s="1138" t="s">
        <v>755</v>
      </c>
      <c r="H150" s="166">
        <f>+'Prog 05'!H10</f>
        <v>0</v>
      </c>
      <c r="I150" s="111">
        <f>+'Prog 05'!I10</f>
        <v>0</v>
      </c>
      <c r="J150" s="111">
        <f>+'Prog 05'!J10</f>
        <v>0</v>
      </c>
      <c r="K150" s="260" t="str">
        <f t="shared" si="46"/>
        <v>0.00%</v>
      </c>
      <c r="L150" s="111">
        <f>+'Prog 05'!L10</f>
        <v>0</v>
      </c>
      <c r="M150" s="260">
        <f t="shared" si="48"/>
        <v>0</v>
      </c>
      <c r="N150" s="111">
        <f>+'Prog 05'!N10</f>
        <v>0</v>
      </c>
      <c r="O150" s="165">
        <f t="shared" si="49"/>
        <v>0</v>
      </c>
      <c r="P150" s="265">
        <f>+'Prog 01'!P151</f>
        <v>0</v>
      </c>
      <c r="Q150" s="116">
        <f ca="1">+'Prog 01'!Q151</f>
        <v>0</v>
      </c>
      <c r="R150" s="165" t="str">
        <f t="shared" ca="1" si="47"/>
        <v>0.00%</v>
      </c>
      <c r="T150" s="568"/>
      <c r="U150" s="568"/>
      <c r="X150" s="668"/>
      <c r="Y150" s="668"/>
      <c r="Z150" s="668"/>
      <c r="AA150" s="673"/>
    </row>
    <row r="151" spans="2:51" ht="15" hidden="1" customHeight="1" outlineLevel="1" x14ac:dyDescent="0.25">
      <c r="B151" s="168"/>
      <c r="C151" s="115"/>
      <c r="D151" s="109"/>
      <c r="E151" s="110"/>
      <c r="F151" s="277" t="s">
        <v>921</v>
      </c>
      <c r="G151" s="1138" t="s">
        <v>873</v>
      </c>
      <c r="H151" s="166">
        <v>0</v>
      </c>
      <c r="I151" s="111">
        <v>0</v>
      </c>
      <c r="J151" s="111">
        <v>0</v>
      </c>
      <c r="K151" s="260" t="str">
        <f t="shared" si="46"/>
        <v>0.00%</v>
      </c>
      <c r="L151" s="111">
        <v>0</v>
      </c>
      <c r="M151" s="260">
        <f t="shared" si="48"/>
        <v>0</v>
      </c>
      <c r="N151" s="111">
        <v>0</v>
      </c>
      <c r="O151" s="165">
        <f t="shared" si="49"/>
        <v>0</v>
      </c>
      <c r="P151" s="265">
        <f>+'Prog 01'!P152</f>
        <v>0</v>
      </c>
      <c r="Q151" s="116">
        <f ca="1">+'Prog 01'!Q152</f>
        <v>0</v>
      </c>
      <c r="R151" s="165" t="str">
        <f t="shared" ca="1" si="47"/>
        <v>0.00%</v>
      </c>
      <c r="T151" s="568"/>
      <c r="U151" s="568"/>
      <c r="X151" s="668"/>
      <c r="Y151" s="668"/>
      <c r="Z151" s="668"/>
      <c r="AA151" s="673"/>
    </row>
    <row r="152" spans="2:51" ht="15" hidden="1" customHeight="1" outlineLevel="1" x14ac:dyDescent="0.25">
      <c r="B152" s="168"/>
      <c r="C152" s="115"/>
      <c r="D152" s="109"/>
      <c r="E152" s="110"/>
      <c r="F152" s="277" t="s">
        <v>922</v>
      </c>
      <c r="G152" s="1138" t="s">
        <v>874</v>
      </c>
      <c r="H152" s="166">
        <v>0</v>
      </c>
      <c r="I152" s="111">
        <v>0</v>
      </c>
      <c r="J152" s="111">
        <v>0</v>
      </c>
      <c r="K152" s="260" t="str">
        <f t="shared" si="46"/>
        <v>0.00%</v>
      </c>
      <c r="L152" s="111">
        <v>0</v>
      </c>
      <c r="M152" s="260">
        <f t="shared" si="48"/>
        <v>0</v>
      </c>
      <c r="N152" s="111">
        <v>0</v>
      </c>
      <c r="O152" s="165">
        <f t="shared" si="49"/>
        <v>0</v>
      </c>
      <c r="P152" s="265">
        <f>+'Prog 01'!P153</f>
        <v>0</v>
      </c>
      <c r="Q152" s="116">
        <f ca="1">+'Prog 01'!Q153</f>
        <v>0</v>
      </c>
      <c r="R152" s="165" t="str">
        <f t="shared" ca="1" si="47"/>
        <v>0.00%</v>
      </c>
      <c r="T152" s="568"/>
      <c r="U152" s="568"/>
      <c r="X152" s="668"/>
      <c r="Y152" s="668"/>
      <c r="Z152" s="668"/>
      <c r="AA152" s="673"/>
    </row>
    <row r="153" spans="2:51" ht="15" hidden="1" customHeight="1" outlineLevel="1" x14ac:dyDescent="0.25">
      <c r="B153" s="334" t="s">
        <v>2</v>
      </c>
      <c r="C153" s="335" t="s">
        <v>164</v>
      </c>
      <c r="D153" s="336"/>
      <c r="E153" s="337"/>
      <c r="F153" s="337"/>
      <c r="G153" s="1137" t="s">
        <v>5</v>
      </c>
      <c r="H153" s="341">
        <f>SUM(H154:H174)</f>
        <v>192906</v>
      </c>
      <c r="I153" s="333">
        <f>SUM(I154:I174)</f>
        <v>192906</v>
      </c>
      <c r="J153" s="333">
        <f ca="1">SUM(J154:J174)</f>
        <v>192906</v>
      </c>
      <c r="K153" s="260">
        <f t="shared" ca="1" si="46"/>
        <v>1</v>
      </c>
      <c r="L153" s="333">
        <f>SUM(L154:L174)</f>
        <v>192906</v>
      </c>
      <c r="M153" s="260">
        <f t="shared" si="48"/>
        <v>1</v>
      </c>
      <c r="N153" s="333">
        <f>SUM(N154:N174)</f>
        <v>0</v>
      </c>
      <c r="O153" s="165">
        <f t="shared" si="49"/>
        <v>0</v>
      </c>
      <c r="P153" s="340">
        <f>+SUM(P154:P174)</f>
        <v>0</v>
      </c>
      <c r="Q153" s="671">
        <f>+SUM(Q154:Q174)</f>
        <v>0</v>
      </c>
      <c r="R153" s="165" t="str">
        <f t="shared" si="47"/>
        <v>0.00%</v>
      </c>
      <c r="T153" s="568"/>
      <c r="U153" s="568"/>
      <c r="X153" s="668"/>
      <c r="Y153" s="668"/>
      <c r="Z153" s="668"/>
      <c r="AA153" s="673"/>
      <c r="AY153" s="83"/>
    </row>
    <row r="154" spans="2:51" ht="15" hidden="1" customHeight="1" outlineLevel="1" x14ac:dyDescent="0.25">
      <c r="B154" s="168"/>
      <c r="C154" s="108"/>
      <c r="D154" s="109"/>
      <c r="E154" s="110"/>
      <c r="F154" s="277" t="s">
        <v>292</v>
      </c>
      <c r="G154" s="1133" t="s">
        <v>293</v>
      </c>
      <c r="H154" s="166">
        <v>0</v>
      </c>
      <c r="I154" s="111">
        <v>0</v>
      </c>
      <c r="J154" s="113">
        <v>0</v>
      </c>
      <c r="K154" s="260" t="str">
        <f t="shared" si="46"/>
        <v>0.00%</v>
      </c>
      <c r="L154" s="111">
        <v>0</v>
      </c>
      <c r="M154" s="260">
        <f t="shared" si="48"/>
        <v>0</v>
      </c>
      <c r="N154" s="333">
        <f t="shared" ref="N154:N174" si="51">+J154-L154</f>
        <v>0</v>
      </c>
      <c r="O154" s="165">
        <f t="shared" si="49"/>
        <v>0</v>
      </c>
      <c r="P154" s="265">
        <f>+'Prog 05'!P12</f>
        <v>0</v>
      </c>
      <c r="Q154" s="113">
        <f>+'Prog 05'!Q12</f>
        <v>0</v>
      </c>
      <c r="R154" s="165" t="str">
        <f t="shared" si="47"/>
        <v>0.00%</v>
      </c>
      <c r="T154" s="568"/>
      <c r="U154" s="568"/>
      <c r="X154" s="668"/>
      <c r="Y154" s="668"/>
      <c r="Z154" s="668"/>
      <c r="AA154" s="673"/>
      <c r="AY154" s="83"/>
    </row>
    <row r="155" spans="2:51" ht="15" hidden="1" customHeight="1" outlineLevel="1" x14ac:dyDescent="0.25">
      <c r="B155" s="168"/>
      <c r="C155" s="108"/>
      <c r="D155" s="109"/>
      <c r="E155" s="110"/>
      <c r="F155" s="277" t="s">
        <v>288</v>
      </c>
      <c r="G155" s="1135" t="s">
        <v>316</v>
      </c>
      <c r="H155" s="166">
        <f>+'Prog 05'!H13</f>
        <v>0</v>
      </c>
      <c r="I155" s="111">
        <f>+'Prog 05'!I13</f>
        <v>0</v>
      </c>
      <c r="J155" s="111">
        <f>+'Prog 05'!J13</f>
        <v>0</v>
      </c>
      <c r="K155" s="260" t="str">
        <f t="shared" si="46"/>
        <v>0.00%</v>
      </c>
      <c r="L155" s="111">
        <f>+'Prog 05'!L13</f>
        <v>0</v>
      </c>
      <c r="M155" s="260">
        <f t="shared" si="48"/>
        <v>0</v>
      </c>
      <c r="N155" s="333">
        <f t="shared" si="51"/>
        <v>0</v>
      </c>
      <c r="O155" s="165">
        <f t="shared" si="49"/>
        <v>0</v>
      </c>
      <c r="P155" s="265">
        <f>+'Prog 05'!P13</f>
        <v>0</v>
      </c>
      <c r="Q155" s="113">
        <f>+'Prog 05'!Q13</f>
        <v>0</v>
      </c>
      <c r="R155" s="165" t="str">
        <f t="shared" si="47"/>
        <v>0.00%</v>
      </c>
      <c r="T155" s="568"/>
      <c r="U155" s="568"/>
      <c r="X155" s="668"/>
      <c r="Y155" s="668"/>
      <c r="Z155" s="668"/>
      <c r="AA155" s="673"/>
      <c r="AY155" s="83"/>
    </row>
    <row r="156" spans="2:51" ht="15" hidden="1" customHeight="1" outlineLevel="1" x14ac:dyDescent="0.25">
      <c r="B156" s="168"/>
      <c r="C156" s="108"/>
      <c r="D156" s="109"/>
      <c r="E156" s="110"/>
      <c r="F156" s="277" t="s">
        <v>749</v>
      </c>
      <c r="G156" s="1135" t="s">
        <v>540</v>
      </c>
      <c r="H156" s="166">
        <f>+'Prog 05'!H14</f>
        <v>0</v>
      </c>
      <c r="I156" s="111">
        <f>+'Prog 05'!I14</f>
        <v>0</v>
      </c>
      <c r="J156" s="111">
        <f>+'Prog 05'!J14</f>
        <v>0</v>
      </c>
      <c r="K156" s="260" t="str">
        <f t="shared" si="46"/>
        <v>0.00%</v>
      </c>
      <c r="L156" s="111">
        <f>+'Prog 05'!L14</f>
        <v>0</v>
      </c>
      <c r="M156" s="260">
        <f t="shared" si="48"/>
        <v>0</v>
      </c>
      <c r="N156" s="333">
        <f t="shared" si="51"/>
        <v>0</v>
      </c>
      <c r="O156" s="165">
        <f t="shared" si="49"/>
        <v>0</v>
      </c>
      <c r="P156" s="167">
        <f>+'Prog 05'!P14</f>
        <v>0</v>
      </c>
      <c r="Q156" s="113">
        <f>+'Prog 05'!Q14</f>
        <v>0</v>
      </c>
      <c r="R156" s="165" t="str">
        <f t="shared" si="47"/>
        <v>0.00%</v>
      </c>
      <c r="T156" s="568"/>
      <c r="U156" s="568"/>
      <c r="X156" s="668"/>
      <c r="Y156" s="668"/>
      <c r="Z156" s="668"/>
      <c r="AA156" s="673"/>
      <c r="AY156" s="83"/>
    </row>
    <row r="157" spans="2:51" ht="15" hidden="1" customHeight="1" outlineLevel="1" x14ac:dyDescent="0.25">
      <c r="B157" s="168"/>
      <c r="C157" s="108"/>
      <c r="D157" s="109"/>
      <c r="E157" s="110"/>
      <c r="F157" s="277" t="s">
        <v>228</v>
      </c>
      <c r="G157" s="1135" t="s">
        <v>738</v>
      </c>
      <c r="H157" s="166">
        <f>+'Prog 05'!H15</f>
        <v>0</v>
      </c>
      <c r="I157" s="111">
        <f>+'Prog 05'!I15</f>
        <v>0</v>
      </c>
      <c r="J157" s="111">
        <f>+'Prog 05'!J15</f>
        <v>0</v>
      </c>
      <c r="K157" s="260" t="str">
        <f t="shared" si="46"/>
        <v>0.00%</v>
      </c>
      <c r="L157" s="111">
        <f>+'Prog 05'!L15</f>
        <v>0</v>
      </c>
      <c r="M157" s="260">
        <f t="shared" si="48"/>
        <v>0</v>
      </c>
      <c r="N157" s="333">
        <f t="shared" si="51"/>
        <v>0</v>
      </c>
      <c r="O157" s="165">
        <f t="shared" si="49"/>
        <v>0</v>
      </c>
      <c r="P157" s="265">
        <f>+'Prog 05'!P15</f>
        <v>0</v>
      </c>
      <c r="Q157" s="113">
        <f>+'Prog 05'!Q15</f>
        <v>0</v>
      </c>
      <c r="R157" s="165" t="str">
        <f t="shared" si="47"/>
        <v>0.00%</v>
      </c>
      <c r="T157" s="568"/>
      <c r="U157" s="568"/>
      <c r="X157" s="668"/>
      <c r="Y157" s="668"/>
      <c r="Z157" s="668"/>
      <c r="AA157" s="673"/>
      <c r="AY157" s="83"/>
    </row>
    <row r="158" spans="2:51" ht="15" hidden="1" customHeight="1" outlineLevel="1" x14ac:dyDescent="0.25">
      <c r="B158" s="168"/>
      <c r="C158" s="108"/>
      <c r="D158" s="109"/>
      <c r="E158" s="110"/>
      <c r="F158" s="277" t="s">
        <v>907</v>
      </c>
      <c r="G158" s="1135" t="s">
        <v>645</v>
      </c>
      <c r="H158" s="166">
        <v>0</v>
      </c>
      <c r="I158" s="111">
        <v>0</v>
      </c>
      <c r="J158" s="111">
        <v>0</v>
      </c>
      <c r="K158" s="260" t="str">
        <f t="shared" si="46"/>
        <v>0.00%</v>
      </c>
      <c r="L158" s="111">
        <v>0</v>
      </c>
      <c r="M158" s="260">
        <f t="shared" si="48"/>
        <v>0</v>
      </c>
      <c r="N158" s="333">
        <f>+J158-L158</f>
        <v>0</v>
      </c>
      <c r="O158" s="165">
        <f t="shared" si="49"/>
        <v>0</v>
      </c>
      <c r="P158" s="265">
        <f>+'Prog 05'!P16</f>
        <v>0</v>
      </c>
      <c r="Q158" s="113">
        <f>+'Prog 05'!Q16</f>
        <v>0</v>
      </c>
      <c r="R158" s="165" t="str">
        <f t="shared" si="47"/>
        <v>0.00%</v>
      </c>
      <c r="T158" s="568"/>
      <c r="U158" s="568"/>
      <c r="X158" s="668"/>
      <c r="Y158" s="668"/>
      <c r="Z158" s="668"/>
      <c r="AA158" s="673"/>
      <c r="AY158" s="83"/>
    </row>
    <row r="159" spans="2:51" ht="15" hidden="1" customHeight="1" outlineLevel="1" x14ac:dyDescent="0.25">
      <c r="B159" s="168"/>
      <c r="C159" s="108"/>
      <c r="D159" s="109"/>
      <c r="E159" s="110"/>
      <c r="F159" s="277" t="s">
        <v>229</v>
      </c>
      <c r="G159" s="1139" t="s">
        <v>739</v>
      </c>
      <c r="H159" s="341">
        <f>+'Prog 05'!H17</f>
        <v>0</v>
      </c>
      <c r="I159" s="333">
        <f>+'Prog 05'!I17</f>
        <v>0</v>
      </c>
      <c r="J159" s="333">
        <f>+'Prog 05'!J17</f>
        <v>0</v>
      </c>
      <c r="K159" s="260" t="str">
        <f t="shared" si="46"/>
        <v>0.00%</v>
      </c>
      <c r="L159" s="111">
        <f>+'Prog 05'!L17</f>
        <v>0</v>
      </c>
      <c r="M159" s="260">
        <f t="shared" si="48"/>
        <v>0</v>
      </c>
      <c r="N159" s="333">
        <f t="shared" si="51"/>
        <v>0</v>
      </c>
      <c r="O159" s="165">
        <f t="shared" si="49"/>
        <v>0</v>
      </c>
      <c r="P159" s="383">
        <f>+'Prog 05'!P17</f>
        <v>0</v>
      </c>
      <c r="Q159" s="113">
        <f>+'Prog 05'!Q17</f>
        <v>0</v>
      </c>
      <c r="R159" s="165" t="str">
        <f t="shared" si="47"/>
        <v>0.00%</v>
      </c>
      <c r="T159" s="568"/>
      <c r="U159" s="568"/>
      <c r="X159" s="668"/>
      <c r="Y159" s="668"/>
      <c r="Z159" s="668"/>
      <c r="AA159" s="673"/>
      <c r="AY159" s="83"/>
    </row>
    <row r="160" spans="2:51" ht="15" hidden="1" customHeight="1" outlineLevel="1" x14ac:dyDescent="0.25">
      <c r="B160" s="168"/>
      <c r="C160" s="108"/>
      <c r="D160" s="109"/>
      <c r="E160" s="110"/>
      <c r="F160" s="277" t="s">
        <v>230</v>
      </c>
      <c r="G160" s="1139" t="s">
        <v>740</v>
      </c>
      <c r="H160" s="341">
        <f>+'Prog 05'!H18</f>
        <v>0</v>
      </c>
      <c r="I160" s="333">
        <f>+'Prog 05'!I18</f>
        <v>0</v>
      </c>
      <c r="J160" s="333">
        <f>+'Prog 05'!J18</f>
        <v>0</v>
      </c>
      <c r="K160" s="260" t="str">
        <f t="shared" si="46"/>
        <v>0.00%</v>
      </c>
      <c r="L160" s="111">
        <f>+'Prog 05'!L18</f>
        <v>0</v>
      </c>
      <c r="M160" s="260">
        <f t="shared" si="48"/>
        <v>0</v>
      </c>
      <c r="N160" s="333">
        <f t="shared" si="51"/>
        <v>0</v>
      </c>
      <c r="O160" s="165">
        <f t="shared" si="49"/>
        <v>0</v>
      </c>
      <c r="P160" s="383">
        <f>+'Prog 05'!P18</f>
        <v>0</v>
      </c>
      <c r="Q160" s="113">
        <f>+'Prog 05'!Q18</f>
        <v>0</v>
      </c>
      <c r="R160" s="165" t="str">
        <f t="shared" si="47"/>
        <v>0.00%</v>
      </c>
      <c r="T160" s="568"/>
      <c r="U160" s="568"/>
      <c r="X160" s="668"/>
      <c r="Y160" s="668"/>
      <c r="Z160" s="668"/>
      <c r="AA160" s="673"/>
      <c r="AY160" s="83"/>
    </row>
    <row r="161" spans="2:51" ht="15" hidden="1" customHeight="1" outlineLevel="1" x14ac:dyDescent="0.25">
      <c r="B161" s="168"/>
      <c r="C161" s="108"/>
      <c r="D161" s="109"/>
      <c r="E161" s="110"/>
      <c r="F161" s="277" t="s">
        <v>231</v>
      </c>
      <c r="G161" s="1139" t="s">
        <v>741</v>
      </c>
      <c r="H161" s="341">
        <f>+'Prog 05'!H19</f>
        <v>0</v>
      </c>
      <c r="I161" s="333">
        <f>+'Prog 05'!I19</f>
        <v>0</v>
      </c>
      <c r="J161" s="333">
        <f>+'Prog 05'!J19</f>
        <v>0</v>
      </c>
      <c r="K161" s="260" t="str">
        <f t="shared" si="46"/>
        <v>0.00%</v>
      </c>
      <c r="L161" s="111">
        <f>+'Prog 05'!L19</f>
        <v>0</v>
      </c>
      <c r="M161" s="260">
        <f t="shared" si="48"/>
        <v>0</v>
      </c>
      <c r="N161" s="333">
        <f t="shared" si="51"/>
        <v>0</v>
      </c>
      <c r="O161" s="165">
        <f t="shared" si="49"/>
        <v>0</v>
      </c>
      <c r="P161" s="383">
        <f>+'Prog 05'!P19</f>
        <v>0</v>
      </c>
      <c r="Q161" s="113">
        <f>+'Prog 05'!Q19</f>
        <v>0</v>
      </c>
      <c r="R161" s="165" t="str">
        <f t="shared" si="47"/>
        <v>0.00%</v>
      </c>
      <c r="T161" s="568"/>
      <c r="U161" s="568"/>
      <c r="X161" s="668"/>
      <c r="Y161" s="668"/>
      <c r="Z161" s="668"/>
      <c r="AA161" s="673"/>
      <c r="AY161" s="83"/>
    </row>
    <row r="162" spans="2:51" ht="15" hidden="1" customHeight="1" outlineLevel="1" x14ac:dyDescent="0.25">
      <c r="B162" s="168"/>
      <c r="C162" s="108"/>
      <c r="D162" s="109"/>
      <c r="E162" s="110"/>
      <c r="F162" s="277" t="s">
        <v>232</v>
      </c>
      <c r="G162" s="1139" t="s">
        <v>742</v>
      </c>
      <c r="H162" s="341">
        <f>+'Prog 05'!H20</f>
        <v>0</v>
      </c>
      <c r="I162" s="333">
        <f>+'Prog 05'!I20</f>
        <v>0</v>
      </c>
      <c r="J162" s="333">
        <f>+'Prog 05'!J20</f>
        <v>0</v>
      </c>
      <c r="K162" s="260" t="str">
        <f t="shared" si="46"/>
        <v>0.00%</v>
      </c>
      <c r="L162" s="111">
        <f>+'Prog 05'!L20</f>
        <v>0</v>
      </c>
      <c r="M162" s="260">
        <f t="shared" si="48"/>
        <v>0</v>
      </c>
      <c r="N162" s="333">
        <f t="shared" si="51"/>
        <v>0</v>
      </c>
      <c r="O162" s="165">
        <f t="shared" si="49"/>
        <v>0</v>
      </c>
      <c r="P162" s="383">
        <f>+'Prog 05'!P20</f>
        <v>0</v>
      </c>
      <c r="Q162" s="113">
        <f>+'Prog 05'!Q20</f>
        <v>0</v>
      </c>
      <c r="R162" s="165" t="str">
        <f t="shared" si="47"/>
        <v>0.00%</v>
      </c>
      <c r="T162" s="568"/>
      <c r="U162" s="568"/>
      <c r="X162" s="668"/>
      <c r="Y162" s="668"/>
      <c r="Z162" s="668"/>
      <c r="AA162" s="673"/>
      <c r="AY162" s="83"/>
    </row>
    <row r="163" spans="2:51" ht="15" hidden="1" customHeight="1" outlineLevel="1" x14ac:dyDescent="0.25">
      <c r="B163" s="168"/>
      <c r="C163" s="108"/>
      <c r="D163" s="109"/>
      <c r="E163" s="110"/>
      <c r="F163" s="277" t="s">
        <v>233</v>
      </c>
      <c r="G163" s="1139" t="s">
        <v>635</v>
      </c>
      <c r="H163" s="1146">
        <f>+'Prog 05'!H21</f>
        <v>0</v>
      </c>
      <c r="I163" s="525">
        <f>+'Prog 05'!I21</f>
        <v>0</v>
      </c>
      <c r="J163" s="525">
        <f>+'Prog 05'!J21</f>
        <v>0</v>
      </c>
      <c r="K163" s="260" t="str">
        <f t="shared" si="46"/>
        <v>0.00%</v>
      </c>
      <c r="L163" s="111">
        <f>+'Prog 05'!L21</f>
        <v>0</v>
      </c>
      <c r="M163" s="260">
        <f t="shared" si="48"/>
        <v>0</v>
      </c>
      <c r="N163" s="333">
        <f t="shared" si="51"/>
        <v>0</v>
      </c>
      <c r="O163" s="165">
        <f t="shared" si="49"/>
        <v>0</v>
      </c>
      <c r="P163" s="383">
        <f>+'Prog 05'!P21</f>
        <v>0</v>
      </c>
      <c r="Q163" s="113">
        <f>+'Prog 05'!Q21</f>
        <v>0</v>
      </c>
      <c r="R163" s="165" t="str">
        <f t="shared" si="47"/>
        <v>0.00%</v>
      </c>
      <c r="T163" s="568"/>
      <c r="U163" s="568"/>
      <c r="X163" s="668"/>
      <c r="Y163" s="668"/>
      <c r="Z163" s="668"/>
      <c r="AA163" s="673"/>
      <c r="AY163" s="83"/>
    </row>
    <row r="164" spans="2:51" ht="15" hidden="1" customHeight="1" outlineLevel="1" x14ac:dyDescent="0.25">
      <c r="B164" s="168"/>
      <c r="C164" s="108"/>
      <c r="D164" s="109"/>
      <c r="E164" s="110"/>
      <c r="F164" s="277" t="s">
        <v>234</v>
      </c>
      <c r="G164" s="1135" t="s">
        <v>779</v>
      </c>
      <c r="H164" s="1147">
        <f>+'Prog 05'!H23</f>
        <v>0</v>
      </c>
      <c r="I164" s="278">
        <f>+'Prog 05'!I23</f>
        <v>0</v>
      </c>
      <c r="J164" s="278">
        <f>+'Prog 05'!J23</f>
        <v>0</v>
      </c>
      <c r="K164" s="260" t="str">
        <f t="shared" si="46"/>
        <v>0.00%</v>
      </c>
      <c r="L164" s="111">
        <f>+'Prog 05'!L23</f>
        <v>0</v>
      </c>
      <c r="M164" s="260">
        <f t="shared" si="48"/>
        <v>0</v>
      </c>
      <c r="N164" s="333">
        <f t="shared" si="51"/>
        <v>0</v>
      </c>
      <c r="O164" s="165">
        <f t="shared" si="49"/>
        <v>0</v>
      </c>
      <c r="P164" s="167">
        <f>+'Prog 05'!P22</f>
        <v>0</v>
      </c>
      <c r="Q164" s="113">
        <f>+'Prog 05'!Q22</f>
        <v>0</v>
      </c>
      <c r="R164" s="165" t="str">
        <f t="shared" si="47"/>
        <v>0.00%</v>
      </c>
      <c r="T164" s="568"/>
      <c r="U164" s="568"/>
      <c r="X164" s="668"/>
      <c r="Y164" s="668"/>
      <c r="Z164" s="668"/>
      <c r="AA164" s="673"/>
      <c r="AY164" s="83"/>
    </row>
    <row r="165" spans="2:51" ht="15" hidden="1" customHeight="1" outlineLevel="1" x14ac:dyDescent="0.25">
      <c r="B165" s="168"/>
      <c r="C165" s="108"/>
      <c r="D165" s="109"/>
      <c r="E165" s="110"/>
      <c r="F165" s="277" t="s">
        <v>235</v>
      </c>
      <c r="G165" s="1139" t="s">
        <v>743</v>
      </c>
      <c r="H165" s="1146">
        <f>+'Prog 05'!H23</f>
        <v>0</v>
      </c>
      <c r="I165" s="525">
        <f>+'Prog 05'!I23</f>
        <v>0</v>
      </c>
      <c r="J165" s="525">
        <f>+'Prog 05'!J23</f>
        <v>0</v>
      </c>
      <c r="K165" s="260" t="str">
        <f t="shared" si="46"/>
        <v>0.00%</v>
      </c>
      <c r="L165" s="111">
        <f>+'Prog 05'!L23</f>
        <v>0</v>
      </c>
      <c r="M165" s="260">
        <f t="shared" si="48"/>
        <v>0</v>
      </c>
      <c r="N165" s="333">
        <f t="shared" si="51"/>
        <v>0</v>
      </c>
      <c r="O165" s="165">
        <f t="shared" si="49"/>
        <v>0</v>
      </c>
      <c r="P165" s="383">
        <f>+'Prog 05'!P23</f>
        <v>0</v>
      </c>
      <c r="Q165" s="113">
        <f>+'Prog 05'!Q23</f>
        <v>0</v>
      </c>
      <c r="R165" s="165" t="str">
        <f t="shared" si="47"/>
        <v>0.00%</v>
      </c>
      <c r="T165" s="568"/>
      <c r="U165" s="568"/>
      <c r="X165" s="668"/>
      <c r="Y165" s="668"/>
      <c r="Z165" s="668"/>
      <c r="AA165" s="673"/>
      <c r="AY165" s="83"/>
    </row>
    <row r="166" spans="2:51" ht="15" hidden="1" customHeight="1" outlineLevel="1" x14ac:dyDescent="0.25">
      <c r="B166" s="168"/>
      <c r="C166" s="108"/>
      <c r="D166" s="109"/>
      <c r="E166" s="110"/>
      <c r="F166" s="277" t="s">
        <v>236</v>
      </c>
      <c r="G166" s="1139" t="s">
        <v>744</v>
      </c>
      <c r="H166" s="1146">
        <f>+'Prog 05'!H24</f>
        <v>0</v>
      </c>
      <c r="I166" s="525">
        <f>+'Prog 05'!I24</f>
        <v>0</v>
      </c>
      <c r="J166" s="525">
        <f>+'Prog 05'!J24</f>
        <v>0</v>
      </c>
      <c r="K166" s="260" t="str">
        <f t="shared" si="46"/>
        <v>0.00%</v>
      </c>
      <c r="L166" s="111">
        <f>+'Prog 05'!L24</f>
        <v>0</v>
      </c>
      <c r="M166" s="260">
        <f t="shared" si="48"/>
        <v>0</v>
      </c>
      <c r="N166" s="333">
        <f t="shared" si="51"/>
        <v>0</v>
      </c>
      <c r="O166" s="165">
        <f t="shared" si="49"/>
        <v>0</v>
      </c>
      <c r="P166" s="383">
        <f>+'Prog 05'!P24</f>
        <v>0</v>
      </c>
      <c r="Q166" s="113">
        <f>+'Prog 05'!Q24</f>
        <v>0</v>
      </c>
      <c r="R166" s="165" t="str">
        <f t="shared" si="47"/>
        <v>0.00%</v>
      </c>
      <c r="T166" s="568"/>
      <c r="U166" s="568"/>
      <c r="X166" s="668"/>
      <c r="Y166" s="668"/>
      <c r="Z166" s="668"/>
      <c r="AA166" s="673"/>
      <c r="AY166" s="83"/>
    </row>
    <row r="167" spans="2:51" ht="15" hidden="1" customHeight="1" outlineLevel="1" x14ac:dyDescent="0.25">
      <c r="B167" s="168"/>
      <c r="C167" s="108"/>
      <c r="D167" s="109"/>
      <c r="E167" s="110"/>
      <c r="F167" s="277" t="s">
        <v>237</v>
      </c>
      <c r="G167" s="1135" t="s">
        <v>778</v>
      </c>
      <c r="H167" s="1147">
        <f>+'Prog 05'!H26</f>
        <v>0</v>
      </c>
      <c r="I167" s="278">
        <f>+'Prog 05'!I26</f>
        <v>0</v>
      </c>
      <c r="J167" s="278">
        <f>+'Prog 05'!J26</f>
        <v>0</v>
      </c>
      <c r="K167" s="260" t="str">
        <f t="shared" si="46"/>
        <v>0.00%</v>
      </c>
      <c r="L167" s="111">
        <f>+'Prog 05'!L26</f>
        <v>0</v>
      </c>
      <c r="M167" s="260">
        <f t="shared" si="48"/>
        <v>0</v>
      </c>
      <c r="N167" s="333">
        <f t="shared" si="51"/>
        <v>0</v>
      </c>
      <c r="O167" s="165">
        <f t="shared" si="49"/>
        <v>0</v>
      </c>
      <c r="P167" s="167">
        <f>+'Prog 05'!P25</f>
        <v>0</v>
      </c>
      <c r="Q167" s="113">
        <f>+'Prog 05'!Q25</f>
        <v>0</v>
      </c>
      <c r="R167" s="165" t="str">
        <f t="shared" si="47"/>
        <v>0.00%</v>
      </c>
      <c r="T167" s="568"/>
      <c r="U167" s="568"/>
      <c r="X167" s="668"/>
      <c r="Y167" s="668"/>
      <c r="Z167" s="668"/>
      <c r="AA167" s="673"/>
      <c r="AY167" s="83"/>
    </row>
    <row r="168" spans="2:51" ht="15" hidden="1" customHeight="1" outlineLevel="1" x14ac:dyDescent="0.25">
      <c r="B168" s="168"/>
      <c r="C168" s="108"/>
      <c r="D168" s="109"/>
      <c r="E168" s="110"/>
      <c r="F168" s="277" t="s">
        <v>238</v>
      </c>
      <c r="G168" s="1139" t="s">
        <v>745</v>
      </c>
      <c r="H168" s="1146">
        <f>+'Prog 05'!H26</f>
        <v>0</v>
      </c>
      <c r="I168" s="525">
        <f>+'Prog 05'!I26</f>
        <v>0</v>
      </c>
      <c r="J168" s="525">
        <f>+'Prog 05'!J26</f>
        <v>0</v>
      </c>
      <c r="K168" s="260" t="str">
        <f t="shared" si="46"/>
        <v>0.00%</v>
      </c>
      <c r="L168" s="111">
        <f>+'Prog 05'!L26</f>
        <v>0</v>
      </c>
      <c r="M168" s="260">
        <f t="shared" si="48"/>
        <v>0</v>
      </c>
      <c r="N168" s="333">
        <f t="shared" si="51"/>
        <v>0</v>
      </c>
      <c r="O168" s="165">
        <f t="shared" si="49"/>
        <v>0</v>
      </c>
      <c r="P168" s="383">
        <f>+'Prog 05'!P26</f>
        <v>0</v>
      </c>
      <c r="Q168" s="113">
        <f>+'Prog 05'!Q26</f>
        <v>0</v>
      </c>
      <c r="R168" s="165" t="str">
        <f t="shared" si="47"/>
        <v>0.00%</v>
      </c>
      <c r="T168" s="568"/>
      <c r="U168" s="568"/>
      <c r="X168" s="668"/>
      <c r="Y168" s="668"/>
      <c r="Z168" s="668"/>
      <c r="AA168" s="673"/>
      <c r="AY168" s="83"/>
    </row>
    <row r="169" spans="2:51" ht="15" hidden="1" customHeight="1" outlineLevel="1" x14ac:dyDescent="0.25">
      <c r="B169" s="168"/>
      <c r="C169" s="108"/>
      <c r="D169" s="109"/>
      <c r="E169" s="110"/>
      <c r="F169" s="277" t="s">
        <v>239</v>
      </c>
      <c r="G169" s="1139" t="s">
        <v>746</v>
      </c>
      <c r="H169" s="1146">
        <f>+'Prog 05'!H27</f>
        <v>0</v>
      </c>
      <c r="I169" s="525">
        <f>+'Prog 05'!I27</f>
        <v>0</v>
      </c>
      <c r="J169" s="525">
        <f>+'Prog 05'!J27</f>
        <v>0</v>
      </c>
      <c r="K169" s="260" t="str">
        <f t="shared" si="46"/>
        <v>0.00%</v>
      </c>
      <c r="L169" s="111">
        <f>+'Prog 05'!L27</f>
        <v>0</v>
      </c>
      <c r="M169" s="260">
        <f t="shared" si="48"/>
        <v>0</v>
      </c>
      <c r="N169" s="333">
        <f t="shared" si="51"/>
        <v>0</v>
      </c>
      <c r="O169" s="165">
        <f t="shared" si="49"/>
        <v>0</v>
      </c>
      <c r="P169" s="383">
        <f>+'Prog 05'!P27</f>
        <v>0</v>
      </c>
      <c r="Q169" s="113">
        <f>+'Prog 05'!Q27</f>
        <v>0</v>
      </c>
      <c r="R169" s="165" t="str">
        <f t="shared" si="47"/>
        <v>0.00%</v>
      </c>
      <c r="T169" s="568"/>
      <c r="U169" s="568"/>
      <c r="X169" s="668"/>
      <c r="Y169" s="668"/>
      <c r="Z169" s="668"/>
      <c r="AA169" s="673"/>
      <c r="AY169" s="83"/>
    </row>
    <row r="170" spans="2:51" ht="15" hidden="1" customHeight="1" outlineLevel="1" x14ac:dyDescent="0.25">
      <c r="B170" s="168"/>
      <c r="C170" s="108"/>
      <c r="D170" s="109"/>
      <c r="E170" s="110"/>
      <c r="F170" s="277" t="s">
        <v>240</v>
      </c>
      <c r="G170" s="1139" t="s">
        <v>747</v>
      </c>
      <c r="H170" s="1146">
        <f>+'Prog 05'!H28</f>
        <v>0</v>
      </c>
      <c r="I170" s="525">
        <f>+'Prog 05'!I28</f>
        <v>0</v>
      </c>
      <c r="J170" s="525">
        <f>+'Prog 05'!J28</f>
        <v>0</v>
      </c>
      <c r="K170" s="260" t="str">
        <f t="shared" si="46"/>
        <v>0.00%</v>
      </c>
      <c r="L170" s="111">
        <f>+'Prog 05'!L28</f>
        <v>0</v>
      </c>
      <c r="M170" s="260">
        <f t="shared" si="48"/>
        <v>0</v>
      </c>
      <c r="N170" s="333">
        <f t="shared" si="51"/>
        <v>0</v>
      </c>
      <c r="O170" s="165">
        <f t="shared" si="49"/>
        <v>0</v>
      </c>
      <c r="P170" s="383">
        <f>+'Prog 05'!P28</f>
        <v>0</v>
      </c>
      <c r="Q170" s="113">
        <f>+'Prog 05'!Q28</f>
        <v>0</v>
      </c>
      <c r="R170" s="165" t="str">
        <f t="shared" si="47"/>
        <v>0.00%</v>
      </c>
      <c r="T170" s="568"/>
      <c r="U170" s="568"/>
      <c r="X170" s="668"/>
      <c r="Y170" s="668"/>
      <c r="Z170" s="668"/>
      <c r="AA170" s="673"/>
      <c r="AY170" s="83"/>
    </row>
    <row r="171" spans="2:51" ht="15" hidden="1" customHeight="1" outlineLevel="1" x14ac:dyDescent="0.25">
      <c r="B171" s="168"/>
      <c r="C171" s="108"/>
      <c r="D171" s="109"/>
      <c r="E171" s="110"/>
      <c r="F171" s="277" t="s">
        <v>241</v>
      </c>
      <c r="G171" s="1139" t="s">
        <v>748</v>
      </c>
      <c r="H171" s="1146">
        <f>+'Prog 05'!H29</f>
        <v>0</v>
      </c>
      <c r="I171" s="525">
        <f>+'Prog 05'!I29</f>
        <v>0</v>
      </c>
      <c r="J171" s="525">
        <f>+'Prog 05'!J29</f>
        <v>0</v>
      </c>
      <c r="K171" s="260" t="str">
        <f t="shared" si="46"/>
        <v>0.00%</v>
      </c>
      <c r="L171" s="111">
        <f>+'Prog 05'!L29</f>
        <v>0</v>
      </c>
      <c r="M171" s="260">
        <f t="shared" si="48"/>
        <v>0</v>
      </c>
      <c r="N171" s="333">
        <f t="shared" si="51"/>
        <v>0</v>
      </c>
      <c r="O171" s="165">
        <f t="shared" si="49"/>
        <v>0</v>
      </c>
      <c r="P171" s="383">
        <f>+'Prog 05'!P29</f>
        <v>0</v>
      </c>
      <c r="Q171" s="113">
        <f>+'Prog 05'!Q29</f>
        <v>0</v>
      </c>
      <c r="R171" s="165" t="str">
        <f t="shared" si="47"/>
        <v>0.00%</v>
      </c>
      <c r="T171" s="568"/>
      <c r="U171" s="568"/>
      <c r="X171" s="668"/>
      <c r="Y171" s="668"/>
      <c r="Z171" s="668"/>
      <c r="AA171" s="673"/>
      <c r="AY171" s="83"/>
    </row>
    <row r="172" spans="2:51" ht="15" hidden="1" customHeight="1" outlineLevel="1" x14ac:dyDescent="0.25">
      <c r="B172" s="168"/>
      <c r="C172" s="108"/>
      <c r="D172" s="109"/>
      <c r="E172" s="110"/>
      <c r="F172" s="277" t="s">
        <v>788</v>
      </c>
      <c r="G172" s="1135" t="s">
        <v>636</v>
      </c>
      <c r="H172" s="1147">
        <f>+'Prog 05'!H31</f>
        <v>0</v>
      </c>
      <c r="I172" s="278">
        <f>+'Prog 05'!I31</f>
        <v>0</v>
      </c>
      <c r="J172" s="278">
        <f>+'Prog 05'!J31</f>
        <v>0</v>
      </c>
      <c r="K172" s="260" t="str">
        <f t="shared" si="46"/>
        <v>0.00%</v>
      </c>
      <c r="L172" s="111">
        <f>+'Prog 05'!L31</f>
        <v>0</v>
      </c>
      <c r="M172" s="260">
        <f t="shared" si="48"/>
        <v>0</v>
      </c>
      <c r="N172" s="333">
        <f t="shared" si="51"/>
        <v>0</v>
      </c>
      <c r="O172" s="165">
        <f t="shared" si="49"/>
        <v>0</v>
      </c>
      <c r="P172" s="167">
        <f>+'Prog 05'!P30</f>
        <v>0</v>
      </c>
      <c r="Q172" s="113">
        <f>+'Prog 05'!Q30</f>
        <v>0</v>
      </c>
      <c r="R172" s="165" t="str">
        <f t="shared" si="47"/>
        <v>0.00%</v>
      </c>
      <c r="T172" s="568"/>
      <c r="U172" s="568"/>
      <c r="X172" s="668"/>
      <c r="Y172" s="668"/>
      <c r="Z172" s="668"/>
      <c r="AA172" s="673"/>
      <c r="AY172" s="83"/>
    </row>
    <row r="173" spans="2:51" ht="15" hidden="1" customHeight="1" outlineLevel="1" x14ac:dyDescent="0.25">
      <c r="B173" s="168"/>
      <c r="C173" s="108"/>
      <c r="D173" s="109"/>
      <c r="E173" s="110"/>
      <c r="F173" s="277" t="s">
        <v>1011</v>
      </c>
      <c r="G173" s="1135" t="s">
        <v>988</v>
      </c>
      <c r="H173" s="1147">
        <f>+'Prog 02'!H12</f>
        <v>192906</v>
      </c>
      <c r="I173" s="278">
        <f>+'Prog 02'!I12</f>
        <v>192906</v>
      </c>
      <c r="J173" s="278">
        <f ca="1">+'Prog 02'!J12</f>
        <v>192906</v>
      </c>
      <c r="K173" s="260">
        <f t="shared" ca="1" si="46"/>
        <v>1</v>
      </c>
      <c r="L173" s="111">
        <f>+'Prog 02'!L12</f>
        <v>192906</v>
      </c>
      <c r="M173" s="260">
        <f t="shared" si="48"/>
        <v>1</v>
      </c>
      <c r="N173" s="333">
        <f>+'Prog 02'!N12</f>
        <v>0</v>
      </c>
      <c r="O173" s="165">
        <f t="shared" si="49"/>
        <v>0</v>
      </c>
      <c r="P173" s="167">
        <v>0</v>
      </c>
      <c r="Q173" s="113">
        <v>0</v>
      </c>
      <c r="R173" s="165" t="str">
        <f t="shared" si="47"/>
        <v>0.00%</v>
      </c>
      <c r="T173" s="568"/>
      <c r="U173" s="568"/>
      <c r="X173" s="668"/>
      <c r="Y173" s="668"/>
      <c r="Z173" s="668"/>
      <c r="AA173" s="673"/>
      <c r="AY173" s="83"/>
    </row>
    <row r="174" spans="2:51" ht="15" hidden="1" customHeight="1" outlineLevel="1" x14ac:dyDescent="0.25">
      <c r="B174" s="168"/>
      <c r="C174" s="108"/>
      <c r="D174" s="109"/>
      <c r="E174" s="110"/>
      <c r="F174" s="277" t="s">
        <v>750</v>
      </c>
      <c r="G174" s="1135" t="s">
        <v>539</v>
      </c>
      <c r="H174" s="1147">
        <f>+'Prog 05'!H31</f>
        <v>0</v>
      </c>
      <c r="I174" s="278">
        <f>+'Prog 05'!I31</f>
        <v>0</v>
      </c>
      <c r="J174" s="278">
        <f>+'Prog 05'!J31</f>
        <v>0</v>
      </c>
      <c r="K174" s="260" t="str">
        <f t="shared" si="46"/>
        <v>0.00%</v>
      </c>
      <c r="L174" s="111">
        <f>+'Prog 05'!L31</f>
        <v>0</v>
      </c>
      <c r="M174" s="260">
        <f t="shared" si="48"/>
        <v>0</v>
      </c>
      <c r="N174" s="333">
        <f t="shared" si="51"/>
        <v>0</v>
      </c>
      <c r="O174" s="165">
        <f t="shared" si="49"/>
        <v>0</v>
      </c>
      <c r="P174" s="167">
        <f>+'Prog 05'!P31</f>
        <v>0</v>
      </c>
      <c r="Q174" s="113">
        <f>+'Prog 05'!Q31</f>
        <v>0</v>
      </c>
      <c r="R174" s="165" t="str">
        <f t="shared" si="47"/>
        <v>0.00%</v>
      </c>
      <c r="T174" s="568"/>
      <c r="U174" s="568"/>
      <c r="X174" s="668"/>
      <c r="Y174" s="668"/>
      <c r="Z174" s="668"/>
      <c r="AA174" s="673"/>
      <c r="AY174" s="83"/>
    </row>
    <row r="175" spans="2:51" ht="15" hidden="1" customHeight="1" outlineLevel="1" x14ac:dyDescent="0.25">
      <c r="B175" s="334" t="s">
        <v>2</v>
      </c>
      <c r="C175" s="335" t="s">
        <v>167</v>
      </c>
      <c r="D175" s="336"/>
      <c r="E175" s="512"/>
      <c r="F175" s="512"/>
      <c r="G175" s="1137" t="s">
        <v>3</v>
      </c>
      <c r="H175" s="1146">
        <f>SUM(H176:H188)</f>
        <v>85243416</v>
      </c>
      <c r="I175" s="525">
        <f>SUM(I176:I188)</f>
        <v>85243416</v>
      </c>
      <c r="J175" s="525">
        <f ca="1">SUM(J176:J188)</f>
        <v>76109397.077000007</v>
      </c>
      <c r="K175" s="260">
        <f t="shared" ca="1" si="46"/>
        <v>0.89284780747172321</v>
      </c>
      <c r="L175" s="333">
        <f>SUM(L176:L188)</f>
        <v>76964502.140000001</v>
      </c>
      <c r="M175" s="260">
        <f t="shared" si="48"/>
        <v>0.90287914013206605</v>
      </c>
      <c r="N175" s="333">
        <f>SUM(N176:N188)</f>
        <v>8278913.8599999957</v>
      </c>
      <c r="O175" s="165">
        <f t="shared" si="49"/>
        <v>9.7120859867933909E-2</v>
      </c>
      <c r="P175" s="341">
        <f>SUM(P176:P188)</f>
        <v>85170182.420999989</v>
      </c>
      <c r="Q175" s="333">
        <f ca="1">SUM(Q176:Q188)</f>
        <v>76019352.333796009</v>
      </c>
      <c r="R175" s="165">
        <f t="shared" ca="1" si="47"/>
        <v>0.89255828944957494</v>
      </c>
      <c r="T175" s="568"/>
      <c r="U175" s="568"/>
      <c r="X175" s="668"/>
      <c r="Y175" s="668"/>
      <c r="Z175" s="668"/>
      <c r="AA175" s="673"/>
    </row>
    <row r="176" spans="2:51" ht="15" hidden="1" customHeight="1" outlineLevel="2" x14ac:dyDescent="0.25">
      <c r="B176" s="168"/>
      <c r="C176" s="108"/>
      <c r="D176" s="117" t="s">
        <v>195</v>
      </c>
      <c r="E176" s="117"/>
      <c r="F176" s="112" t="str">
        <f>+CONCATENATE($B$145,"",$C$175,"",D176,"",E176)</f>
        <v>24.03.024</v>
      </c>
      <c r="G176" s="1134" t="s">
        <v>243</v>
      </c>
      <c r="H176" s="1147">
        <f>+VLOOKUP(F176,matriz01,3,FALSE)</f>
        <v>10</v>
      </c>
      <c r="I176" s="278">
        <f>+VLOOKUP(F176,matriz01,4,FALSE)</f>
        <v>10</v>
      </c>
      <c r="J176" s="278">
        <f ca="1">+'Prog 01'!J155</f>
        <v>0</v>
      </c>
      <c r="K176" s="260">
        <f t="shared" ca="1" si="46"/>
        <v>0</v>
      </c>
      <c r="L176" s="111">
        <f>INDEX(coincidenciaP01,MATCH(F176,indicep01,0),7)</f>
        <v>0</v>
      </c>
      <c r="M176" s="260">
        <f t="shared" si="48"/>
        <v>0</v>
      </c>
      <c r="N176" s="111">
        <f>INDEX(coincidenciaP01,MATCH(F176,indicep01,0),9)</f>
        <v>10</v>
      </c>
      <c r="O176" s="165">
        <f t="shared" si="49"/>
        <v>1</v>
      </c>
      <c r="P176" s="166">
        <f>+'Prog 01'!P155</f>
        <v>10.629999999999999</v>
      </c>
      <c r="Q176" s="111">
        <f ca="1">+'Prog 01'!Q155</f>
        <v>0</v>
      </c>
      <c r="R176" s="165">
        <f t="shared" ca="1" si="47"/>
        <v>0</v>
      </c>
      <c r="T176" s="568"/>
      <c r="U176" s="568"/>
      <c r="X176" s="668"/>
      <c r="Y176" s="668"/>
      <c r="Z176" s="668"/>
      <c r="AA176" s="673"/>
    </row>
    <row r="177" spans="1:27" ht="15" hidden="1" customHeight="1" outlineLevel="2" x14ac:dyDescent="0.25">
      <c r="B177" s="168"/>
      <c r="C177" s="108"/>
      <c r="D177" s="117" t="s">
        <v>225</v>
      </c>
      <c r="E177" s="117"/>
      <c r="F177" s="112" t="str">
        <f>+CONCATENATE($B$145,"",$C$175,"",D177,"",E177)</f>
        <v>24.03.026</v>
      </c>
      <c r="G177" s="1134" t="s">
        <v>139</v>
      </c>
      <c r="H177" s="1147">
        <f>+VLOOKUP(F177,matriz02,3,FALSE)</f>
        <v>1534002</v>
      </c>
      <c r="I177" s="278">
        <f>+VLOOKUP(F177,matriz02,4,FALSE)</f>
        <v>1534002</v>
      </c>
      <c r="J177" s="278">
        <f ca="1">+'Prog 02'!J14</f>
        <v>12018</v>
      </c>
      <c r="K177" s="260">
        <f t="shared" ca="1" si="46"/>
        <v>7.8344096031165537E-3</v>
      </c>
      <c r="L177" s="111">
        <f>+'Prog 02'!L14</f>
        <v>53041.03</v>
      </c>
      <c r="M177" s="260">
        <f t="shared" si="48"/>
        <v>3.4576897552936699E-2</v>
      </c>
      <c r="N177" s="111">
        <f>+'Prog 02'!N14</f>
        <v>1480960.97</v>
      </c>
      <c r="O177" s="165">
        <f t="shared" si="49"/>
        <v>0.96542310244706331</v>
      </c>
      <c r="P177" s="166">
        <f>+'Prog 02'!P14</f>
        <v>1385181.4809999999</v>
      </c>
      <c r="Q177" s="111">
        <f>+'Prog 02'!Q14</f>
        <v>93225.1</v>
      </c>
      <c r="R177" s="165">
        <f t="shared" si="47"/>
        <v>6.7301722755272686E-2</v>
      </c>
      <c r="T177" s="568"/>
      <c r="U177" s="568"/>
      <c r="X177" s="668"/>
      <c r="Y177" s="668"/>
      <c r="Z177" s="668"/>
      <c r="AA177" s="673"/>
    </row>
    <row r="178" spans="1:27" ht="15" hidden="1" customHeight="1" outlineLevel="2" x14ac:dyDescent="0.25">
      <c r="B178" s="168"/>
      <c r="C178" s="108"/>
      <c r="D178" s="117" t="s">
        <v>939</v>
      </c>
      <c r="E178" s="514"/>
      <c r="F178" s="509" t="str">
        <f>+CONCATENATE($B$145,"",$C$175,"",D178,"",E178)</f>
        <v>24.03.027</v>
      </c>
      <c r="G178" s="823" t="s">
        <v>933</v>
      </c>
      <c r="H178" s="1147">
        <v>0</v>
      </c>
      <c r="I178" s="278">
        <f>+'Prog 01'!I156</f>
        <v>0</v>
      </c>
      <c r="J178" s="278">
        <f ca="1">+'Prog 01'!J156</f>
        <v>0</v>
      </c>
      <c r="K178" s="260" t="str">
        <f t="shared" ca="1" si="46"/>
        <v>0.00%</v>
      </c>
      <c r="L178" s="111">
        <f>+'Prog 01'!L156</f>
        <v>0</v>
      </c>
      <c r="M178" s="260">
        <f t="shared" si="48"/>
        <v>0</v>
      </c>
      <c r="N178" s="111">
        <f>+'Prog 01'!N156</f>
        <v>0</v>
      </c>
      <c r="O178" s="165">
        <f t="shared" si="49"/>
        <v>0</v>
      </c>
      <c r="P178" s="166">
        <v>0</v>
      </c>
      <c r="Q178" s="111">
        <v>0</v>
      </c>
      <c r="R178" s="165" t="str">
        <f t="shared" si="47"/>
        <v>0.00%</v>
      </c>
      <c r="T178" s="568"/>
      <c r="U178" s="568"/>
      <c r="X178" s="668"/>
      <c r="Y178" s="668"/>
      <c r="Z178" s="668"/>
      <c r="AA178" s="673"/>
    </row>
    <row r="179" spans="1:27" ht="15" hidden="1" customHeight="1" outlineLevel="2" x14ac:dyDescent="0.25">
      <c r="B179" s="168"/>
      <c r="C179" s="108"/>
      <c r="D179" s="121" t="s">
        <v>306</v>
      </c>
      <c r="E179" s="117"/>
      <c r="F179" s="112" t="str">
        <f>+CONCATENATE($B$145,"",$C$175,"",D179,"",E179)</f>
        <v>24.03.033</v>
      </c>
      <c r="G179" s="1134" t="s">
        <v>307</v>
      </c>
      <c r="H179" s="1147">
        <f>+'Prog 02'!H20</f>
        <v>2696418</v>
      </c>
      <c r="I179" s="278">
        <f>+'Prog 02'!I20</f>
        <v>2696418</v>
      </c>
      <c r="J179" s="278">
        <f ca="1">+'Prog 02'!J20</f>
        <v>153058.33199999999</v>
      </c>
      <c r="K179" s="260">
        <f t="shared" ca="1" si="46"/>
        <v>5.6763577457204333E-2</v>
      </c>
      <c r="L179" s="111">
        <f>+'Prog 02'!L20</f>
        <v>634765.96799999999</v>
      </c>
      <c r="M179" s="260">
        <f t="shared" si="48"/>
        <v>0.23541081835234745</v>
      </c>
      <c r="N179" s="111">
        <f>+'Prog 02'!N20</f>
        <v>2061652.0320000001</v>
      </c>
      <c r="O179" s="165">
        <f t="shared" si="49"/>
        <v>0.76458918164765255</v>
      </c>
      <c r="P179" s="166">
        <f>+'Prog 02'!P20</f>
        <v>2773855.9799999995</v>
      </c>
      <c r="Q179" s="111">
        <f>+'Prog 02'!Q20</f>
        <v>264732.20513800002</v>
      </c>
      <c r="R179" s="165">
        <f t="shared" si="47"/>
        <v>9.5438338200240683E-2</v>
      </c>
      <c r="T179" s="568"/>
      <c r="U179" s="568"/>
      <c r="X179" s="668"/>
      <c r="Y179" s="668"/>
      <c r="Z179" s="668"/>
      <c r="AA179" s="673"/>
    </row>
    <row r="180" spans="1:27" ht="15" hidden="1" customHeight="1" outlineLevel="2" x14ac:dyDescent="0.25">
      <c r="B180" s="168"/>
      <c r="C180" s="108"/>
      <c r="D180" s="121" t="s">
        <v>527</v>
      </c>
      <c r="E180" s="117"/>
      <c r="F180" s="112" t="s">
        <v>526</v>
      </c>
      <c r="G180" s="1134" t="s">
        <v>263</v>
      </c>
      <c r="H180" s="166">
        <f>+'Prog 02'!H26</f>
        <v>58398</v>
      </c>
      <c r="I180" s="111">
        <f>+'Prog 02'!I26</f>
        <v>58398</v>
      </c>
      <c r="J180" s="111">
        <f ca="1">+'Prog 02'!J26</f>
        <v>25302</v>
      </c>
      <c r="K180" s="260">
        <f t="shared" ca="1" si="46"/>
        <v>0.43326826261173329</v>
      </c>
      <c r="L180" s="111">
        <f>+'Prog 02'!L26</f>
        <v>42867.5</v>
      </c>
      <c r="M180" s="260">
        <f t="shared" si="48"/>
        <v>0.73405767320798654</v>
      </c>
      <c r="N180" s="111">
        <f>+'Prog 02'!N27</f>
        <v>15530.5</v>
      </c>
      <c r="O180" s="165">
        <f t="shared" si="49"/>
        <v>0.26594232679201341</v>
      </c>
      <c r="P180" s="166">
        <f>+'Prog 02'!P26</f>
        <v>96186.618000000002</v>
      </c>
      <c r="Q180" s="111">
        <f>+'Prog 02'!Q26</f>
        <v>15413.5</v>
      </c>
      <c r="R180" s="165">
        <f t="shared" si="47"/>
        <v>0.16024578387816898</v>
      </c>
      <c r="T180" s="568"/>
      <c r="U180" s="568"/>
      <c r="X180" s="668"/>
      <c r="Y180" s="668"/>
      <c r="Z180" s="668"/>
      <c r="AA180" s="673"/>
    </row>
    <row r="181" spans="1:27" ht="15" hidden="1" customHeight="1" outlineLevel="2" x14ac:dyDescent="0.25">
      <c r="B181" s="168"/>
      <c r="C181" s="108"/>
      <c r="D181" s="121" t="s">
        <v>192</v>
      </c>
      <c r="E181" s="117"/>
      <c r="F181" s="112" t="s">
        <v>881</v>
      </c>
      <c r="G181" s="1134" t="str">
        <f>+'Prog 01'!G157</f>
        <v xml:space="preserve">Fortalecimiento de Capacidades de Intervención en </v>
      </c>
      <c r="H181" s="166">
        <v>0</v>
      </c>
      <c r="I181" s="111">
        <v>0</v>
      </c>
      <c r="J181" s="111">
        <v>0</v>
      </c>
      <c r="K181" s="260" t="str">
        <f t="shared" si="46"/>
        <v>0.00%</v>
      </c>
      <c r="L181" s="111">
        <v>0</v>
      </c>
      <c r="M181" s="260">
        <f t="shared" si="48"/>
        <v>0</v>
      </c>
      <c r="N181" s="111">
        <v>0</v>
      </c>
      <c r="O181" s="165">
        <f t="shared" si="49"/>
        <v>0</v>
      </c>
      <c r="P181" s="166">
        <f>+'Prog 01'!P157</f>
        <v>0</v>
      </c>
      <c r="Q181" s="111">
        <f ca="1">+'Prog 01'!Q157</f>
        <v>0</v>
      </c>
      <c r="R181" s="165" t="str">
        <f t="shared" ca="1" si="47"/>
        <v>0.00%</v>
      </c>
      <c r="T181" s="568"/>
      <c r="U181" s="568"/>
      <c r="X181" s="668"/>
      <c r="Y181" s="668"/>
      <c r="Z181" s="668"/>
      <c r="AA181" s="673"/>
    </row>
    <row r="182" spans="1:27" ht="15" hidden="1" customHeight="1" outlineLevel="2" x14ac:dyDescent="0.25">
      <c r="B182" s="168"/>
      <c r="C182" s="108"/>
      <c r="D182" s="117" t="s">
        <v>226</v>
      </c>
      <c r="E182" s="117"/>
      <c r="F182" s="112" t="str">
        <f t="shared" ref="F182:F188" si="52">+CONCATENATE($B$145,"",$C$175,"",D182,"",E182)</f>
        <v>24.03.403</v>
      </c>
      <c r="G182" s="1134" t="s">
        <v>313</v>
      </c>
      <c r="H182" s="166">
        <f>+'Prog 03'!H15</f>
        <v>74875016</v>
      </c>
      <c r="I182" s="111">
        <f>+'Prog 03'!I15</f>
        <v>74875016</v>
      </c>
      <c r="J182" s="111">
        <f ca="1">+'Prog 03'!J15</f>
        <v>74875005.333000004</v>
      </c>
      <c r="K182" s="260">
        <f t="shared" ca="1" si="46"/>
        <v>0.99999985753592369</v>
      </c>
      <c r="L182" s="111">
        <f>+'Prog 03'!L15</f>
        <v>74875005.333000004</v>
      </c>
      <c r="M182" s="260">
        <f t="shared" si="48"/>
        <v>0.99999985753592369</v>
      </c>
      <c r="N182" s="111">
        <f>+'Prog 03'!N15</f>
        <v>10.666999995708466</v>
      </c>
      <c r="O182" s="165">
        <f t="shared" si="49"/>
        <v>1.4246407634435051E-7</v>
      </c>
      <c r="P182" s="166">
        <f>+'Prog 03'!P15</f>
        <v>74875015.728</v>
      </c>
      <c r="Q182" s="111">
        <f>+'Prog 03'!Q15</f>
        <v>74379258.572562993</v>
      </c>
      <c r="R182" s="165">
        <f t="shared" si="47"/>
        <v>0.99337887076728026</v>
      </c>
      <c r="T182" s="568"/>
      <c r="U182" s="568"/>
      <c r="X182" s="668"/>
      <c r="Y182" s="668"/>
      <c r="Z182" s="668"/>
      <c r="AA182" s="673"/>
    </row>
    <row r="183" spans="1:27" ht="15" hidden="1" customHeight="1" outlineLevel="2" x14ac:dyDescent="0.25">
      <c r="B183" s="168" t="s">
        <v>2</v>
      </c>
      <c r="C183" s="108"/>
      <c r="D183" s="121" t="s">
        <v>255</v>
      </c>
      <c r="E183" s="117"/>
      <c r="F183" s="112" t="str">
        <f t="shared" si="52"/>
        <v>24.03.406</v>
      </c>
      <c r="G183" s="1134" t="s">
        <v>254</v>
      </c>
      <c r="H183" s="166">
        <f>+'Prog 03'!H16</f>
        <v>3810757</v>
      </c>
      <c r="I183" s="111">
        <f>+'Prog 03'!I16</f>
        <v>3810757</v>
      </c>
      <c r="J183" s="111">
        <f ca="1">+'Prog 03'!J16</f>
        <v>781461.47499999986</v>
      </c>
      <c r="K183" s="260">
        <f t="shared" ca="1" si="46"/>
        <v>0.20506725435392492</v>
      </c>
      <c r="L183" s="111">
        <f>+'Prog 03'!L16</f>
        <v>943226.21299999999</v>
      </c>
      <c r="M183" s="260">
        <f t="shared" si="48"/>
        <v>0.24751675664441475</v>
      </c>
      <c r="N183" s="111">
        <f>+'Prog 03'!N16</f>
        <v>2867530.787</v>
      </c>
      <c r="O183" s="165">
        <f t="shared" si="49"/>
        <v>0.75248324335558525</v>
      </c>
      <c r="P183" s="166">
        <f>+'Prog 03'!P16</f>
        <v>3043071.3600000003</v>
      </c>
      <c r="Q183" s="111">
        <f>+'Prog 03'!Q16</f>
        <v>536763.55717799999</v>
      </c>
      <c r="R183" s="165">
        <f t="shared" si="47"/>
        <v>0.17638875125754525</v>
      </c>
      <c r="T183" s="568"/>
      <c r="U183" s="568"/>
      <c r="X183" s="668"/>
      <c r="Y183" s="668"/>
      <c r="Z183" s="668"/>
      <c r="AA183" s="673"/>
    </row>
    <row r="184" spans="1:27" ht="15" hidden="1" customHeight="1" outlineLevel="2" x14ac:dyDescent="0.25">
      <c r="B184" s="168" t="s">
        <v>2</v>
      </c>
      <c r="C184" s="108"/>
      <c r="D184" s="121" t="s">
        <v>257</v>
      </c>
      <c r="E184" s="117"/>
      <c r="F184" s="112" t="str">
        <f t="shared" si="52"/>
        <v>24.03.409</v>
      </c>
      <c r="G184" s="1134" t="s">
        <v>261</v>
      </c>
      <c r="H184" s="166">
        <f>+'Prog 01'!H158</f>
        <v>136421</v>
      </c>
      <c r="I184" s="111">
        <f>+VLOOKUP(F184,matriz01,4,FALSE)</f>
        <v>136421</v>
      </c>
      <c r="J184" s="111">
        <f ca="1">+'Prog 01'!J158</f>
        <v>27571.937000000002</v>
      </c>
      <c r="K184" s="260">
        <f t="shared" ca="1" si="46"/>
        <v>0.20210918406990128</v>
      </c>
      <c r="L184" s="111">
        <f>+'Prog 01'!L158</f>
        <v>68812.995999999999</v>
      </c>
      <c r="M184" s="260">
        <f t="shared" si="48"/>
        <v>0.50441644614832026</v>
      </c>
      <c r="N184" s="111">
        <f>INDEX(coincidenciaP01,MATCH(F184,indicep01,0),9)</f>
        <v>67608.004000000001</v>
      </c>
      <c r="O184" s="165">
        <f t="shared" si="49"/>
        <v>0.49558355385167974</v>
      </c>
      <c r="P184" s="166">
        <f>+'Prog 01'!P158</f>
        <v>221616.36599999998</v>
      </c>
      <c r="Q184" s="111">
        <f ca="1">+'Prog 01'!Q158</f>
        <v>58377.258916999999</v>
      </c>
      <c r="R184" s="165">
        <f t="shared" ca="1" si="47"/>
        <v>0.26341582966395183</v>
      </c>
      <c r="T184" s="568"/>
      <c r="U184" s="568"/>
      <c r="X184" s="668"/>
      <c r="Y184" s="668"/>
      <c r="Z184" s="668"/>
      <c r="AA184" s="673"/>
    </row>
    <row r="185" spans="1:27" ht="15" hidden="1" customHeight="1" outlineLevel="2" x14ac:dyDescent="0.25">
      <c r="B185" s="168"/>
      <c r="C185" s="849"/>
      <c r="D185" s="121" t="s">
        <v>935</v>
      </c>
      <c r="E185" s="117"/>
      <c r="F185" s="112" t="str">
        <f t="shared" si="52"/>
        <v>24.03.410</v>
      </c>
      <c r="G185" s="1134" t="s">
        <v>936</v>
      </c>
      <c r="H185" s="166">
        <v>0</v>
      </c>
      <c r="I185" s="111"/>
      <c r="J185" s="111"/>
      <c r="K185" s="260" t="str">
        <f t="shared" si="46"/>
        <v>0.00%</v>
      </c>
      <c r="L185" s="111"/>
      <c r="M185" s="260">
        <f t="shared" si="48"/>
        <v>0</v>
      </c>
      <c r="N185" s="111"/>
      <c r="O185" s="165">
        <f t="shared" si="49"/>
        <v>0</v>
      </c>
      <c r="P185" s="166">
        <f>+'Prog 01'!P159</f>
        <v>0</v>
      </c>
      <c r="Q185" s="111">
        <f ca="1">+'Prog 01'!Q159</f>
        <v>0</v>
      </c>
      <c r="R185" s="165" t="str">
        <f t="shared" ca="1" si="47"/>
        <v>0.00%</v>
      </c>
      <c r="T185" s="568"/>
      <c r="U185" s="568"/>
      <c r="X185" s="668"/>
      <c r="Y185" s="668"/>
      <c r="Z185" s="668"/>
      <c r="AA185" s="673"/>
    </row>
    <row r="186" spans="1:27" ht="15" hidden="1" customHeight="1" outlineLevel="2" x14ac:dyDescent="0.25">
      <c r="B186" s="168" t="s">
        <v>2</v>
      </c>
      <c r="C186" s="108"/>
      <c r="D186" s="121" t="s">
        <v>258</v>
      </c>
      <c r="E186" s="117"/>
      <c r="F186" s="112" t="str">
        <f t="shared" si="52"/>
        <v>24.03.415</v>
      </c>
      <c r="G186" s="1134" t="s">
        <v>262</v>
      </c>
      <c r="H186" s="166">
        <f>+'Prog 01'!H160</f>
        <v>0</v>
      </c>
      <c r="I186" s="111">
        <f>+VLOOKUP(F186,matriz01,4,FALSE)</f>
        <v>0</v>
      </c>
      <c r="J186" s="111">
        <f ca="1">+'Prog 01'!J160</f>
        <v>0</v>
      </c>
      <c r="K186" s="260" t="str">
        <f t="shared" ca="1" si="46"/>
        <v>0.00%</v>
      </c>
      <c r="L186" s="111">
        <f>INDEX(coincidenciaP01,MATCH(F186,indicep01,0),7)</f>
        <v>0</v>
      </c>
      <c r="M186" s="260">
        <f t="shared" si="48"/>
        <v>0</v>
      </c>
      <c r="N186" s="111">
        <f>INDEX(coincidenciaP01,MATCH(F186,indicep01,0),9)</f>
        <v>0</v>
      </c>
      <c r="O186" s="165">
        <f t="shared" si="49"/>
        <v>0</v>
      </c>
      <c r="P186" s="166">
        <f>+'Prog 01'!P160</f>
        <v>48246.380999999994</v>
      </c>
      <c r="Q186" s="111">
        <f ca="1">+'Prog 01'!Q160</f>
        <v>44943.64</v>
      </c>
      <c r="R186" s="165">
        <f t="shared" ca="1" si="47"/>
        <v>0.93154427479234148</v>
      </c>
      <c r="T186" s="568"/>
      <c r="U186" s="568"/>
      <c r="X186" s="668"/>
      <c r="Y186" s="668"/>
      <c r="Z186" s="668"/>
      <c r="AA186" s="673"/>
    </row>
    <row r="187" spans="1:27" ht="15" hidden="1" customHeight="1" outlineLevel="2" x14ac:dyDescent="0.25">
      <c r="B187" s="168" t="s">
        <v>2</v>
      </c>
      <c r="C187" s="108"/>
      <c r="D187" s="121" t="s">
        <v>272</v>
      </c>
      <c r="E187" s="117"/>
      <c r="F187" s="112" t="str">
        <f t="shared" si="52"/>
        <v>24.03.500</v>
      </c>
      <c r="G187" s="1134" t="s">
        <v>265</v>
      </c>
      <c r="H187" s="166">
        <f>+'Prog 02'!H29</f>
        <v>0</v>
      </c>
      <c r="I187" s="111">
        <f>+'Prog 02'!I29</f>
        <v>0</v>
      </c>
      <c r="J187" s="111">
        <f ca="1">+'Prog 02'!J29</f>
        <v>0</v>
      </c>
      <c r="K187" s="260" t="str">
        <f t="shared" ca="1" si="46"/>
        <v>0.00%</v>
      </c>
      <c r="L187" s="111">
        <f>+'Prog 02'!L28</f>
        <v>0</v>
      </c>
      <c r="M187" s="260">
        <f t="shared" si="48"/>
        <v>0</v>
      </c>
      <c r="N187" s="111">
        <f>+'Prog 02'!N29</f>
        <v>0</v>
      </c>
      <c r="O187" s="165">
        <f t="shared" si="49"/>
        <v>0</v>
      </c>
      <c r="P187" s="166">
        <f>+'Prog 02'!P28</f>
        <v>192905.799</v>
      </c>
      <c r="Q187" s="111">
        <f>+'Prog 02'!Q29</f>
        <v>0</v>
      </c>
      <c r="R187" s="165">
        <f t="shared" si="47"/>
        <v>0</v>
      </c>
      <c r="T187" s="568"/>
      <c r="U187" s="568"/>
      <c r="X187" s="668"/>
      <c r="Y187" s="668"/>
      <c r="Z187" s="668"/>
      <c r="AA187" s="673"/>
    </row>
    <row r="188" spans="1:27" ht="15" hidden="1" customHeight="1" outlineLevel="2" x14ac:dyDescent="0.25">
      <c r="B188" s="168" t="s">
        <v>2</v>
      </c>
      <c r="C188" s="108"/>
      <c r="D188" s="121" t="s">
        <v>325</v>
      </c>
      <c r="E188" s="117"/>
      <c r="F188" s="112" t="str">
        <f t="shared" si="52"/>
        <v>24.03.602</v>
      </c>
      <c r="G188" s="1134" t="s">
        <v>303</v>
      </c>
      <c r="H188" s="166">
        <f>+'Prog 02'!H30</f>
        <v>2132394</v>
      </c>
      <c r="I188" s="111">
        <f>+'Prog 02'!I30</f>
        <v>2132394</v>
      </c>
      <c r="J188" s="111">
        <f ca="1">+'Prog 02'!J30</f>
        <v>234980</v>
      </c>
      <c r="K188" s="260">
        <f t="shared" ca="1" si="46"/>
        <v>0.11019539541004149</v>
      </c>
      <c r="L188" s="111">
        <f>+'Prog 02'!L30</f>
        <v>346783.1</v>
      </c>
      <c r="M188" s="260">
        <f t="shared" si="48"/>
        <v>0.16262618446684804</v>
      </c>
      <c r="N188" s="111">
        <f>+'Prog 02'!N30</f>
        <v>1785610.9</v>
      </c>
      <c r="O188" s="165">
        <f t="shared" si="49"/>
        <v>0.83737381553315193</v>
      </c>
      <c r="P188" s="166">
        <f>+'Prog 02'!P30</f>
        <v>2534092.0779999997</v>
      </c>
      <c r="Q188" s="111">
        <f>+'Prog 02'!Q30</f>
        <v>626638.5</v>
      </c>
      <c r="R188" s="165">
        <f t="shared" si="47"/>
        <v>0.24728324019487349</v>
      </c>
      <c r="T188" s="568"/>
      <c r="U188" s="568"/>
      <c r="X188" s="668"/>
      <c r="Y188" s="668"/>
      <c r="Z188" s="668"/>
      <c r="AA188" s="673"/>
    </row>
    <row r="189" spans="1:27" s="158" customFormat="1" ht="15" hidden="1" customHeight="1" outlineLevel="1" x14ac:dyDescent="0.25">
      <c r="B189" s="334" t="s">
        <v>2</v>
      </c>
      <c r="C189" s="511" t="s">
        <v>183</v>
      </c>
      <c r="D189" s="336"/>
      <c r="E189" s="512"/>
      <c r="F189" s="512"/>
      <c r="G189" s="1137" t="s">
        <v>294</v>
      </c>
      <c r="H189" s="341">
        <f>SUM(H190:H194)</f>
        <v>0</v>
      </c>
      <c r="I189" s="333">
        <f>SUM(I190:I194)</f>
        <v>0</v>
      </c>
      <c r="J189" s="333">
        <f ca="1">SUM(J190:J194)</f>
        <v>0</v>
      </c>
      <c r="K189" s="260" t="str">
        <f t="shared" ca="1" si="46"/>
        <v>0.00%</v>
      </c>
      <c r="L189" s="333">
        <f>SUM(L190:L194)</f>
        <v>0</v>
      </c>
      <c r="M189" s="260">
        <f t="shared" si="48"/>
        <v>0</v>
      </c>
      <c r="N189" s="333">
        <f>SUM(N190:N194)</f>
        <v>0</v>
      </c>
      <c r="O189" s="165">
        <f t="shared" si="49"/>
        <v>0</v>
      </c>
      <c r="P189" s="341">
        <f>+SUM(P190:P193)</f>
        <v>0</v>
      </c>
      <c r="Q189" s="333">
        <f ca="1">+SUM(Q190:Q193)</f>
        <v>0</v>
      </c>
      <c r="R189" s="165" t="str">
        <f t="shared" ca="1" si="47"/>
        <v>0.00%</v>
      </c>
      <c r="S189" s="157"/>
      <c r="T189" s="568"/>
      <c r="U189" s="568"/>
      <c r="V189" s="669"/>
      <c r="W189" s="669"/>
      <c r="X189" s="668"/>
      <c r="Y189" s="668"/>
      <c r="Z189" s="668"/>
      <c r="AA189" s="673"/>
    </row>
    <row r="190" spans="1:27" s="158" customFormat="1" ht="15" hidden="1" customHeight="1" outlineLevel="1" x14ac:dyDescent="0.25">
      <c r="B190" s="168"/>
      <c r="C190" s="115"/>
      <c r="D190" s="109"/>
      <c r="E190" s="120"/>
      <c r="F190" s="112" t="s">
        <v>244</v>
      </c>
      <c r="G190" s="1138" t="s">
        <v>757</v>
      </c>
      <c r="H190" s="166">
        <v>0</v>
      </c>
      <c r="I190" s="111">
        <f>+'Prog 01'!I162</f>
        <v>0</v>
      </c>
      <c r="J190" s="111">
        <f ca="1">+'Prog 01'!J162</f>
        <v>0</v>
      </c>
      <c r="K190" s="260" t="str">
        <f t="shared" ca="1" si="46"/>
        <v>0.00%</v>
      </c>
      <c r="L190" s="111">
        <f>+'Prog 01'!L162</f>
        <v>0</v>
      </c>
      <c r="M190" s="260">
        <f t="shared" si="48"/>
        <v>0</v>
      </c>
      <c r="N190" s="111">
        <f>+'Prog 01'!N162</f>
        <v>0</v>
      </c>
      <c r="O190" s="165">
        <f t="shared" si="49"/>
        <v>0</v>
      </c>
      <c r="P190" s="166">
        <f>+'Prog 01'!P162</f>
        <v>0</v>
      </c>
      <c r="Q190" s="111">
        <f ca="1">+'Prog 01'!Q162</f>
        <v>0</v>
      </c>
      <c r="R190" s="165" t="str">
        <f t="shared" ca="1" si="47"/>
        <v>0.00%</v>
      </c>
      <c r="S190" s="157"/>
      <c r="T190" s="568"/>
      <c r="U190" s="568"/>
      <c r="V190" s="669"/>
      <c r="W190" s="669"/>
      <c r="X190" s="668"/>
      <c r="Y190" s="668"/>
      <c r="Z190" s="668"/>
      <c r="AA190" s="673"/>
    </row>
    <row r="191" spans="1:27" s="158" customFormat="1" ht="15" hidden="1" customHeight="1" outlineLevel="1" x14ac:dyDescent="0.25">
      <c r="B191" s="168"/>
      <c r="C191" s="115"/>
      <c r="D191" s="109"/>
      <c r="E191" s="120"/>
      <c r="F191" s="112" t="s">
        <v>326</v>
      </c>
      <c r="G191" s="1138" t="s">
        <v>327</v>
      </c>
      <c r="H191" s="166">
        <v>0</v>
      </c>
      <c r="I191" s="111">
        <f>+'Prog 01'!I163</f>
        <v>0</v>
      </c>
      <c r="J191" s="111">
        <f ca="1">+'Prog 01'!J163</f>
        <v>0</v>
      </c>
      <c r="K191" s="260" t="str">
        <f t="shared" ca="1" si="46"/>
        <v>0.00%</v>
      </c>
      <c r="L191" s="111">
        <f>+'Prog 01'!L163</f>
        <v>0</v>
      </c>
      <c r="M191" s="260">
        <f t="shared" si="48"/>
        <v>0</v>
      </c>
      <c r="N191" s="111">
        <f>+'Prog 01'!N163</f>
        <v>0</v>
      </c>
      <c r="O191" s="165">
        <f t="shared" si="49"/>
        <v>0</v>
      </c>
      <c r="P191" s="166">
        <f>+'Prog 01'!P163</f>
        <v>0</v>
      </c>
      <c r="Q191" s="111">
        <f ca="1">+'Prog 01'!Q163</f>
        <v>0</v>
      </c>
      <c r="R191" s="165" t="str">
        <f t="shared" ca="1" si="47"/>
        <v>0.00%</v>
      </c>
      <c r="S191" s="157"/>
      <c r="T191" s="568"/>
      <c r="U191" s="568"/>
      <c r="V191" s="669"/>
      <c r="W191" s="669"/>
      <c r="X191" s="668"/>
      <c r="Y191" s="668"/>
      <c r="Z191" s="668"/>
      <c r="AA191" s="673"/>
    </row>
    <row r="192" spans="1:27" s="158" customFormat="1" ht="15" hidden="1" customHeight="1" outlineLevel="1" x14ac:dyDescent="0.25">
      <c r="A192" s="510"/>
      <c r="B192" s="334"/>
      <c r="C192" s="511"/>
      <c r="D192" s="336"/>
      <c r="E192" s="512"/>
      <c r="F192" s="509" t="s">
        <v>756</v>
      </c>
      <c r="G192" s="1140" t="s">
        <v>501</v>
      </c>
      <c r="H192" s="166">
        <v>0</v>
      </c>
      <c r="I192" s="111">
        <f>+'Prog 01'!I164</f>
        <v>0</v>
      </c>
      <c r="J192" s="111">
        <v>0</v>
      </c>
      <c r="K192" s="260" t="str">
        <f t="shared" si="46"/>
        <v>0.00%</v>
      </c>
      <c r="L192" s="111">
        <f>INDEX(coincidenciaP01,MATCH(F192,indicep01,0),7)</f>
        <v>0</v>
      </c>
      <c r="M192" s="260">
        <f t="shared" si="48"/>
        <v>0</v>
      </c>
      <c r="N192" s="111">
        <f>INDEX(coincidenciaP01,MATCH(F192,indicep01,0),9)</f>
        <v>0</v>
      </c>
      <c r="O192" s="165">
        <f t="shared" si="49"/>
        <v>0</v>
      </c>
      <c r="P192" s="166">
        <f>+'Prog 01'!P164</f>
        <v>0</v>
      </c>
      <c r="Q192" s="111">
        <f ca="1">+'Prog 01'!Q164</f>
        <v>0</v>
      </c>
      <c r="R192" s="165" t="str">
        <f t="shared" ca="1" si="47"/>
        <v>0.00%</v>
      </c>
      <c r="S192" s="157"/>
      <c r="T192" s="568"/>
      <c r="U192" s="568"/>
      <c r="V192" s="669"/>
      <c r="W192" s="669"/>
      <c r="X192" s="668"/>
      <c r="Y192" s="668"/>
      <c r="Z192" s="668"/>
      <c r="AA192" s="673"/>
    </row>
    <row r="193" spans="1:27" s="158" customFormat="1" ht="15" hidden="1" customHeight="1" outlineLevel="1" x14ac:dyDescent="0.25">
      <c r="A193" s="510"/>
      <c r="B193" s="334"/>
      <c r="C193" s="511"/>
      <c r="D193" s="336"/>
      <c r="E193" s="512"/>
      <c r="F193" s="509" t="s">
        <v>760</v>
      </c>
      <c r="G193" s="1140" t="s">
        <v>761</v>
      </c>
      <c r="H193" s="166">
        <v>0</v>
      </c>
      <c r="I193" s="111">
        <f>+'Prog 01'!I165</f>
        <v>0</v>
      </c>
      <c r="J193" s="111">
        <v>0</v>
      </c>
      <c r="K193" s="260" t="str">
        <f t="shared" si="46"/>
        <v>0.00%</v>
      </c>
      <c r="L193" s="111">
        <f>INDEX(coincidenciaP01,MATCH(F193,indicep01,0),7)</f>
        <v>0</v>
      </c>
      <c r="M193" s="260">
        <f t="shared" si="48"/>
        <v>0</v>
      </c>
      <c r="N193" s="111">
        <f>+'Prog 01'!N165</f>
        <v>0</v>
      </c>
      <c r="O193" s="165">
        <f t="shared" si="49"/>
        <v>0</v>
      </c>
      <c r="P193" s="166">
        <f>+'Prog 01'!P165</f>
        <v>0</v>
      </c>
      <c r="Q193" s="111">
        <f ca="1">+'Prog 01'!Q165</f>
        <v>0</v>
      </c>
      <c r="R193" s="165" t="str">
        <f t="shared" ca="1" si="47"/>
        <v>0.00%</v>
      </c>
      <c r="S193" s="157"/>
      <c r="T193" s="568"/>
      <c r="U193" s="568"/>
      <c r="V193" s="669"/>
      <c r="W193" s="669"/>
      <c r="X193" s="668"/>
      <c r="Y193" s="668"/>
      <c r="Z193" s="668"/>
      <c r="AA193" s="673"/>
    </row>
    <row r="194" spans="1:27" s="158" customFormat="1" ht="15" hidden="1" customHeight="1" outlineLevel="1" x14ac:dyDescent="0.25">
      <c r="A194" s="510"/>
      <c r="B194" s="334"/>
      <c r="C194" s="511"/>
      <c r="D194" s="336"/>
      <c r="E194" s="512"/>
      <c r="F194" s="509" t="str">
        <f>+'Prog 01'!F166</f>
        <v xml:space="preserve">24.07.008 </v>
      </c>
      <c r="G194" s="1140" t="str">
        <f>+'Prog 01'!G166</f>
        <v>A Facultad Latinoamericana de Ciencias Sociales</v>
      </c>
      <c r="H194" s="166">
        <v>0</v>
      </c>
      <c r="I194" s="111">
        <f>+'Prog 01'!I166</f>
        <v>0</v>
      </c>
      <c r="J194" s="111">
        <f ca="1">+'Prog 01'!J166</f>
        <v>0</v>
      </c>
      <c r="K194" s="260" t="str">
        <f t="shared" ca="1" si="46"/>
        <v>0.00%</v>
      </c>
      <c r="L194" s="111">
        <f>+'Prog 01'!L166</f>
        <v>0</v>
      </c>
      <c r="M194" s="260">
        <f t="shared" si="48"/>
        <v>0</v>
      </c>
      <c r="N194" s="111">
        <f>+'Prog 01'!N166</f>
        <v>0</v>
      </c>
      <c r="O194" s="165">
        <f t="shared" si="49"/>
        <v>0</v>
      </c>
      <c r="P194" s="166">
        <f>+'Prog 01'!P166</f>
        <v>0</v>
      </c>
      <c r="Q194" s="111">
        <f ca="1">+'Prog 01'!Q166</f>
        <v>0</v>
      </c>
      <c r="R194" s="165" t="str">
        <f t="shared" ca="1" si="47"/>
        <v>0.00%</v>
      </c>
      <c r="S194" s="157"/>
      <c r="T194" s="568"/>
      <c r="U194" s="568"/>
      <c r="V194" s="669"/>
      <c r="W194" s="669"/>
      <c r="X194" s="668"/>
      <c r="Y194" s="668"/>
      <c r="Z194" s="668"/>
      <c r="AA194" s="673"/>
    </row>
    <row r="195" spans="1:27" s="158" customFormat="1" ht="16.5" customHeight="1" outlineLevel="2" x14ac:dyDescent="0.25">
      <c r="A195" s="510"/>
      <c r="B195" s="334">
        <v>25</v>
      </c>
      <c r="C195" s="335"/>
      <c r="D195" s="513"/>
      <c r="E195" s="514"/>
      <c r="F195" s="509"/>
      <c r="G195" s="1137" t="s">
        <v>542</v>
      </c>
      <c r="H195" s="613">
        <f>+H196</f>
        <v>165399</v>
      </c>
      <c r="I195" s="612">
        <f>+I196</f>
        <v>165399</v>
      </c>
      <c r="J195" s="612">
        <f ca="1">+J196</f>
        <v>73747.995999999999</v>
      </c>
      <c r="K195" s="260">
        <f t="shared" ca="1" si="46"/>
        <v>0.44587933421604725</v>
      </c>
      <c r="L195" s="612">
        <f ca="1">+L196</f>
        <v>73747.995999999999</v>
      </c>
      <c r="M195" s="260">
        <f t="shared" ca="1" si="48"/>
        <v>0.44587933421604725</v>
      </c>
      <c r="N195" s="612">
        <f>+N196</f>
        <v>91651.004000000001</v>
      </c>
      <c r="O195" s="165">
        <f t="shared" si="49"/>
        <v>0.5541206657839528</v>
      </c>
      <c r="P195" s="613">
        <f>+'Prog 01'!P167+'Prog 03'!P23+'Prog 05'!P32+'Prog 02'!P37</f>
        <v>165399.611</v>
      </c>
      <c r="Q195" s="612">
        <f ca="1">+Q196</f>
        <v>0</v>
      </c>
      <c r="R195" s="165">
        <f t="shared" ca="1" si="47"/>
        <v>0</v>
      </c>
      <c r="S195" s="157"/>
      <c r="T195" s="568"/>
      <c r="U195" s="568"/>
      <c r="V195" s="669"/>
      <c r="W195" s="669"/>
      <c r="X195" s="668"/>
      <c r="Y195" s="668"/>
      <c r="Z195" s="668"/>
      <c r="AA195" s="673"/>
    </row>
    <row r="196" spans="1:27" ht="15" hidden="1" customHeight="1" outlineLevel="2" x14ac:dyDescent="0.25">
      <c r="A196" s="5"/>
      <c r="B196" s="334"/>
      <c r="C196" s="335">
        <v>99</v>
      </c>
      <c r="D196" s="513"/>
      <c r="E196" s="514"/>
      <c r="F196" s="509"/>
      <c r="G196" s="823" t="s">
        <v>543</v>
      </c>
      <c r="H196" s="166">
        <f>+'Prog 01'!H168+'Prog 03'!H24</f>
        <v>165399</v>
      </c>
      <c r="I196" s="111">
        <f>+'Prog 01'!I167+'Prog 02'!I38+'Prog 03'!I24</f>
        <v>165399</v>
      </c>
      <c r="J196" s="111">
        <f ca="1">+'Prog 01'!J168+'Prog 02'!J38+'Prog 03'!J24+'Prog 05'!J33</f>
        <v>73747.995999999999</v>
      </c>
      <c r="K196" s="260">
        <f t="shared" ca="1" si="46"/>
        <v>0.44587933421604725</v>
      </c>
      <c r="L196" s="333">
        <f ca="1">+'Prog 01'!L167+'Prog 02'!L37+'Prog 03'!L23+'Prog 05'!L32</f>
        <v>73747.995999999999</v>
      </c>
      <c r="M196" s="260">
        <f t="shared" ca="1" si="48"/>
        <v>0.44587933421604725</v>
      </c>
      <c r="N196" s="333">
        <f>+'Prog 01'!N168+'Prog 02'!N38+'Prog 03'!N24+'Prog 05'!N33</f>
        <v>91651.004000000001</v>
      </c>
      <c r="O196" s="165">
        <f t="shared" si="49"/>
        <v>0.5541206657839528</v>
      </c>
      <c r="P196" s="613">
        <f>+'Prog 01'!P168+'Prog 03'!P24+'Prog 05'!P33+'Prog 02'!P38</f>
        <v>165399.611</v>
      </c>
      <c r="Q196" s="111">
        <f ca="1">+'Prog 02'!Q38+'Prog 03'!Q24+'Prog 05'!Q33+'Prog 01'!Q167</f>
        <v>0</v>
      </c>
      <c r="R196" s="165">
        <f t="shared" ca="1" si="47"/>
        <v>0</v>
      </c>
      <c r="T196" s="568"/>
      <c r="U196" s="568"/>
      <c r="X196" s="668"/>
      <c r="Y196" s="668"/>
      <c r="Z196" s="668"/>
      <c r="AA196" s="673"/>
    </row>
    <row r="197" spans="1:27" ht="15" customHeight="1" outlineLevel="2" x14ac:dyDescent="0.25">
      <c r="A197" s="5"/>
      <c r="B197" s="334">
        <v>26</v>
      </c>
      <c r="C197" s="335"/>
      <c r="D197" s="513"/>
      <c r="E197" s="514"/>
      <c r="F197" s="509"/>
      <c r="G197" s="1137" t="str">
        <f>+'Prog 03'!G25</f>
        <v>OTROS GASTOS CORRIENTES</v>
      </c>
      <c r="H197" s="166">
        <v>0</v>
      </c>
      <c r="I197" s="111">
        <v>0</v>
      </c>
      <c r="J197" s="111">
        <v>0</v>
      </c>
      <c r="K197" s="260" t="str">
        <f t="shared" si="46"/>
        <v>0.00%</v>
      </c>
      <c r="L197" s="333">
        <v>0</v>
      </c>
      <c r="M197" s="260">
        <f t="shared" si="48"/>
        <v>0</v>
      </c>
      <c r="N197" s="333">
        <v>0</v>
      </c>
      <c r="O197" s="165">
        <f t="shared" si="49"/>
        <v>0</v>
      </c>
      <c r="P197" s="613">
        <f>+P198</f>
        <v>0</v>
      </c>
      <c r="Q197" s="111">
        <f ca="1">+Q198</f>
        <v>0</v>
      </c>
      <c r="R197" s="165" t="str">
        <f t="shared" ca="1" si="47"/>
        <v>0.00%</v>
      </c>
      <c r="T197" s="568"/>
      <c r="U197" s="568"/>
      <c r="X197" s="668"/>
      <c r="Y197" s="668"/>
      <c r="Z197" s="668"/>
      <c r="AA197" s="673"/>
    </row>
    <row r="198" spans="1:27" ht="15" hidden="1" customHeight="1" outlineLevel="2" x14ac:dyDescent="0.25">
      <c r="A198" s="5"/>
      <c r="B198" s="334"/>
      <c r="C198" s="335">
        <v>1</v>
      </c>
      <c r="D198" s="513"/>
      <c r="E198" s="514"/>
      <c r="F198" s="509" t="s">
        <v>320</v>
      </c>
      <c r="G198" s="823" t="str">
        <f>+'Prog 03'!G26</f>
        <v>Devoluciones</v>
      </c>
      <c r="H198" s="166">
        <v>0</v>
      </c>
      <c r="I198" s="111"/>
      <c r="J198" s="111"/>
      <c r="K198" s="260" t="str">
        <f t="shared" si="46"/>
        <v>0.00%</v>
      </c>
      <c r="L198" s="333"/>
      <c r="M198" s="260">
        <f t="shared" si="48"/>
        <v>0</v>
      </c>
      <c r="N198" s="333"/>
      <c r="O198" s="165">
        <f t="shared" si="49"/>
        <v>0</v>
      </c>
      <c r="P198" s="613">
        <f>+'Prog 03'!P26</f>
        <v>0</v>
      </c>
      <c r="Q198" s="111">
        <f ca="1">+'Prog 03'!Q26</f>
        <v>0</v>
      </c>
      <c r="R198" s="165" t="str">
        <f t="shared" ca="1" si="47"/>
        <v>0.00%</v>
      </c>
      <c r="T198" s="568"/>
      <c r="U198" s="568"/>
      <c r="X198" s="668"/>
      <c r="Y198" s="668"/>
      <c r="Z198" s="668"/>
      <c r="AA198" s="673"/>
    </row>
    <row r="199" spans="1:27" ht="15" customHeight="1" collapsed="1" x14ac:dyDescent="0.25">
      <c r="A199" s="5"/>
      <c r="B199" s="334">
        <v>29</v>
      </c>
      <c r="C199" s="335" t="s">
        <v>2</v>
      </c>
      <c r="D199" s="336"/>
      <c r="E199" s="337"/>
      <c r="F199" s="337"/>
      <c r="G199" s="1137" t="s">
        <v>315</v>
      </c>
      <c r="H199" s="1180">
        <f>+H200+H202+H203+H201</f>
        <v>332151</v>
      </c>
      <c r="I199" s="111">
        <f>+I200+I202+I203+I201</f>
        <v>332151</v>
      </c>
      <c r="J199" s="111">
        <f ca="1">+J202+J203+J200</f>
        <v>4140</v>
      </c>
      <c r="K199" s="260">
        <f t="shared" ca="1" si="46"/>
        <v>1.246421055483801E-2</v>
      </c>
      <c r="L199" s="111">
        <f>+L202+L203+L200</f>
        <v>13497</v>
      </c>
      <c r="M199" s="260">
        <f t="shared" si="48"/>
        <v>4.06351328160987E-2</v>
      </c>
      <c r="N199" s="111">
        <f>+N202+N203+N200+N201</f>
        <v>318654</v>
      </c>
      <c r="O199" s="165">
        <f t="shared" si="49"/>
        <v>0.95936486718390135</v>
      </c>
      <c r="P199" s="166">
        <f>SUM(P202:P203)</f>
        <v>178095.02</v>
      </c>
      <c r="Q199" s="111">
        <f ca="1">SUM(Q203:Q203)</f>
        <v>685.63499999999999</v>
      </c>
      <c r="R199" s="165">
        <f t="shared" ca="1" si="47"/>
        <v>3.849826907007282E-3</v>
      </c>
      <c r="T199" s="568"/>
      <c r="U199" s="568"/>
      <c r="X199" s="668"/>
      <c r="Y199" s="668"/>
      <c r="Z199" s="668"/>
      <c r="AA199" s="673"/>
    </row>
    <row r="200" spans="1:27" ht="15" hidden="1" customHeight="1" x14ac:dyDescent="0.25">
      <c r="A200" s="5"/>
      <c r="B200" s="334"/>
      <c r="C200" s="335">
        <v>3</v>
      </c>
      <c r="D200" s="336"/>
      <c r="E200" s="337"/>
      <c r="F200" s="337" t="s">
        <v>938</v>
      </c>
      <c r="G200" s="1137" t="s">
        <v>940</v>
      </c>
      <c r="H200" s="166">
        <f>+'Prog 01'!H170</f>
        <v>82914</v>
      </c>
      <c r="I200" s="166">
        <f>+'Prog 01'!I170</f>
        <v>82914</v>
      </c>
      <c r="J200" s="111">
        <f ca="1">+'Prog 01'!J170</f>
        <v>0</v>
      </c>
      <c r="K200" s="260">
        <f t="shared" ca="1" si="46"/>
        <v>0</v>
      </c>
      <c r="L200" s="111">
        <f>+'Prog 01'!L170</f>
        <v>0</v>
      </c>
      <c r="M200" s="260">
        <f t="shared" si="48"/>
        <v>0</v>
      </c>
      <c r="N200" s="111">
        <f>+'Prog 01'!N170</f>
        <v>82914</v>
      </c>
      <c r="O200" s="165">
        <f t="shared" si="49"/>
        <v>1</v>
      </c>
      <c r="P200" s="166">
        <v>0</v>
      </c>
      <c r="Q200" s="111">
        <v>0</v>
      </c>
      <c r="R200" s="165" t="str">
        <f t="shared" si="47"/>
        <v>0.00%</v>
      </c>
      <c r="T200" s="568"/>
      <c r="U200" s="568"/>
      <c r="X200" s="668"/>
      <c r="Y200" s="668"/>
      <c r="Z200" s="668"/>
      <c r="AA200" s="673"/>
    </row>
    <row r="201" spans="1:27" ht="15" hidden="1" customHeight="1" x14ac:dyDescent="0.25">
      <c r="A201" s="5"/>
      <c r="B201" s="334"/>
      <c r="C201" s="335">
        <v>4</v>
      </c>
      <c r="D201" s="336"/>
      <c r="E201" s="337"/>
      <c r="F201" s="337"/>
      <c r="G201" s="1137" t="str">
        <f>+'Prog 01'!G171</f>
        <v>Mobiliario y Otros</v>
      </c>
      <c r="H201" s="166">
        <f>+'Prog 01'!H171</f>
        <v>16508</v>
      </c>
      <c r="I201" s="166">
        <f>+'Prog 01'!I171</f>
        <v>16508</v>
      </c>
      <c r="J201" s="111">
        <f ca="1">+'Prog 01'!J171</f>
        <v>0</v>
      </c>
      <c r="K201" s="260">
        <f t="shared" ca="1" si="46"/>
        <v>0</v>
      </c>
      <c r="L201" s="111">
        <v>0</v>
      </c>
      <c r="M201" s="260">
        <v>0</v>
      </c>
      <c r="N201" s="111">
        <f>+'Prog 01'!N171</f>
        <v>16508</v>
      </c>
      <c r="O201" s="165">
        <v>0</v>
      </c>
      <c r="P201" s="166">
        <v>0</v>
      </c>
      <c r="Q201" s="111">
        <v>0</v>
      </c>
      <c r="R201" s="165">
        <v>0</v>
      </c>
      <c r="T201" s="568"/>
      <c r="U201" s="568"/>
      <c r="X201" s="668"/>
      <c r="Y201" s="668"/>
      <c r="Z201" s="668"/>
      <c r="AA201" s="673"/>
    </row>
    <row r="202" spans="1:27" ht="15" hidden="1" customHeight="1" x14ac:dyDescent="0.25">
      <c r="A202" s="5"/>
      <c r="B202" s="334"/>
      <c r="C202" s="335" t="s">
        <v>786</v>
      </c>
      <c r="D202" s="336"/>
      <c r="E202" s="337"/>
      <c r="F202" s="337" t="s">
        <v>212</v>
      </c>
      <c r="G202" s="1137" t="s">
        <v>214</v>
      </c>
      <c r="H202" s="166">
        <f>+'Prog 01'!H172</f>
        <v>0</v>
      </c>
      <c r="I202" s="111">
        <f>+'Prog 01'!I172</f>
        <v>0</v>
      </c>
      <c r="J202" s="111">
        <f ca="1">+'Prog 01'!J172</f>
        <v>0</v>
      </c>
      <c r="K202" s="260" t="str">
        <f t="shared" ca="1" si="46"/>
        <v>0.00%</v>
      </c>
      <c r="L202" s="111">
        <f>+'Prog 01'!L173</f>
        <v>0</v>
      </c>
      <c r="M202" s="260">
        <f t="shared" si="48"/>
        <v>0</v>
      </c>
      <c r="N202" s="111">
        <f>+'Prog 01'!N173</f>
        <v>0</v>
      </c>
      <c r="O202" s="165">
        <f t="shared" si="49"/>
        <v>0</v>
      </c>
      <c r="P202" s="166">
        <f>+'Prog 01'!P172</f>
        <v>8982.35</v>
      </c>
      <c r="Q202" s="111">
        <v>0</v>
      </c>
      <c r="R202" s="165">
        <f t="shared" si="47"/>
        <v>0</v>
      </c>
      <c r="T202" s="568"/>
      <c r="U202" s="568"/>
      <c r="X202" s="668"/>
      <c r="Y202" s="668"/>
      <c r="Z202" s="668"/>
      <c r="AA202" s="673"/>
    </row>
    <row r="203" spans="1:27" ht="15" hidden="1" customHeight="1" outlineLevel="1" x14ac:dyDescent="0.25">
      <c r="B203" s="168" t="s">
        <v>2</v>
      </c>
      <c r="C203" s="108" t="s">
        <v>787</v>
      </c>
      <c r="D203" s="109"/>
      <c r="E203" s="110"/>
      <c r="F203" s="110" t="s">
        <v>215</v>
      </c>
      <c r="G203" s="1133" t="s">
        <v>80</v>
      </c>
      <c r="H203" s="166">
        <f>+VLOOKUP(F203,matriz01,3,FALSE)</f>
        <v>232729</v>
      </c>
      <c r="I203" s="111">
        <f>+'Prog 01'!I174</f>
        <v>232729</v>
      </c>
      <c r="J203" s="111">
        <f ca="1">+VLOOKUP(F203,matriz01,5,FALSE)</f>
        <v>4140</v>
      </c>
      <c r="K203" s="260">
        <f t="shared" ca="1" si="46"/>
        <v>1.7788930472781649E-2</v>
      </c>
      <c r="L203" s="111">
        <f>INDEX(coincidenciaP01,MATCH(F203,indicep01,0),7)</f>
        <v>13497</v>
      </c>
      <c r="M203" s="260">
        <f t="shared" si="48"/>
        <v>5.7994491447133791E-2</v>
      </c>
      <c r="N203" s="111">
        <f>+'Prog 01'!N174</f>
        <v>219232</v>
      </c>
      <c r="O203" s="165">
        <f t="shared" si="49"/>
        <v>0.94200550855286624</v>
      </c>
      <c r="P203" s="166">
        <f>+'Prog 01'!P174</f>
        <v>169112.66999999998</v>
      </c>
      <c r="Q203" s="111">
        <f ca="1">+'Prog 01'!Q174</f>
        <v>685.63499999999999</v>
      </c>
      <c r="R203" s="165">
        <f t="shared" ca="1" si="47"/>
        <v>4.054308881765039E-3</v>
      </c>
      <c r="T203" s="568"/>
      <c r="U203" s="568"/>
      <c r="X203" s="668"/>
      <c r="Y203" s="668"/>
      <c r="Z203" s="668"/>
      <c r="AA203" s="673"/>
    </row>
    <row r="204" spans="1:27" ht="15" customHeight="1" outlineLevel="1" x14ac:dyDescent="0.25">
      <c r="B204" s="168">
        <f>+'Prog 03'!B27</f>
        <v>30</v>
      </c>
      <c r="C204" s="108"/>
      <c r="D204" s="109"/>
      <c r="E204" s="110"/>
      <c r="F204" s="110"/>
      <c r="G204" s="1133" t="str">
        <f>+'Prog 03'!G27</f>
        <v xml:space="preserve">ADQUISICIÓN DE ACTIVOS FINANCIEROS </v>
      </c>
      <c r="H204" s="341">
        <f>+'Prog 03'!H27</f>
        <v>0</v>
      </c>
      <c r="I204" s="333">
        <f>+'Prog 03'!I27</f>
        <v>0</v>
      </c>
      <c r="J204" s="333">
        <f ca="1">+'Prog 03'!J27</f>
        <v>0</v>
      </c>
      <c r="K204" s="260" t="str">
        <f t="shared" ca="1" si="46"/>
        <v>0.00%</v>
      </c>
      <c r="L204" s="111">
        <f>+'Prog 03'!L27</f>
        <v>0</v>
      </c>
      <c r="M204" s="260">
        <f t="shared" si="48"/>
        <v>0</v>
      </c>
      <c r="N204" s="111">
        <f>+'Prog 03'!N27</f>
        <v>0</v>
      </c>
      <c r="O204" s="165">
        <f t="shared" si="49"/>
        <v>0</v>
      </c>
      <c r="P204" s="166">
        <f>+'Prog 03'!P28</f>
        <v>0</v>
      </c>
      <c r="Q204" s="111">
        <f>+'Prog 03'!Q28</f>
        <v>0</v>
      </c>
      <c r="R204" s="165" t="str">
        <f t="shared" si="47"/>
        <v>0.00%</v>
      </c>
      <c r="T204" s="568"/>
      <c r="U204" s="568"/>
      <c r="X204" s="668"/>
      <c r="Y204" s="668"/>
      <c r="Z204" s="668"/>
      <c r="AA204" s="673"/>
    </row>
    <row r="205" spans="1:27" ht="15.75" customHeight="1" x14ac:dyDescent="0.25">
      <c r="B205" s="334">
        <v>32</v>
      </c>
      <c r="C205" s="335" t="s">
        <v>2</v>
      </c>
      <c r="D205" s="336"/>
      <c r="E205" s="337"/>
      <c r="F205" s="337"/>
      <c r="G205" s="1133" t="s">
        <v>149</v>
      </c>
      <c r="H205" s="341">
        <f>+H206</f>
        <v>5667935</v>
      </c>
      <c r="I205" s="338">
        <f>+I206</f>
        <v>5667935</v>
      </c>
      <c r="J205" s="338">
        <f ca="1">+J206</f>
        <v>322320.96100000001</v>
      </c>
      <c r="K205" s="260">
        <f t="shared" ca="1" si="46"/>
        <v>5.6867441316811151E-2</v>
      </c>
      <c r="L205" s="111">
        <f>+L206</f>
        <v>322320.96100000001</v>
      </c>
      <c r="M205" s="260">
        <f t="shared" si="48"/>
        <v>5.6867441316811151E-2</v>
      </c>
      <c r="N205" s="111">
        <f>+N206</f>
        <v>5345614.0389999999</v>
      </c>
      <c r="O205" s="165">
        <f t="shared" si="49"/>
        <v>0.94313255868318879</v>
      </c>
      <c r="P205" s="265">
        <f>+P206</f>
        <v>9728520.7239999995</v>
      </c>
      <c r="Q205" s="338">
        <f>+Q206</f>
        <v>0</v>
      </c>
      <c r="R205" s="165">
        <f t="shared" si="47"/>
        <v>0</v>
      </c>
      <c r="T205" s="568"/>
      <c r="U205" s="568"/>
      <c r="X205" s="668"/>
      <c r="Y205" s="668"/>
      <c r="Z205" s="668"/>
      <c r="AA205" s="673"/>
    </row>
    <row r="206" spans="1:27" ht="15" hidden="1" customHeight="1" outlineLevel="1" x14ac:dyDescent="0.25">
      <c r="B206" s="168" t="s">
        <v>2</v>
      </c>
      <c r="C206" s="108">
        <v>4</v>
      </c>
      <c r="D206" s="109"/>
      <c r="E206" s="110"/>
      <c r="F206" s="110" t="s">
        <v>224</v>
      </c>
      <c r="G206" s="1134" t="s">
        <v>146</v>
      </c>
      <c r="H206" s="166">
        <f>+'Prog 03'!H30</f>
        <v>5667935</v>
      </c>
      <c r="I206" s="111">
        <f>+'Prog 03'!I30</f>
        <v>5667935</v>
      </c>
      <c r="J206" s="111">
        <f ca="1">+'Prog 03'!J30</f>
        <v>322320.96100000001</v>
      </c>
      <c r="K206" s="260">
        <f t="shared" ref="K206:K270" ca="1" si="53">IFERROR(J206/I206,"0.00%")</f>
        <v>5.6867441316811151E-2</v>
      </c>
      <c r="L206" s="111">
        <f>+'Prog 03'!L30</f>
        <v>322320.96100000001</v>
      </c>
      <c r="M206" s="260">
        <f t="shared" si="48"/>
        <v>5.6867441316811151E-2</v>
      </c>
      <c r="N206" s="111">
        <f>+'Prog 03'!N30</f>
        <v>5345614.0389999999</v>
      </c>
      <c r="O206" s="165">
        <f t="shared" si="49"/>
        <v>0.94313255868318879</v>
      </c>
      <c r="P206" s="166">
        <f>+P207+P208+P209</f>
        <v>9728520.7239999995</v>
      </c>
      <c r="Q206" s="111">
        <f>+Q207+Q208+Q209</f>
        <v>0</v>
      </c>
      <c r="R206" s="165">
        <f t="shared" ref="R206:R270" si="54">IFERROR(Q206/P206,"0.00%")</f>
        <v>0</v>
      </c>
      <c r="T206" s="568"/>
      <c r="U206" s="568"/>
      <c r="X206" s="668"/>
      <c r="Y206" s="668"/>
      <c r="Z206" s="668"/>
      <c r="AA206" s="673"/>
    </row>
    <row r="207" spans="1:27" ht="15" hidden="1" customHeight="1" outlineLevel="1" x14ac:dyDescent="0.25">
      <c r="B207" s="168"/>
      <c r="C207" s="108"/>
      <c r="D207" s="109"/>
      <c r="E207" s="110"/>
      <c r="F207" s="110"/>
      <c r="G207" s="1134" t="s">
        <v>142</v>
      </c>
      <c r="H207" s="166">
        <f>+'Prog 03'!H30</f>
        <v>5667935</v>
      </c>
      <c r="I207" s="111">
        <f>+'Prog 03'!I30</f>
        <v>5667935</v>
      </c>
      <c r="J207" s="111">
        <f>+'Prog 03'!J31</f>
        <v>0</v>
      </c>
      <c r="K207" s="260">
        <f t="shared" si="53"/>
        <v>0</v>
      </c>
      <c r="L207" s="111"/>
      <c r="M207" s="260">
        <f t="shared" ref="M207:M271" si="55">+IFERROR(L207/I207,0)</f>
        <v>0</v>
      </c>
      <c r="N207" s="111">
        <f>+'Prog 03'!N30</f>
        <v>5345614.0389999999</v>
      </c>
      <c r="O207" s="165">
        <f t="shared" ref="O207:O271" si="56">+IFERROR(N207/I207,0)</f>
        <v>0.94313255868318879</v>
      </c>
      <c r="P207" s="166">
        <f>+'Prog 03'!P30</f>
        <v>9728520.7239999995</v>
      </c>
      <c r="Q207" s="111">
        <f>+'Prog 03'!Q30</f>
        <v>0</v>
      </c>
      <c r="R207" s="165">
        <f t="shared" si="54"/>
        <v>0</v>
      </c>
      <c r="T207" s="568"/>
      <c r="U207" s="568"/>
      <c r="X207" s="668"/>
      <c r="Y207" s="668"/>
      <c r="Z207" s="668"/>
      <c r="AA207" s="673"/>
    </row>
    <row r="208" spans="1:27" ht="15" hidden="1" customHeight="1" outlineLevel="1" x14ac:dyDescent="0.25">
      <c r="B208" s="168"/>
      <c r="C208" s="108"/>
      <c r="D208" s="109"/>
      <c r="E208" s="110"/>
      <c r="F208" s="110" t="s">
        <v>804</v>
      </c>
      <c r="G208" s="1134" t="s">
        <v>658</v>
      </c>
      <c r="H208" s="166">
        <v>0</v>
      </c>
      <c r="I208" s="111">
        <v>0</v>
      </c>
      <c r="J208" s="111">
        <v>0</v>
      </c>
      <c r="K208" s="260" t="str">
        <f t="shared" si="53"/>
        <v>0.00%</v>
      </c>
      <c r="L208" s="111">
        <v>0</v>
      </c>
      <c r="M208" s="260">
        <f t="shared" si="55"/>
        <v>0</v>
      </c>
      <c r="N208" s="111">
        <v>0</v>
      </c>
      <c r="O208" s="165">
        <f t="shared" si="56"/>
        <v>0</v>
      </c>
      <c r="P208" s="166">
        <f>+'Prog 03'!P31</f>
        <v>0</v>
      </c>
      <c r="Q208" s="111">
        <f>'Prog 03'!Q31</f>
        <v>0</v>
      </c>
      <c r="R208" s="165" t="str">
        <f t="shared" si="54"/>
        <v>0.00%</v>
      </c>
      <c r="T208" s="568"/>
      <c r="U208" s="568"/>
      <c r="X208" s="668"/>
      <c r="Y208" s="668"/>
      <c r="Z208" s="668"/>
      <c r="AA208" s="673"/>
    </row>
    <row r="209" spans="2:27" ht="15" hidden="1" customHeight="1" outlineLevel="1" x14ac:dyDescent="0.25">
      <c r="B209" s="168"/>
      <c r="C209" s="108"/>
      <c r="D209" s="109"/>
      <c r="E209" s="110"/>
      <c r="F209" s="110" t="s">
        <v>854</v>
      </c>
      <c r="G209" s="1134" t="s">
        <v>698</v>
      </c>
      <c r="H209" s="166">
        <v>0</v>
      </c>
      <c r="I209" s="111">
        <v>0</v>
      </c>
      <c r="J209" s="111">
        <v>0</v>
      </c>
      <c r="K209" s="260" t="str">
        <f t="shared" si="53"/>
        <v>0.00%</v>
      </c>
      <c r="L209" s="111">
        <v>0</v>
      </c>
      <c r="M209" s="260">
        <f t="shared" si="55"/>
        <v>0</v>
      </c>
      <c r="N209" s="111">
        <v>0</v>
      </c>
      <c r="O209" s="165">
        <f t="shared" si="56"/>
        <v>0</v>
      </c>
      <c r="P209" s="166">
        <v>0</v>
      </c>
      <c r="Q209" s="111">
        <v>0</v>
      </c>
      <c r="R209" s="165" t="str">
        <f t="shared" si="54"/>
        <v>0.00%</v>
      </c>
      <c r="T209" s="568"/>
      <c r="U209" s="568"/>
      <c r="X209" s="668"/>
      <c r="Y209" s="668"/>
      <c r="Z209" s="668"/>
      <c r="AA209" s="673"/>
    </row>
    <row r="210" spans="2:27" ht="15" customHeight="1" collapsed="1" x14ac:dyDescent="0.25">
      <c r="B210" s="168">
        <v>33</v>
      </c>
      <c r="C210" s="108" t="s">
        <v>2</v>
      </c>
      <c r="D210" s="109"/>
      <c r="E210" s="110"/>
      <c r="F210" s="110"/>
      <c r="G210" s="1133" t="s">
        <v>150</v>
      </c>
      <c r="H210" s="166">
        <f>+H211+H235</f>
        <v>301825406</v>
      </c>
      <c r="I210" s="111">
        <f>+I211+I235</f>
        <v>291563379</v>
      </c>
      <c r="J210" s="111">
        <f ca="1">+J211+J235</f>
        <v>31646077.440000005</v>
      </c>
      <c r="K210" s="260">
        <f t="shared" ca="1" si="53"/>
        <v>0.10853927385716025</v>
      </c>
      <c r="L210" s="111">
        <f>+L211+L235</f>
        <v>37963010.912999995</v>
      </c>
      <c r="M210" s="260">
        <f t="shared" si="55"/>
        <v>0.13020500394529999</v>
      </c>
      <c r="N210" s="111">
        <f>+N211+N235</f>
        <v>253600368.08700001</v>
      </c>
      <c r="O210" s="165">
        <f t="shared" si="56"/>
        <v>0.86979499605470001</v>
      </c>
      <c r="P210" s="265">
        <f>+P211+P235</f>
        <v>210346074.32800001</v>
      </c>
      <c r="Q210" s="113">
        <f ca="1">+Q211+Q235</f>
        <v>25198594.206918001</v>
      </c>
      <c r="R210" s="165">
        <f t="shared" ca="1" si="54"/>
        <v>0.11979588536377889</v>
      </c>
      <c r="T210" s="568"/>
      <c r="U210" s="568"/>
      <c r="X210" s="668"/>
      <c r="Y210" s="668"/>
      <c r="Z210" s="668"/>
      <c r="AA210" s="673"/>
    </row>
    <row r="211" spans="2:27" ht="15" hidden="1" customHeight="1" outlineLevel="1" x14ac:dyDescent="0.25">
      <c r="B211" s="168"/>
      <c r="C211" s="108" t="s">
        <v>164</v>
      </c>
      <c r="D211" s="109"/>
      <c r="E211" s="110"/>
      <c r="F211" s="110"/>
      <c r="G211" s="1133" t="s">
        <v>86</v>
      </c>
      <c r="H211" s="166">
        <f>SUM(H212:H234)</f>
        <v>0</v>
      </c>
      <c r="I211" s="111">
        <f>SUM(I212:I234)</f>
        <v>17013352</v>
      </c>
      <c r="J211" s="111">
        <f ca="1">SUM(J212:J234)</f>
        <v>0</v>
      </c>
      <c r="K211" s="260">
        <f t="shared" ca="1" si="53"/>
        <v>0</v>
      </c>
      <c r="L211" s="111">
        <f>SUM(L212:L234)</f>
        <v>0</v>
      </c>
      <c r="M211" s="260">
        <f t="shared" si="55"/>
        <v>0</v>
      </c>
      <c r="N211" s="111">
        <f>SUM(N212:N234)</f>
        <v>17013352</v>
      </c>
      <c r="O211" s="165">
        <f t="shared" si="56"/>
        <v>1</v>
      </c>
      <c r="P211" s="166">
        <f>SUM(P212:P234)</f>
        <v>3040575.4359999998</v>
      </c>
      <c r="Q211" s="111">
        <f ca="1">SUM(Q212:Q234)</f>
        <v>0</v>
      </c>
      <c r="R211" s="165">
        <f t="shared" ca="1" si="54"/>
        <v>0</v>
      </c>
      <c r="T211" s="568"/>
      <c r="U211" s="568"/>
      <c r="X211" s="668"/>
      <c r="Y211" s="668"/>
      <c r="Z211" s="668"/>
      <c r="AA211" s="673"/>
    </row>
    <row r="212" spans="2:27" ht="15" hidden="1" customHeight="1" outlineLevel="2" x14ac:dyDescent="0.25">
      <c r="B212" s="168"/>
      <c r="C212" s="108"/>
      <c r="D212" s="118" t="s">
        <v>169</v>
      </c>
      <c r="E212" s="119"/>
      <c r="F212" s="112" t="str">
        <f>+CONCATENATE($B$210,"",$C$211,"",D212,"",E212)</f>
        <v>33.02.001</v>
      </c>
      <c r="G212" s="1134" t="s">
        <v>827</v>
      </c>
      <c r="H212" s="166">
        <f>+'Prog 05'!H36</f>
        <v>0</v>
      </c>
      <c r="I212" s="111">
        <f>+'Prog 05'!I36</f>
        <v>0</v>
      </c>
      <c r="J212" s="111">
        <f ca="1">+'Prog 05'!J36</f>
        <v>0</v>
      </c>
      <c r="K212" s="260" t="str">
        <f t="shared" ca="1" si="53"/>
        <v>0.00%</v>
      </c>
      <c r="L212" s="111">
        <f>+'Prog 05'!L36</f>
        <v>0</v>
      </c>
      <c r="M212" s="260">
        <f t="shared" si="55"/>
        <v>0</v>
      </c>
      <c r="N212" s="111">
        <f>+'Prog 05'!N36</f>
        <v>0</v>
      </c>
      <c r="O212" s="165">
        <f t="shared" si="56"/>
        <v>0</v>
      </c>
      <c r="P212" s="166">
        <f>+'Prog 05'!P36</f>
        <v>0</v>
      </c>
      <c r="Q212" s="111">
        <f>+'Prog 05'!Q36</f>
        <v>0</v>
      </c>
      <c r="R212" s="165" t="str">
        <f t="shared" si="54"/>
        <v>0.00%</v>
      </c>
      <c r="T212" s="568"/>
      <c r="U212" s="568"/>
      <c r="X212" s="668"/>
      <c r="Y212" s="668"/>
      <c r="Z212" s="668"/>
      <c r="AA212" s="673"/>
    </row>
    <row r="213" spans="2:27" ht="15" hidden="1" customHeight="1" outlineLevel="2" x14ac:dyDescent="0.25">
      <c r="B213" s="168"/>
      <c r="C213" s="108"/>
      <c r="D213" s="118" t="s">
        <v>165</v>
      </c>
      <c r="E213" s="119"/>
      <c r="F213" s="112" t="str">
        <f t="shared" ref="F213:F234" si="57">+CONCATENATE($B$210,"",$C$211,"",D213,"",E213)</f>
        <v>33.02.002</v>
      </c>
      <c r="G213" s="1134" t="s">
        <v>828</v>
      </c>
      <c r="H213" s="166">
        <f>+'Prog 05'!H37</f>
        <v>0</v>
      </c>
      <c r="I213" s="111">
        <f>+'Prog 05'!I37</f>
        <v>0</v>
      </c>
      <c r="J213" s="111">
        <f ca="1">+'Prog 05'!J37</f>
        <v>0</v>
      </c>
      <c r="K213" s="260" t="str">
        <f t="shared" ca="1" si="53"/>
        <v>0.00%</v>
      </c>
      <c r="L213" s="111">
        <f>+'Prog 05'!L37</f>
        <v>0</v>
      </c>
      <c r="M213" s="260">
        <f t="shared" si="55"/>
        <v>0</v>
      </c>
      <c r="N213" s="111">
        <f>+'Prog 05'!N37</f>
        <v>0</v>
      </c>
      <c r="O213" s="165">
        <f t="shared" si="56"/>
        <v>0</v>
      </c>
      <c r="P213" s="166">
        <f>+'Prog 05'!P37</f>
        <v>0</v>
      </c>
      <c r="Q213" s="111">
        <f ca="1">+'Prog 05'!Q37</f>
        <v>0</v>
      </c>
      <c r="R213" s="165" t="str">
        <f t="shared" ca="1" si="54"/>
        <v>0.00%</v>
      </c>
      <c r="T213" s="568"/>
      <c r="U213" s="568"/>
      <c r="X213" s="668"/>
      <c r="Y213" s="668"/>
      <c r="Z213" s="668"/>
      <c r="AA213" s="673"/>
    </row>
    <row r="214" spans="2:27" ht="15" hidden="1" customHeight="1" outlineLevel="2" x14ac:dyDescent="0.25">
      <c r="B214" s="168"/>
      <c r="C214" s="108"/>
      <c r="D214" s="118" t="s">
        <v>166</v>
      </c>
      <c r="E214" s="119"/>
      <c r="F214" s="112" t="str">
        <f t="shared" si="57"/>
        <v>33.02.003</v>
      </c>
      <c r="G214" s="1134" t="s">
        <v>829</v>
      </c>
      <c r="H214" s="166">
        <f>+'Prog 05'!H38</f>
        <v>0</v>
      </c>
      <c r="I214" s="111">
        <f>+'Prog 05'!I38</f>
        <v>0</v>
      </c>
      <c r="J214" s="111">
        <f ca="1">+'Prog 05'!J38</f>
        <v>0</v>
      </c>
      <c r="K214" s="260" t="str">
        <f t="shared" ca="1" si="53"/>
        <v>0.00%</v>
      </c>
      <c r="L214" s="111">
        <f>+'Prog 05'!L38</f>
        <v>0</v>
      </c>
      <c r="M214" s="260">
        <f t="shared" si="55"/>
        <v>0</v>
      </c>
      <c r="N214" s="111">
        <f>+'Prog 05'!N38</f>
        <v>0</v>
      </c>
      <c r="O214" s="165">
        <f t="shared" si="56"/>
        <v>0</v>
      </c>
      <c r="P214" s="166">
        <f>+'Prog 05'!P38</f>
        <v>0</v>
      </c>
      <c r="Q214" s="111">
        <f ca="1">+'Prog 05'!Q38</f>
        <v>0</v>
      </c>
      <c r="R214" s="165" t="str">
        <f t="shared" ca="1" si="54"/>
        <v>0.00%</v>
      </c>
      <c r="T214" s="568"/>
      <c r="U214" s="568"/>
      <c r="X214" s="668"/>
      <c r="Y214" s="668"/>
      <c r="Z214" s="668"/>
      <c r="AA214" s="673"/>
    </row>
    <row r="215" spans="2:27" ht="15" hidden="1" customHeight="1" outlineLevel="2" x14ac:dyDescent="0.25">
      <c r="B215" s="168"/>
      <c r="C215" s="108"/>
      <c r="D215" s="118" t="s">
        <v>179</v>
      </c>
      <c r="E215" s="119"/>
      <c r="F215" s="112" t="str">
        <f t="shared" si="57"/>
        <v>33.02.004</v>
      </c>
      <c r="G215" s="1134" t="s">
        <v>830</v>
      </c>
      <c r="H215" s="166">
        <f>+'Prog 05'!H39</f>
        <v>0</v>
      </c>
      <c r="I215" s="111">
        <f>+'Prog 05'!I39</f>
        <v>0</v>
      </c>
      <c r="J215" s="111">
        <f ca="1">+'Prog 05'!J39</f>
        <v>0</v>
      </c>
      <c r="K215" s="260" t="str">
        <f t="shared" ca="1" si="53"/>
        <v>0.00%</v>
      </c>
      <c r="L215" s="111">
        <f>+'Prog 05'!L39</f>
        <v>0</v>
      </c>
      <c r="M215" s="260">
        <f t="shared" si="55"/>
        <v>0</v>
      </c>
      <c r="N215" s="111">
        <f>+'Prog 05'!N39</f>
        <v>0</v>
      </c>
      <c r="O215" s="165">
        <f t="shared" si="56"/>
        <v>0</v>
      </c>
      <c r="P215" s="166">
        <f>+'Prog 05'!P39</f>
        <v>0</v>
      </c>
      <c r="Q215" s="111">
        <f ca="1">+'Prog 05'!Q39</f>
        <v>0</v>
      </c>
      <c r="R215" s="165" t="str">
        <f t="shared" ca="1" si="54"/>
        <v>0.00%</v>
      </c>
      <c r="T215" s="568"/>
      <c r="U215" s="568"/>
      <c r="X215" s="668"/>
      <c r="Y215" s="668"/>
      <c r="Z215" s="668"/>
      <c r="AA215" s="673"/>
    </row>
    <row r="216" spans="2:27" ht="15" hidden="1" customHeight="1" outlineLevel="2" x14ac:dyDescent="0.25">
      <c r="B216" s="168"/>
      <c r="C216" s="108"/>
      <c r="D216" s="118" t="s">
        <v>180</v>
      </c>
      <c r="E216" s="119"/>
      <c r="F216" s="112" t="str">
        <f t="shared" si="57"/>
        <v>33.02.005</v>
      </c>
      <c r="G216" s="1134" t="s">
        <v>831</v>
      </c>
      <c r="H216" s="166">
        <f>+'Prog 05'!H40</f>
        <v>0</v>
      </c>
      <c r="I216" s="111">
        <f>+'Prog 05'!I40</f>
        <v>0</v>
      </c>
      <c r="J216" s="111">
        <f ca="1">+'Prog 05'!J40</f>
        <v>0</v>
      </c>
      <c r="K216" s="260" t="str">
        <f t="shared" ca="1" si="53"/>
        <v>0.00%</v>
      </c>
      <c r="L216" s="111">
        <f>+'Prog 05'!L40</f>
        <v>0</v>
      </c>
      <c r="M216" s="260">
        <f t="shared" si="55"/>
        <v>0</v>
      </c>
      <c r="N216" s="111">
        <f>+'Prog 05'!N40</f>
        <v>0</v>
      </c>
      <c r="O216" s="165">
        <f t="shared" si="56"/>
        <v>0</v>
      </c>
      <c r="P216" s="166">
        <f>+'Prog 05'!P40</f>
        <v>0</v>
      </c>
      <c r="Q216" s="111">
        <f ca="1">+'Prog 05'!Q40</f>
        <v>0</v>
      </c>
      <c r="R216" s="165" t="str">
        <f t="shared" ca="1" si="54"/>
        <v>0.00%</v>
      </c>
      <c r="T216" s="568"/>
      <c r="U216" s="568"/>
      <c r="X216" s="668"/>
      <c r="Y216" s="668"/>
      <c r="Z216" s="668"/>
      <c r="AA216" s="673"/>
    </row>
    <row r="217" spans="2:27" ht="15" hidden="1" customHeight="1" outlineLevel="2" x14ac:dyDescent="0.25">
      <c r="B217" s="168"/>
      <c r="C217" s="108"/>
      <c r="D217" s="118" t="s">
        <v>181</v>
      </c>
      <c r="E217" s="119"/>
      <c r="F217" s="112" t="str">
        <f t="shared" si="57"/>
        <v>33.02.006</v>
      </c>
      <c r="G217" s="1134" t="s">
        <v>832</v>
      </c>
      <c r="H217" s="166">
        <v>0</v>
      </c>
      <c r="I217" s="111">
        <f>+'Prog 05'!I41</f>
        <v>0</v>
      </c>
      <c r="J217" s="111">
        <f ca="1">+'Prog 05'!J41</f>
        <v>0</v>
      </c>
      <c r="K217" s="260" t="str">
        <f t="shared" ca="1" si="53"/>
        <v>0.00%</v>
      </c>
      <c r="L217" s="111">
        <f>+'Prog 05'!L41</f>
        <v>0</v>
      </c>
      <c r="M217" s="260">
        <f t="shared" si="55"/>
        <v>0</v>
      </c>
      <c r="N217" s="111">
        <f>+'Prog 05'!N41</f>
        <v>0</v>
      </c>
      <c r="O217" s="165">
        <f t="shared" si="56"/>
        <v>0</v>
      </c>
      <c r="P217" s="166">
        <f>+'Prog 05'!P41</f>
        <v>0</v>
      </c>
      <c r="Q217" s="111">
        <f ca="1">+'Prog 05'!Q41</f>
        <v>0</v>
      </c>
      <c r="R217" s="165" t="str">
        <f t="shared" ca="1" si="54"/>
        <v>0.00%</v>
      </c>
      <c r="T217" s="568"/>
      <c r="U217" s="568"/>
      <c r="X217" s="668"/>
      <c r="Y217" s="668"/>
      <c r="Z217" s="668"/>
      <c r="AA217" s="673"/>
    </row>
    <row r="218" spans="2:27" ht="15" hidden="1" customHeight="1" outlineLevel="2" x14ac:dyDescent="0.25">
      <c r="B218" s="168"/>
      <c r="C218" s="108"/>
      <c r="D218" s="118" t="s">
        <v>170</v>
      </c>
      <c r="E218" s="119"/>
      <c r="F218" s="112" t="str">
        <f t="shared" si="57"/>
        <v>33.02.007</v>
      </c>
      <c r="G218" s="1134" t="s">
        <v>833</v>
      </c>
      <c r="H218" s="166">
        <f>+'Prog 05'!H42</f>
        <v>0</v>
      </c>
      <c r="I218" s="111">
        <f>+'Prog 05'!I42</f>
        <v>0</v>
      </c>
      <c r="J218" s="111">
        <f ca="1">+'Prog 05'!J42</f>
        <v>0</v>
      </c>
      <c r="K218" s="260" t="str">
        <f t="shared" ca="1" si="53"/>
        <v>0.00%</v>
      </c>
      <c r="L218" s="111">
        <f>+'Prog 05'!L42</f>
        <v>0</v>
      </c>
      <c r="M218" s="260">
        <f t="shared" si="55"/>
        <v>0</v>
      </c>
      <c r="N218" s="111">
        <f>+'Prog 05'!N42</f>
        <v>0</v>
      </c>
      <c r="O218" s="165">
        <f t="shared" si="56"/>
        <v>0</v>
      </c>
      <c r="P218" s="166">
        <f>+'Prog 05'!P42</f>
        <v>0</v>
      </c>
      <c r="Q218" s="111">
        <f ca="1">+'Prog 05'!Q42</f>
        <v>0</v>
      </c>
      <c r="R218" s="165" t="str">
        <f t="shared" ca="1" si="54"/>
        <v>0.00%</v>
      </c>
      <c r="T218" s="568"/>
      <c r="U218" s="568"/>
      <c r="X218" s="668"/>
      <c r="Y218" s="668"/>
      <c r="Z218" s="668"/>
      <c r="AA218" s="673"/>
    </row>
    <row r="219" spans="2:27" ht="15" hidden="1" customHeight="1" outlineLevel="2" x14ac:dyDescent="0.25">
      <c r="B219" s="168"/>
      <c r="C219" s="108"/>
      <c r="D219" s="118" t="s">
        <v>171</v>
      </c>
      <c r="E219" s="119"/>
      <c r="F219" s="112" t="str">
        <f t="shared" si="57"/>
        <v>33.02.008</v>
      </c>
      <c r="G219" s="1134" t="s">
        <v>834</v>
      </c>
      <c r="H219" s="166">
        <f>+'Prog 05'!H43</f>
        <v>0</v>
      </c>
      <c r="I219" s="111">
        <f>+'Prog 05'!I43</f>
        <v>0</v>
      </c>
      <c r="J219" s="111">
        <f ca="1">+'Prog 05'!J43</f>
        <v>0</v>
      </c>
      <c r="K219" s="260" t="str">
        <f t="shared" ca="1" si="53"/>
        <v>0.00%</v>
      </c>
      <c r="L219" s="111">
        <f>+'Prog 05'!L43</f>
        <v>0</v>
      </c>
      <c r="M219" s="260">
        <f t="shared" si="55"/>
        <v>0</v>
      </c>
      <c r="N219" s="111">
        <f>+'Prog 05'!N43</f>
        <v>0</v>
      </c>
      <c r="O219" s="165">
        <f t="shared" si="56"/>
        <v>0</v>
      </c>
      <c r="P219" s="166">
        <f>+'Prog 05'!P43</f>
        <v>0</v>
      </c>
      <c r="Q219" s="111">
        <f ca="1">+'Prog 05'!Q43</f>
        <v>0</v>
      </c>
      <c r="R219" s="165" t="str">
        <f t="shared" ca="1" si="54"/>
        <v>0.00%</v>
      </c>
      <c r="T219" s="568"/>
      <c r="U219" s="568"/>
      <c r="X219" s="668"/>
      <c r="Y219" s="668"/>
      <c r="Z219" s="668"/>
      <c r="AA219" s="673"/>
    </row>
    <row r="220" spans="2:27" ht="15" hidden="1" customHeight="1" outlineLevel="2" x14ac:dyDescent="0.25">
      <c r="B220" s="168"/>
      <c r="C220" s="108"/>
      <c r="D220" s="118" t="s">
        <v>172</v>
      </c>
      <c r="E220" s="119"/>
      <c r="F220" s="112" t="str">
        <f t="shared" si="57"/>
        <v>33.02.009</v>
      </c>
      <c r="G220" s="1134" t="s">
        <v>835</v>
      </c>
      <c r="H220" s="166">
        <f>+'Prog 05'!H44</f>
        <v>0</v>
      </c>
      <c r="I220" s="111">
        <f>+'Prog 05'!I44</f>
        <v>0</v>
      </c>
      <c r="J220" s="111">
        <f ca="1">+'Prog 05'!J44</f>
        <v>0</v>
      </c>
      <c r="K220" s="260" t="str">
        <f t="shared" ca="1" si="53"/>
        <v>0.00%</v>
      </c>
      <c r="L220" s="111">
        <v>0</v>
      </c>
      <c r="M220" s="260">
        <f t="shared" si="55"/>
        <v>0</v>
      </c>
      <c r="N220" s="111">
        <f>+'Prog 05'!N44</f>
        <v>0</v>
      </c>
      <c r="O220" s="165">
        <f t="shared" si="56"/>
        <v>0</v>
      </c>
      <c r="P220" s="166">
        <f>+'Prog 05'!P44</f>
        <v>0</v>
      </c>
      <c r="Q220" s="111">
        <f ca="1">+'Prog 05'!Q44</f>
        <v>0</v>
      </c>
      <c r="R220" s="165" t="str">
        <f t="shared" ca="1" si="54"/>
        <v>0.00%</v>
      </c>
      <c r="T220" s="568"/>
      <c r="U220" s="568"/>
      <c r="X220" s="668"/>
      <c r="Y220" s="668"/>
      <c r="Z220" s="668"/>
      <c r="AA220" s="673"/>
    </row>
    <row r="221" spans="2:27" ht="15" hidden="1" customHeight="1" outlineLevel="2" x14ac:dyDescent="0.25">
      <c r="B221" s="168"/>
      <c r="C221" s="108"/>
      <c r="D221" s="118" t="s">
        <v>173</v>
      </c>
      <c r="E221" s="119"/>
      <c r="F221" s="112" t="str">
        <f t="shared" si="57"/>
        <v>33.02.010</v>
      </c>
      <c r="G221" s="1134" t="s">
        <v>836</v>
      </c>
      <c r="H221" s="166">
        <f>+'Prog 05'!H45</f>
        <v>0</v>
      </c>
      <c r="I221" s="111">
        <f>+'Prog 05'!I45</f>
        <v>0</v>
      </c>
      <c r="J221" s="111">
        <f ca="1">+'Prog 05'!J45</f>
        <v>0</v>
      </c>
      <c r="K221" s="260" t="str">
        <f t="shared" ca="1" si="53"/>
        <v>0.00%</v>
      </c>
      <c r="L221" s="111">
        <f>+'Prog 05'!L45</f>
        <v>0</v>
      </c>
      <c r="M221" s="260">
        <f t="shared" si="55"/>
        <v>0</v>
      </c>
      <c r="N221" s="111">
        <f>+'Prog 05'!N45</f>
        <v>0</v>
      </c>
      <c r="O221" s="165">
        <f t="shared" si="56"/>
        <v>0</v>
      </c>
      <c r="P221" s="166">
        <f>+'Prog 05'!P45</f>
        <v>0</v>
      </c>
      <c r="Q221" s="111">
        <f ca="1">+'Prog 05'!Q45</f>
        <v>0</v>
      </c>
      <c r="R221" s="165" t="str">
        <f t="shared" ca="1" si="54"/>
        <v>0.00%</v>
      </c>
      <c r="T221" s="568"/>
      <c r="U221" s="568"/>
      <c r="X221" s="668"/>
      <c r="Y221" s="668"/>
      <c r="Z221" s="668"/>
      <c r="AA221" s="673"/>
    </row>
    <row r="222" spans="2:27" ht="15" hidden="1" customHeight="1" outlineLevel="2" x14ac:dyDescent="0.25">
      <c r="B222" s="168"/>
      <c r="C222" s="108"/>
      <c r="D222" s="118" t="s">
        <v>174</v>
      </c>
      <c r="E222" s="119"/>
      <c r="F222" s="112" t="str">
        <f t="shared" si="57"/>
        <v>33.02.011</v>
      </c>
      <c r="G222" s="1134" t="s">
        <v>837</v>
      </c>
      <c r="H222" s="166">
        <f>+'Prog 05'!H46</f>
        <v>0</v>
      </c>
      <c r="I222" s="111">
        <f>+'Prog 05'!I46</f>
        <v>0</v>
      </c>
      <c r="J222" s="111">
        <f ca="1">+'Prog 05'!J46</f>
        <v>0</v>
      </c>
      <c r="K222" s="260" t="str">
        <f t="shared" ca="1" si="53"/>
        <v>0.00%</v>
      </c>
      <c r="L222" s="111">
        <f>+'Prog 05'!L46</f>
        <v>0</v>
      </c>
      <c r="M222" s="260">
        <f t="shared" si="55"/>
        <v>0</v>
      </c>
      <c r="N222" s="111">
        <f>+'Prog 05'!N46</f>
        <v>0</v>
      </c>
      <c r="O222" s="165">
        <f t="shared" si="56"/>
        <v>0</v>
      </c>
      <c r="P222" s="166">
        <f>+'Prog 05'!P46</f>
        <v>0</v>
      </c>
      <c r="Q222" s="111">
        <f ca="1">+'Prog 05'!Q46</f>
        <v>0</v>
      </c>
      <c r="R222" s="165" t="str">
        <f t="shared" ca="1" si="54"/>
        <v>0.00%</v>
      </c>
      <c r="T222" s="568"/>
      <c r="U222" s="568"/>
      <c r="X222" s="668"/>
      <c r="Y222" s="668"/>
      <c r="Z222" s="668"/>
      <c r="AA222" s="673"/>
    </row>
    <row r="223" spans="2:27" ht="15" hidden="1" customHeight="1" outlineLevel="2" x14ac:dyDescent="0.25">
      <c r="B223" s="168"/>
      <c r="C223" s="108"/>
      <c r="D223" s="118" t="s">
        <v>175</v>
      </c>
      <c r="E223" s="119"/>
      <c r="F223" s="112" t="str">
        <f t="shared" si="57"/>
        <v>33.02.012</v>
      </c>
      <c r="G223" s="1134" t="s">
        <v>838</v>
      </c>
      <c r="H223" s="166">
        <f>+'Prog 05'!H47</f>
        <v>0</v>
      </c>
      <c r="I223" s="111">
        <f>+'Prog 05'!I47</f>
        <v>0</v>
      </c>
      <c r="J223" s="111">
        <f ca="1">+'Prog 05'!J47</f>
        <v>0</v>
      </c>
      <c r="K223" s="260" t="str">
        <f t="shared" ca="1" si="53"/>
        <v>0.00%</v>
      </c>
      <c r="L223" s="111">
        <f>+'Prog 05'!L47</f>
        <v>0</v>
      </c>
      <c r="M223" s="260">
        <f t="shared" si="55"/>
        <v>0</v>
      </c>
      <c r="N223" s="111">
        <f>+'Prog 05'!N47</f>
        <v>0</v>
      </c>
      <c r="O223" s="165">
        <f t="shared" si="56"/>
        <v>0</v>
      </c>
      <c r="P223" s="166">
        <f>+'Prog 05'!P47</f>
        <v>0</v>
      </c>
      <c r="Q223" s="111">
        <f ca="1">+'Prog 05'!Q47</f>
        <v>0</v>
      </c>
      <c r="R223" s="165" t="str">
        <f t="shared" ca="1" si="54"/>
        <v>0.00%</v>
      </c>
      <c r="T223" s="568"/>
      <c r="U223" s="568"/>
      <c r="X223" s="668"/>
      <c r="Y223" s="668"/>
      <c r="Z223" s="668"/>
      <c r="AA223" s="673"/>
    </row>
    <row r="224" spans="2:27" ht="15" hidden="1" customHeight="1" outlineLevel="2" x14ac:dyDescent="0.25">
      <c r="B224" s="168"/>
      <c r="C224" s="108"/>
      <c r="D224" s="118" t="s">
        <v>176</v>
      </c>
      <c r="E224" s="119"/>
      <c r="F224" s="112" t="str">
        <f t="shared" si="57"/>
        <v>33.02.013</v>
      </c>
      <c r="G224" s="1134" t="s">
        <v>88</v>
      </c>
      <c r="H224" s="166">
        <f>+'Prog 05'!H48</f>
        <v>0</v>
      </c>
      <c r="I224" s="111">
        <f>+'Prog 05'!I48</f>
        <v>0</v>
      </c>
      <c r="J224" s="111">
        <f ca="1">+'Prog 05'!J48</f>
        <v>0</v>
      </c>
      <c r="K224" s="260" t="str">
        <f t="shared" ca="1" si="53"/>
        <v>0.00%</v>
      </c>
      <c r="L224" s="111">
        <f>+'Prog 05'!L48</f>
        <v>0</v>
      </c>
      <c r="M224" s="260">
        <f t="shared" si="55"/>
        <v>0</v>
      </c>
      <c r="N224" s="111">
        <f>+'Prog 05'!N48</f>
        <v>0</v>
      </c>
      <c r="O224" s="165">
        <f t="shared" si="56"/>
        <v>0</v>
      </c>
      <c r="P224" s="166">
        <f>+'Prog 05'!P48</f>
        <v>0</v>
      </c>
      <c r="Q224" s="111">
        <f ca="1">+'Prog 05'!Q48</f>
        <v>0</v>
      </c>
      <c r="R224" s="165" t="str">
        <f t="shared" ca="1" si="54"/>
        <v>0.00%</v>
      </c>
      <c r="T224" s="568"/>
      <c r="U224" s="568"/>
      <c r="X224" s="668"/>
      <c r="Y224" s="668"/>
      <c r="Z224" s="668"/>
      <c r="AA224" s="673"/>
    </row>
    <row r="225" spans="2:27" ht="15" hidden="1" customHeight="1" outlineLevel="2" x14ac:dyDescent="0.25">
      <c r="B225" s="168"/>
      <c r="C225" s="108"/>
      <c r="D225" s="118" t="s">
        <v>191</v>
      </c>
      <c r="E225" s="119"/>
      <c r="F225" s="112" t="str">
        <f t="shared" si="57"/>
        <v>33.02.014</v>
      </c>
      <c r="G225" s="1134" t="s">
        <v>839</v>
      </c>
      <c r="H225" s="166">
        <f>+'Prog 05'!H49</f>
        <v>0</v>
      </c>
      <c r="I225" s="111">
        <f>+'Prog 05'!I49</f>
        <v>0</v>
      </c>
      <c r="J225" s="111">
        <f>+'Prog 05'!J49</f>
        <v>0</v>
      </c>
      <c r="K225" s="260" t="str">
        <f t="shared" si="53"/>
        <v>0.00%</v>
      </c>
      <c r="L225" s="111">
        <f>+'Prog 05'!L49</f>
        <v>0</v>
      </c>
      <c r="M225" s="260">
        <f t="shared" si="55"/>
        <v>0</v>
      </c>
      <c r="N225" s="111">
        <f>+'Prog 05'!N49</f>
        <v>0</v>
      </c>
      <c r="O225" s="165">
        <f t="shared" si="56"/>
        <v>0</v>
      </c>
      <c r="P225" s="166">
        <f>+'Prog 05'!P49</f>
        <v>0</v>
      </c>
      <c r="Q225" s="111">
        <f ca="1">+'Prog 05'!Q49</f>
        <v>0</v>
      </c>
      <c r="R225" s="165" t="str">
        <f t="shared" ca="1" si="54"/>
        <v>0.00%</v>
      </c>
      <c r="T225" s="568"/>
      <c r="U225" s="568"/>
      <c r="X225" s="668"/>
      <c r="Y225" s="668"/>
      <c r="Z225" s="668"/>
      <c r="AA225" s="673"/>
    </row>
    <row r="226" spans="2:27" ht="15" hidden="1" customHeight="1" outlineLevel="2" x14ac:dyDescent="0.25">
      <c r="B226" s="168"/>
      <c r="C226" s="108"/>
      <c r="D226" s="118" t="s">
        <v>192</v>
      </c>
      <c r="E226" s="119"/>
      <c r="F226" s="112" t="str">
        <f t="shared" si="57"/>
        <v>33.02.015</v>
      </c>
      <c r="G226" s="1134" t="s">
        <v>840</v>
      </c>
      <c r="H226" s="166">
        <f>+'Prog 05'!H50</f>
        <v>0</v>
      </c>
      <c r="I226" s="111">
        <f>+'Prog 05'!I50</f>
        <v>0</v>
      </c>
      <c r="J226" s="111">
        <f ca="1">+'Prog 05'!J50</f>
        <v>0</v>
      </c>
      <c r="K226" s="260" t="str">
        <f t="shared" ca="1" si="53"/>
        <v>0.00%</v>
      </c>
      <c r="L226" s="111">
        <f>+'Prog 05'!L50</f>
        <v>0</v>
      </c>
      <c r="M226" s="260">
        <f t="shared" si="55"/>
        <v>0</v>
      </c>
      <c r="N226" s="111">
        <f>+'Prog 05'!N50</f>
        <v>0</v>
      </c>
      <c r="O226" s="165">
        <f t="shared" si="56"/>
        <v>0</v>
      </c>
      <c r="P226" s="166">
        <f>+'Prog 05'!P50</f>
        <v>0</v>
      </c>
      <c r="Q226" s="111">
        <f ca="1">+'Prog 05'!Q50</f>
        <v>0</v>
      </c>
      <c r="R226" s="165" t="str">
        <f t="shared" ca="1" si="54"/>
        <v>0.00%</v>
      </c>
      <c r="T226" s="568"/>
      <c r="U226" s="568"/>
      <c r="X226" s="668"/>
      <c r="Y226" s="668"/>
      <c r="Z226" s="668"/>
      <c r="AA226" s="673"/>
    </row>
    <row r="227" spans="2:27" ht="15" hidden="1" customHeight="1" outlineLevel="2" x14ac:dyDescent="0.25">
      <c r="B227" s="168"/>
      <c r="C227" s="108"/>
      <c r="D227" s="122" t="s">
        <v>227</v>
      </c>
      <c r="E227" s="119"/>
      <c r="F227" s="112" t="str">
        <f t="shared" si="57"/>
        <v>33.02.016</v>
      </c>
      <c r="G227" s="1134" t="s">
        <v>841</v>
      </c>
      <c r="H227" s="166">
        <v>0</v>
      </c>
      <c r="I227" s="111">
        <f>+'Prog 05'!I51</f>
        <v>0</v>
      </c>
      <c r="J227" s="111">
        <v>0</v>
      </c>
      <c r="K227" s="260" t="str">
        <f t="shared" si="53"/>
        <v>0.00%</v>
      </c>
      <c r="L227" s="111">
        <v>0</v>
      </c>
      <c r="M227" s="260">
        <f t="shared" si="55"/>
        <v>0</v>
      </c>
      <c r="N227" s="111">
        <v>0</v>
      </c>
      <c r="O227" s="165">
        <f t="shared" si="56"/>
        <v>0</v>
      </c>
      <c r="P227" s="166">
        <f>+'Prog 05'!P51</f>
        <v>0</v>
      </c>
      <c r="Q227" s="111">
        <f ca="1">+'Prog 05'!Q51</f>
        <v>0</v>
      </c>
      <c r="R227" s="165" t="str">
        <f t="shared" ca="1" si="54"/>
        <v>0.00%</v>
      </c>
      <c r="T227" s="568"/>
      <c r="U227" s="568"/>
      <c r="X227" s="668"/>
      <c r="Y227" s="668"/>
      <c r="Z227" s="668"/>
      <c r="AA227" s="673"/>
    </row>
    <row r="228" spans="2:27" ht="15" hidden="1" customHeight="1" outlineLevel="2" x14ac:dyDescent="0.25">
      <c r="B228" s="168"/>
      <c r="C228" s="108"/>
      <c r="D228" s="122" t="s">
        <v>193</v>
      </c>
      <c r="E228" s="119"/>
      <c r="F228" s="112" t="str">
        <f t="shared" si="57"/>
        <v>33.02.017</v>
      </c>
      <c r="G228" s="1134" t="s">
        <v>842</v>
      </c>
      <c r="H228" s="166">
        <v>0</v>
      </c>
      <c r="I228" s="111">
        <v>0</v>
      </c>
      <c r="J228" s="111">
        <v>0</v>
      </c>
      <c r="K228" s="260" t="str">
        <f t="shared" si="53"/>
        <v>0.00%</v>
      </c>
      <c r="L228" s="111">
        <v>0</v>
      </c>
      <c r="M228" s="260">
        <f t="shared" si="55"/>
        <v>0</v>
      </c>
      <c r="N228" s="111">
        <v>0</v>
      </c>
      <c r="O228" s="165">
        <f t="shared" si="56"/>
        <v>0</v>
      </c>
      <c r="P228" s="166">
        <f>+'Prog 05'!P52</f>
        <v>0</v>
      </c>
      <c r="Q228" s="111">
        <f ca="1">+'Prog 05'!Q52</f>
        <v>0</v>
      </c>
      <c r="R228" s="165" t="str">
        <f t="shared" ca="1" si="54"/>
        <v>0.00%</v>
      </c>
      <c r="T228" s="568"/>
      <c r="U228" s="568"/>
      <c r="X228" s="668"/>
      <c r="Y228" s="668"/>
      <c r="Z228" s="668"/>
      <c r="AA228" s="673"/>
    </row>
    <row r="229" spans="2:27" s="5" customFormat="1" ht="15" hidden="1" customHeight="1" outlineLevel="2" x14ac:dyDescent="0.25">
      <c r="B229" s="334"/>
      <c r="C229" s="335"/>
      <c r="D229" s="758" t="s">
        <v>691</v>
      </c>
      <c r="E229" s="1642"/>
      <c r="F229" s="509" t="str">
        <f t="shared" si="57"/>
        <v>33.02.020</v>
      </c>
      <c r="G229" s="823" t="str">
        <f>+'Prog 05'!G53</f>
        <v>Gobiernos Regionales - Programas de Inversión</v>
      </c>
      <c r="H229" s="341">
        <f>+'Prog 05'!H53</f>
        <v>0</v>
      </c>
      <c r="I229" s="333">
        <f>+'Prog 05'!I53</f>
        <v>17013352</v>
      </c>
      <c r="J229" s="333">
        <f>+'Prog 05'!J53</f>
        <v>0</v>
      </c>
      <c r="K229" s="1643">
        <f t="shared" si="53"/>
        <v>0</v>
      </c>
      <c r="L229" s="333">
        <f>+'Prog 05'!L53</f>
        <v>0</v>
      </c>
      <c r="M229" s="1643">
        <f t="shared" si="55"/>
        <v>0</v>
      </c>
      <c r="N229" s="333">
        <f>+'Prog 05'!N53</f>
        <v>17013352</v>
      </c>
      <c r="O229" s="1644">
        <f t="shared" si="56"/>
        <v>1</v>
      </c>
      <c r="P229" s="341">
        <f>+'Prog 05'!P53</f>
        <v>0</v>
      </c>
      <c r="Q229" s="333">
        <f ca="1">+'Prog 05'!Q53</f>
        <v>0</v>
      </c>
      <c r="R229" s="1644" t="str">
        <f ca="1">+'Prog 05'!R53</f>
        <v>0.00%</v>
      </c>
      <c r="S229" s="1645"/>
      <c r="T229" s="1421"/>
      <c r="U229" s="1421"/>
      <c r="V229" s="243"/>
      <c r="W229" s="243"/>
      <c r="X229" s="1646"/>
      <c r="Y229" s="1646"/>
      <c r="Z229" s="1646"/>
      <c r="AA229" s="1647"/>
    </row>
    <row r="230" spans="2:27" ht="15" hidden="1" customHeight="1" outlineLevel="2" x14ac:dyDescent="0.25">
      <c r="B230" s="168"/>
      <c r="C230" s="108"/>
      <c r="D230" s="122" t="s">
        <v>911</v>
      </c>
      <c r="E230" s="119"/>
      <c r="F230" s="112" t="str">
        <f t="shared" si="57"/>
        <v>33.02.018</v>
      </c>
      <c r="G230" s="1134" t="s">
        <v>507</v>
      </c>
      <c r="H230" s="166">
        <v>0</v>
      </c>
      <c r="I230" s="111">
        <f>+'Prog 03'!I34</f>
        <v>0</v>
      </c>
      <c r="J230" s="111">
        <f ca="1">+'Prog 03'!J34</f>
        <v>0</v>
      </c>
      <c r="K230" s="260" t="str">
        <f t="shared" ca="1" si="53"/>
        <v>0.00%</v>
      </c>
      <c r="L230" s="111">
        <f>+'Prog 03'!L34</f>
        <v>0</v>
      </c>
      <c r="M230" s="260">
        <f t="shared" si="55"/>
        <v>0</v>
      </c>
      <c r="N230" s="111">
        <f>+'Prog 03'!N34</f>
        <v>0</v>
      </c>
      <c r="O230" s="165">
        <f t="shared" si="56"/>
        <v>0</v>
      </c>
      <c r="P230" s="166">
        <f>+'Prog 03'!P34</f>
        <v>0</v>
      </c>
      <c r="Q230" s="111">
        <f>+'Prog 03'!Q34</f>
        <v>0</v>
      </c>
      <c r="R230" s="165" t="str">
        <f t="shared" si="54"/>
        <v>0.00%</v>
      </c>
      <c r="T230" s="568"/>
      <c r="U230" s="568"/>
      <c r="X230" s="668"/>
      <c r="Y230" s="668"/>
      <c r="Z230" s="668"/>
      <c r="AA230" s="673"/>
    </row>
    <row r="231" spans="2:27" ht="15" hidden="1" customHeight="1" outlineLevel="2" x14ac:dyDescent="0.25">
      <c r="B231" s="168"/>
      <c r="C231" s="108"/>
      <c r="D231" s="279" t="s">
        <v>766</v>
      </c>
      <c r="E231" s="119"/>
      <c r="F231" s="112" t="str">
        <f t="shared" si="57"/>
        <v>33.02.107</v>
      </c>
      <c r="G231" s="1134" t="s">
        <v>687</v>
      </c>
      <c r="H231" s="166">
        <v>0</v>
      </c>
      <c r="I231" s="111">
        <v>0</v>
      </c>
      <c r="J231" s="111">
        <v>0</v>
      </c>
      <c r="K231" s="260" t="str">
        <f t="shared" si="53"/>
        <v>0.00%</v>
      </c>
      <c r="L231" s="111">
        <v>0</v>
      </c>
      <c r="M231" s="260">
        <f t="shared" si="55"/>
        <v>0</v>
      </c>
      <c r="N231" s="111">
        <v>0</v>
      </c>
      <c r="O231" s="165">
        <f t="shared" si="56"/>
        <v>0</v>
      </c>
      <c r="P231" s="166">
        <f>+'Prog 05'!P54</f>
        <v>0</v>
      </c>
      <c r="Q231" s="111">
        <f ca="1">+'Prog 05'!Q54</f>
        <v>0</v>
      </c>
      <c r="R231" s="165" t="str">
        <f t="shared" ca="1" si="54"/>
        <v>0.00%</v>
      </c>
      <c r="T231" s="568"/>
      <c r="U231" s="568"/>
      <c r="X231" s="668"/>
      <c r="Y231" s="668"/>
      <c r="Z231" s="668"/>
      <c r="AA231" s="673"/>
    </row>
    <row r="232" spans="2:27" ht="15" hidden="1" customHeight="1" outlineLevel="2" x14ac:dyDescent="0.25">
      <c r="B232" s="168"/>
      <c r="C232" s="108"/>
      <c r="D232" s="279" t="s">
        <v>767</v>
      </c>
      <c r="E232" s="119"/>
      <c r="F232" s="112" t="str">
        <f t="shared" si="57"/>
        <v>33.02.914</v>
      </c>
      <c r="G232" s="1134" t="s">
        <v>539</v>
      </c>
      <c r="H232" s="166">
        <v>0</v>
      </c>
      <c r="I232" s="111">
        <v>0</v>
      </c>
      <c r="J232" s="111">
        <v>0</v>
      </c>
      <c r="K232" s="260" t="str">
        <f t="shared" si="53"/>
        <v>0.00%</v>
      </c>
      <c r="L232" s="111">
        <v>0</v>
      </c>
      <c r="M232" s="260">
        <f t="shared" si="55"/>
        <v>0</v>
      </c>
      <c r="N232" s="111">
        <v>0</v>
      </c>
      <c r="O232" s="165">
        <f t="shared" si="56"/>
        <v>0</v>
      </c>
      <c r="P232" s="166">
        <f>+'Prog 05'!P55</f>
        <v>0</v>
      </c>
      <c r="Q232" s="111">
        <f ca="1">+'Prog 05'!Q55</f>
        <v>0</v>
      </c>
      <c r="R232" s="165" t="str">
        <f t="shared" ca="1" si="54"/>
        <v>0.00%</v>
      </c>
      <c r="T232" s="568"/>
      <c r="U232" s="568"/>
      <c r="X232" s="668"/>
      <c r="Y232" s="668"/>
      <c r="Z232" s="668"/>
      <c r="AA232" s="673"/>
    </row>
    <row r="233" spans="2:27" ht="15" hidden="1" customHeight="1" outlineLevel="2" x14ac:dyDescent="0.25">
      <c r="B233" s="168"/>
      <c r="C233" s="108"/>
      <c r="D233" s="279" t="s">
        <v>768</v>
      </c>
      <c r="E233" s="119"/>
      <c r="F233" s="112" t="str">
        <f t="shared" si="57"/>
        <v>33.02.916</v>
      </c>
      <c r="G233" s="1134" t="s">
        <v>316</v>
      </c>
      <c r="H233" s="166">
        <v>0</v>
      </c>
      <c r="I233" s="111">
        <v>0</v>
      </c>
      <c r="J233" s="111">
        <v>0</v>
      </c>
      <c r="K233" s="260" t="str">
        <f t="shared" si="53"/>
        <v>0.00%</v>
      </c>
      <c r="L233" s="111">
        <v>0</v>
      </c>
      <c r="M233" s="260">
        <f t="shared" si="55"/>
        <v>0</v>
      </c>
      <c r="N233" s="111">
        <v>0</v>
      </c>
      <c r="O233" s="165">
        <f t="shared" si="56"/>
        <v>0</v>
      </c>
      <c r="P233" s="166">
        <f>+'Prog 05'!P56</f>
        <v>0</v>
      </c>
      <c r="Q233" s="111">
        <f ca="1">+'Prog 05'!Q56</f>
        <v>0</v>
      </c>
      <c r="R233" s="165" t="str">
        <f t="shared" ca="1" si="54"/>
        <v>0.00%</v>
      </c>
      <c r="T233" s="568"/>
      <c r="U233" s="568"/>
      <c r="X233" s="668"/>
      <c r="Y233" s="668"/>
      <c r="Z233" s="668"/>
      <c r="AA233" s="673"/>
    </row>
    <row r="234" spans="2:27" ht="15" hidden="1" customHeight="1" outlineLevel="2" x14ac:dyDescent="0.25">
      <c r="B234" s="168"/>
      <c r="C234" s="108"/>
      <c r="D234" s="122" t="s">
        <v>691</v>
      </c>
      <c r="E234" s="119"/>
      <c r="F234" s="112" t="str">
        <f t="shared" si="57"/>
        <v>33.02.020</v>
      </c>
      <c r="G234" s="1134" t="s">
        <v>781</v>
      </c>
      <c r="H234" s="166">
        <v>0</v>
      </c>
      <c r="I234" s="111">
        <f>'Prog 05'!I57</f>
        <v>0</v>
      </c>
      <c r="J234" s="111">
        <f ca="1">+'Prog 05'!J57</f>
        <v>0</v>
      </c>
      <c r="K234" s="260" t="str">
        <f t="shared" ca="1" si="53"/>
        <v>0.00%</v>
      </c>
      <c r="L234" s="111">
        <f>+'Prog 05'!L57</f>
        <v>0</v>
      </c>
      <c r="M234" s="260">
        <f t="shared" si="55"/>
        <v>0</v>
      </c>
      <c r="N234" s="111">
        <f>+'Prog 05'!N57</f>
        <v>0</v>
      </c>
      <c r="O234" s="165">
        <f t="shared" si="56"/>
        <v>0</v>
      </c>
      <c r="P234" s="166">
        <f>+'Prog 03'!P35+'Prog 05'!P57</f>
        <v>3040575.4359999998</v>
      </c>
      <c r="Q234" s="111">
        <f>+'Prog 03'!Q35</f>
        <v>0</v>
      </c>
      <c r="R234" s="165">
        <f t="shared" si="54"/>
        <v>0</v>
      </c>
      <c r="T234" s="568"/>
      <c r="U234" s="568"/>
      <c r="X234" s="668"/>
      <c r="Y234" s="668"/>
      <c r="Z234" s="668"/>
      <c r="AA234" s="673"/>
    </row>
    <row r="235" spans="2:27" s="158" customFormat="1" ht="15" hidden="1" customHeight="1" outlineLevel="1" x14ac:dyDescent="0.25">
      <c r="B235" s="168"/>
      <c r="C235" s="115" t="s">
        <v>167</v>
      </c>
      <c r="D235" s="109"/>
      <c r="E235" s="110"/>
      <c r="F235" s="110"/>
      <c r="G235" s="1133" t="s">
        <v>87</v>
      </c>
      <c r="H235" s="1038">
        <f>+H236+H237+H242+H249+H250+H251+H252+H253+H254+H255+H256+H257+H258+H259+H260+H261+H262+H263+H264+H265+H266+H267+H268</f>
        <v>301825406</v>
      </c>
      <c r="I235" s="1038">
        <f>+I236+I237+I242+I249+I250+I251+I252+I253+I254+I255+I256+I257+I258+I259+I260+I261+I262+I263+I264+I265+I266+I267+I268</f>
        <v>274550027</v>
      </c>
      <c r="J235" s="1142">
        <f ca="1">+J236+J237+J242+J249+J250+J251+J252+J253+J254+J255+J256+J257+J258+J259+J260+J261+J262+J263+J264+J265+J266+J267+J268</f>
        <v>31646077.440000005</v>
      </c>
      <c r="K235" s="260">
        <f t="shared" ca="1" si="53"/>
        <v>0.11526524978269263</v>
      </c>
      <c r="L235" s="1142">
        <f>+L236+L237+L242+L249+L250+L251+L252+L253+L254+L255+L256+L257+L258+L259+L260+L261+L262+L263+L264+L265+L266+L267+L268</f>
        <v>37963010.912999995</v>
      </c>
      <c r="M235" s="260">
        <f t="shared" si="55"/>
        <v>0.13827356466805227</v>
      </c>
      <c r="N235" s="1142">
        <f>+N236+N237+N242+N249+N250+N251+N252+N253+N254+N255+N256+N257+N258+N259+N260+N261+N262+N263+N264+N265+N266+N267+N268</f>
        <v>236587016.08700001</v>
      </c>
      <c r="O235" s="165">
        <f t="shared" si="56"/>
        <v>0.86172643533194782</v>
      </c>
      <c r="P235" s="1038">
        <f>SUM(P249:P268)+P236+P237+P242</f>
        <v>207305498.89200002</v>
      </c>
      <c r="Q235" s="1038">
        <f ca="1">SUM(Q249:Q268)+Q236+Q237+Q242</f>
        <v>25198594.206918001</v>
      </c>
      <c r="R235" s="165">
        <f t="shared" ca="1" si="54"/>
        <v>0.12155294645631044</v>
      </c>
      <c r="S235" s="157"/>
      <c r="T235" s="568"/>
      <c r="U235" s="568"/>
      <c r="V235" s="669"/>
      <c r="W235" s="669"/>
      <c r="X235" s="1039"/>
      <c r="Y235" s="1039"/>
      <c r="Z235" s="1039"/>
      <c r="AA235" s="1040"/>
    </row>
    <row r="236" spans="2:27" ht="15" hidden="1" customHeight="1" outlineLevel="2" x14ac:dyDescent="0.25">
      <c r="B236" s="168"/>
      <c r="C236" s="108"/>
      <c r="D236" s="118" t="s">
        <v>169</v>
      </c>
      <c r="E236" s="110"/>
      <c r="F236" s="112" t="str">
        <f>+CONCATENATE($B$210,"",$C$235,"",D236,"",E236)</f>
        <v>33.03.001</v>
      </c>
      <c r="G236" s="1133" t="s">
        <v>246</v>
      </c>
      <c r="H236" s="1038">
        <f>+'Prog 05'!H59</f>
        <v>76538652</v>
      </c>
      <c r="I236" s="1142">
        <f>+'Prog 05'!I59</f>
        <v>67312190</v>
      </c>
      <c r="J236" s="1142">
        <f ca="1">+'Prog 05'!J59</f>
        <v>0</v>
      </c>
      <c r="K236" s="1151">
        <f t="shared" ca="1" si="53"/>
        <v>0</v>
      </c>
      <c r="L236" s="1142">
        <f>+'Prog 05'!L59</f>
        <v>0</v>
      </c>
      <c r="M236" s="1151">
        <f t="shared" si="55"/>
        <v>0</v>
      </c>
      <c r="N236" s="1142">
        <f>+'Prog 05'!N59</f>
        <v>67312190</v>
      </c>
      <c r="O236" s="1152">
        <f t="shared" si="56"/>
        <v>1</v>
      </c>
      <c r="P236" s="1038">
        <f>+'Prog 05'!P59</f>
        <v>46410723.504999995</v>
      </c>
      <c r="Q236" s="1142">
        <f>+'Prog 05'!Q59</f>
        <v>0</v>
      </c>
      <c r="R236" s="1152">
        <f t="shared" si="54"/>
        <v>0</v>
      </c>
      <c r="T236" s="568"/>
      <c r="U236" s="568"/>
      <c r="X236" s="668"/>
      <c r="Y236" s="668"/>
      <c r="Z236" s="668"/>
      <c r="AA236" s="673"/>
    </row>
    <row r="237" spans="2:27" s="158" customFormat="1" ht="15" hidden="1" customHeight="1" outlineLevel="2" x14ac:dyDescent="0.25">
      <c r="B237" s="168"/>
      <c r="C237" s="108"/>
      <c r="D237" s="118" t="s">
        <v>180</v>
      </c>
      <c r="E237" s="110"/>
      <c r="F237" s="112"/>
      <c r="G237" s="1133" t="s">
        <v>983</v>
      </c>
      <c r="H237" s="1038">
        <f>SUM(H238:H241)</f>
        <v>90277278</v>
      </c>
      <c r="I237" s="1142">
        <f t="shared" ref="I237:Q237" si="58">SUM(I238:I241)</f>
        <v>90277278</v>
      </c>
      <c r="J237" s="1142">
        <f ca="1">SUM(J238:J241)</f>
        <v>16895025.823000003</v>
      </c>
      <c r="K237" s="260">
        <f t="shared" ca="1" si="53"/>
        <v>0.18714593746390984</v>
      </c>
      <c r="L237" s="1142">
        <f t="shared" si="58"/>
        <v>21568672.844999999</v>
      </c>
      <c r="M237" s="260">
        <f t="shared" si="55"/>
        <v>0.23891585261354467</v>
      </c>
      <c r="N237" s="1142">
        <f t="shared" si="58"/>
        <v>68708605.155000001</v>
      </c>
      <c r="O237" s="165">
        <f t="shared" si="56"/>
        <v>0.76108414738645536</v>
      </c>
      <c r="P237" s="1038">
        <f t="shared" si="58"/>
        <v>51663497.611000001</v>
      </c>
      <c r="Q237" s="1142">
        <f t="shared" si="58"/>
        <v>14044735.920452001</v>
      </c>
      <c r="R237" s="165">
        <f t="shared" si="54"/>
        <v>0.27185027282128199</v>
      </c>
      <c r="S237" s="157"/>
      <c r="T237" s="568"/>
      <c r="U237" s="568"/>
      <c r="V237" s="669"/>
      <c r="W237" s="669"/>
      <c r="X237" s="1039"/>
      <c r="Y237" s="1039"/>
      <c r="Z237" s="1039"/>
      <c r="AA237" s="1040"/>
    </row>
    <row r="238" spans="2:27" ht="15" hidden="1" customHeight="1" outlineLevel="2" x14ac:dyDescent="0.25">
      <c r="B238" s="168"/>
      <c r="C238" s="108"/>
      <c r="D238" s="122"/>
      <c r="E238" s="110"/>
      <c r="F238" s="280" t="s">
        <v>729</v>
      </c>
      <c r="G238" s="1134" t="str">
        <f>+'Prog 03'!G38</f>
        <v>Tradicional (PMU)</v>
      </c>
      <c r="H238" s="166">
        <f>+'Prog 03'!H38</f>
        <v>42112712</v>
      </c>
      <c r="I238" s="111">
        <f>+'Prog 03'!I38</f>
        <v>42112712</v>
      </c>
      <c r="J238" s="111">
        <f ca="1">+'Prog 03'!J38</f>
        <v>0</v>
      </c>
      <c r="K238" s="260">
        <f t="shared" ca="1" si="53"/>
        <v>0</v>
      </c>
      <c r="L238" s="111">
        <f>+'Prog 03'!L38</f>
        <v>70000</v>
      </c>
      <c r="M238" s="260">
        <f t="shared" si="55"/>
        <v>1.6622059391473054E-3</v>
      </c>
      <c r="N238" s="111">
        <f>+'Prog 03'!N38</f>
        <v>42042712</v>
      </c>
      <c r="O238" s="165">
        <f t="shared" si="56"/>
        <v>0.99833779406085266</v>
      </c>
      <c r="P238" s="167">
        <f>+'Prog 03'!P38</f>
        <v>13123731.5625</v>
      </c>
      <c r="Q238" s="111">
        <f>+'Prog 03'!Q38</f>
        <v>0</v>
      </c>
      <c r="R238" s="165">
        <f t="shared" si="54"/>
        <v>0</v>
      </c>
      <c r="T238" s="568"/>
      <c r="U238" s="568"/>
      <c r="X238" s="668"/>
      <c r="Y238" s="668"/>
      <c r="Z238" s="668"/>
      <c r="AA238" s="673"/>
    </row>
    <row r="239" spans="2:27" ht="15" hidden="1" customHeight="1" outlineLevel="2" x14ac:dyDescent="0.25">
      <c r="B239" s="168"/>
      <c r="C239" s="108"/>
      <c r="D239" s="122"/>
      <c r="E239" s="110"/>
      <c r="F239" s="280" t="s">
        <v>730</v>
      </c>
      <c r="G239" s="1134" t="str">
        <f>+'Prog 03'!G39</f>
        <v>Emergencia (PMU)</v>
      </c>
      <c r="H239" s="166">
        <f>+'Prog 03'!H39</f>
        <v>26521300</v>
      </c>
      <c r="I239" s="111">
        <f>+'Prog 03'!I39</f>
        <v>26521300</v>
      </c>
      <c r="J239" s="111">
        <f ca="1">+'Prog 03'!J39</f>
        <v>8149438.0560000008</v>
      </c>
      <c r="K239" s="260">
        <f t="shared" ca="1" si="53"/>
        <v>0.30727898164871259</v>
      </c>
      <c r="L239" s="111">
        <f>+'Prog 03'!L39</f>
        <v>10138072.433</v>
      </c>
      <c r="M239" s="260">
        <f t="shared" si="55"/>
        <v>0.38226151934482849</v>
      </c>
      <c r="N239" s="111">
        <f>+'Prog 03'!N39</f>
        <v>16383227.567</v>
      </c>
      <c r="O239" s="165">
        <f t="shared" si="56"/>
        <v>0.61773848065517145</v>
      </c>
      <c r="P239" s="167">
        <f>+'Prog 03'!P39</f>
        <v>20458443.957079999</v>
      </c>
      <c r="Q239" s="111">
        <f>+'Prog 03'!Q39</f>
        <v>4847639.0261240005</v>
      </c>
      <c r="R239" s="165">
        <f t="shared" si="54"/>
        <v>0.23695052450195711</v>
      </c>
      <c r="T239" s="568"/>
      <c r="U239" s="568"/>
      <c r="X239" s="668"/>
      <c r="Y239" s="668"/>
      <c r="Z239" s="668"/>
      <c r="AA239" s="673"/>
    </row>
    <row r="240" spans="2:27" ht="15" hidden="1" customHeight="1" outlineLevel="2" x14ac:dyDescent="0.25">
      <c r="B240" s="168"/>
      <c r="C240" s="108"/>
      <c r="D240" s="122"/>
      <c r="E240" s="110"/>
      <c r="F240" s="280" t="s">
        <v>731</v>
      </c>
      <c r="G240" s="1134" t="str">
        <f>+'Prog 03'!G40</f>
        <v>Cuenca del Carbón (PMU)</v>
      </c>
      <c r="H240" s="166">
        <f>+'Prog 03'!H40</f>
        <v>16643266</v>
      </c>
      <c r="I240" s="111">
        <f>+'Prog 03'!I40</f>
        <v>16643266</v>
      </c>
      <c r="J240" s="111">
        <f ca="1">+'Prog 03'!J40</f>
        <v>7068858.796000001</v>
      </c>
      <c r="K240" s="260">
        <f t="shared" ca="1" si="53"/>
        <v>0.42472786266830087</v>
      </c>
      <c r="L240" s="111">
        <f>+'Prog 03'!L40</f>
        <v>9611191.4409999996</v>
      </c>
      <c r="M240" s="260">
        <f t="shared" si="55"/>
        <v>0.57748229470105206</v>
      </c>
      <c r="N240" s="111">
        <f>+'Prog 03'!N40</f>
        <v>7032074.5590000004</v>
      </c>
      <c r="O240" s="165">
        <f t="shared" si="56"/>
        <v>0.42251770529894794</v>
      </c>
      <c r="P240" s="167">
        <f>+'Prog 03'!P40</f>
        <v>18081322.091419999</v>
      </c>
      <c r="Q240" s="111">
        <f>+'Prog 03'!Q40</f>
        <v>9197096.894328</v>
      </c>
      <c r="R240" s="165">
        <f t="shared" si="54"/>
        <v>0.50865179259719251</v>
      </c>
      <c r="T240" s="568"/>
      <c r="U240" s="568"/>
      <c r="X240" s="668"/>
      <c r="Y240" s="668"/>
      <c r="Z240" s="668"/>
      <c r="AA240" s="673"/>
    </row>
    <row r="241" spans="2:45" s="5" customFormat="1" ht="15" hidden="1" customHeight="1" outlineLevel="2" x14ac:dyDescent="0.25">
      <c r="B241" s="334"/>
      <c r="C241" s="335"/>
      <c r="D241" s="758"/>
      <c r="E241" s="337"/>
      <c r="F241" s="759" t="s">
        <v>731</v>
      </c>
      <c r="G241" s="823" t="s">
        <v>902</v>
      </c>
      <c r="H241" s="341">
        <f>+'Prog 03'!H41</f>
        <v>5000000</v>
      </c>
      <c r="I241" s="333">
        <f>+'Prog 03'!I41</f>
        <v>5000000</v>
      </c>
      <c r="J241" s="333">
        <f ca="1">+'Prog 03'!J41</f>
        <v>1676728.9709999999</v>
      </c>
      <c r="K241" s="260">
        <f t="shared" ca="1" si="53"/>
        <v>0.33534579419999999</v>
      </c>
      <c r="L241" s="333">
        <f>+'Prog 03'!L41</f>
        <v>1749408.9709999999</v>
      </c>
      <c r="M241" s="260">
        <f t="shared" si="55"/>
        <v>0.34988179419999998</v>
      </c>
      <c r="N241" s="333">
        <f>+'Prog 03'!N41</f>
        <v>3250591.0290000001</v>
      </c>
      <c r="O241" s="165">
        <f t="shared" si="56"/>
        <v>0.65011820580000002</v>
      </c>
      <c r="P241" s="383">
        <f>+'Prog 03'!P41</f>
        <v>0</v>
      </c>
      <c r="Q241" s="333">
        <f>+'Prog 03'!Q41</f>
        <v>0</v>
      </c>
      <c r="R241" s="165" t="str">
        <f t="shared" si="54"/>
        <v>0.00%</v>
      </c>
      <c r="S241" s="157"/>
      <c r="T241" s="568"/>
      <c r="U241" s="568"/>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c r="AQ241" s="214"/>
      <c r="AR241" s="214"/>
      <c r="AS241" s="214"/>
    </row>
    <row r="242" spans="2:45" s="158" customFormat="1" ht="15" hidden="1" customHeight="1" outlineLevel="2" x14ac:dyDescent="0.25">
      <c r="B242" s="168"/>
      <c r="C242" s="108"/>
      <c r="D242" s="118">
        <v>6</v>
      </c>
      <c r="E242" s="110"/>
      <c r="F242" s="112"/>
      <c r="G242" s="1133" t="s">
        <v>984</v>
      </c>
      <c r="H242" s="1038">
        <f>SUM(H243:H248)</f>
        <v>56612173</v>
      </c>
      <c r="I242" s="1142">
        <f t="shared" ref="I242:Q242" si="59">SUM(I243:I248)</f>
        <v>56612173</v>
      </c>
      <c r="J242" s="1142">
        <f ca="1">SUM(J243:J248)</f>
        <v>13514820.216</v>
      </c>
      <c r="K242" s="260">
        <f t="shared" ca="1" si="53"/>
        <v>0.23872639928518555</v>
      </c>
      <c r="L242" s="1142">
        <f>SUM(L243:L248)</f>
        <v>14952001.462000001</v>
      </c>
      <c r="M242" s="260">
        <f t="shared" si="55"/>
        <v>0.26411283421323539</v>
      </c>
      <c r="N242" s="1142">
        <f t="shared" si="59"/>
        <v>41660171.538000003</v>
      </c>
      <c r="O242" s="165">
        <f t="shared" si="56"/>
        <v>0.73588716578676472</v>
      </c>
      <c r="P242" s="1038">
        <f t="shared" si="59"/>
        <v>33610040.299999997</v>
      </c>
      <c r="Q242" s="1142">
        <f t="shared" si="59"/>
        <v>10571903.767455999</v>
      </c>
      <c r="R242" s="165">
        <f t="shared" si="54"/>
        <v>0.31454600092984714</v>
      </c>
      <c r="S242" s="157"/>
      <c r="T242" s="568"/>
      <c r="U242" s="568"/>
      <c r="V242" s="669"/>
      <c r="W242" s="669"/>
      <c r="X242" s="1039"/>
      <c r="Y242" s="1039"/>
      <c r="Z242" s="1039"/>
      <c r="AA242" s="1040"/>
    </row>
    <row r="243" spans="2:45" ht="15" hidden="1" customHeight="1" outlineLevel="2" x14ac:dyDescent="0.25">
      <c r="B243" s="168"/>
      <c r="C243" s="108"/>
      <c r="D243" s="122"/>
      <c r="E243" s="110"/>
      <c r="F243" s="280" t="s">
        <v>732</v>
      </c>
      <c r="G243" s="1134" t="str">
        <f>+'Prog 03'!G43</f>
        <v>Asistencia Técnica (PMB)</v>
      </c>
      <c r="H243" s="166">
        <f>+'Prog 03'!H43</f>
        <v>5736407</v>
      </c>
      <c r="I243" s="111">
        <f>+'Prog 03'!I43</f>
        <v>5736407</v>
      </c>
      <c r="J243" s="111">
        <f ca="1">+'Prog 03'!J43</f>
        <v>3560698.048</v>
      </c>
      <c r="K243" s="260">
        <f t="shared" ca="1" si="53"/>
        <v>0.62071921465823465</v>
      </c>
      <c r="L243" s="111">
        <f>+'Prog 03'!L43</f>
        <v>3955298.048</v>
      </c>
      <c r="M243" s="260">
        <f t="shared" si="55"/>
        <v>0.68950791810971568</v>
      </c>
      <c r="N243" s="111">
        <f>+'Prog 03'!N43</f>
        <v>1781108.952</v>
      </c>
      <c r="O243" s="165">
        <f t="shared" si="56"/>
        <v>0.31049208189028427</v>
      </c>
      <c r="P243" s="167">
        <f>+'Prog 03'!P43</f>
        <v>7089036.771151999</v>
      </c>
      <c r="Q243" s="111">
        <f>+'Prog 03'!Q43</f>
        <v>4040012.661113</v>
      </c>
      <c r="R243" s="165">
        <f t="shared" si="54"/>
        <v>0.56989585348934235</v>
      </c>
      <c r="T243" s="568"/>
      <c r="U243" s="568"/>
      <c r="X243" s="668"/>
      <c r="Y243" s="668"/>
      <c r="Z243" s="668"/>
      <c r="AA243" s="673"/>
    </row>
    <row r="244" spans="2:45" ht="15" hidden="1" customHeight="1" outlineLevel="2" x14ac:dyDescent="0.25">
      <c r="B244" s="168"/>
      <c r="C244" s="108"/>
      <c r="D244" s="122"/>
      <c r="E244" s="110"/>
      <c r="F244" s="280" t="s">
        <v>733</v>
      </c>
      <c r="G244" s="1134" t="str">
        <f>+'Prog 03'!G44</f>
        <v>Terrenos (PMB)</v>
      </c>
      <c r="H244" s="166">
        <f>+'Prog 03'!H44</f>
        <v>7925135</v>
      </c>
      <c r="I244" s="111">
        <f>+'Prog 03'!I44</f>
        <v>7925135</v>
      </c>
      <c r="J244" s="111">
        <f ca="1">+'Prog 03'!J44</f>
        <v>3470113.1680000001</v>
      </c>
      <c r="K244" s="260">
        <f t="shared" ca="1" si="53"/>
        <v>0.43786171062070239</v>
      </c>
      <c r="L244" s="111">
        <f>+'Prog 03'!L44</f>
        <v>3470113.1680000001</v>
      </c>
      <c r="M244" s="260">
        <f t="shared" si="55"/>
        <v>0.43786171062070239</v>
      </c>
      <c r="N244" s="111">
        <f>+'Prog 03'!N44</f>
        <v>4455021.8320000004</v>
      </c>
      <c r="O244" s="165">
        <f t="shared" si="56"/>
        <v>0.56213828937929766</v>
      </c>
      <c r="P244" s="167">
        <f>+'Prog 03'!P44</f>
        <v>931303.86699999997</v>
      </c>
      <c r="Q244" s="111">
        <f>+'Prog 03'!Q44</f>
        <v>612403.86699999997</v>
      </c>
      <c r="R244" s="165">
        <f t="shared" si="54"/>
        <v>0.65757685402158861</v>
      </c>
      <c r="T244" s="568"/>
      <c r="U244" s="568"/>
      <c r="X244" s="668"/>
      <c r="Y244" s="668"/>
      <c r="Z244" s="668"/>
      <c r="AA244" s="673"/>
    </row>
    <row r="245" spans="2:45" ht="15" hidden="1" customHeight="1" outlineLevel="2" x14ac:dyDescent="0.25">
      <c r="B245" s="168"/>
      <c r="C245" s="108"/>
      <c r="D245" s="122"/>
      <c r="E245" s="110"/>
      <c r="F245" s="280" t="s">
        <v>734</v>
      </c>
      <c r="G245" s="1134" t="str">
        <f>+'Prog 03'!G45</f>
        <v>Otras Transferencias (PMB)</v>
      </c>
      <c r="H245" s="166">
        <f>+'Prog 03'!H45</f>
        <v>1946254</v>
      </c>
      <c r="I245" s="111">
        <f>+'Prog 03'!I45</f>
        <v>1946254</v>
      </c>
      <c r="J245" s="111">
        <f ca="1">+'Prog 03'!J45</f>
        <v>854169.97199999995</v>
      </c>
      <c r="K245" s="260">
        <f t="shared" ca="1" si="53"/>
        <v>0.43887898085244781</v>
      </c>
      <c r="L245" s="111">
        <f>+'Prog 03'!L45</f>
        <v>932169.97199999995</v>
      </c>
      <c r="M245" s="260">
        <f t="shared" si="55"/>
        <v>0.47895596977578464</v>
      </c>
      <c r="N245" s="111">
        <f>+'Prog 03'!N45</f>
        <v>1014084.028</v>
      </c>
      <c r="O245" s="165">
        <f t="shared" si="56"/>
        <v>0.52104403022421542</v>
      </c>
      <c r="P245" s="167">
        <f>+'Prog 03'!P45</f>
        <v>2236005.8688679999</v>
      </c>
      <c r="Q245" s="111">
        <f>+'Prog 03'!Q45</f>
        <v>820001.21147900005</v>
      </c>
      <c r="R245" s="165">
        <f t="shared" si="54"/>
        <v>0.36672587621343489</v>
      </c>
      <c r="T245" s="568"/>
      <c r="U245" s="568"/>
      <c r="X245" s="668"/>
      <c r="Y245" s="668"/>
      <c r="Z245" s="668"/>
      <c r="AA245" s="673"/>
    </row>
    <row r="246" spans="2:45" ht="15" hidden="1" customHeight="1" outlineLevel="2" x14ac:dyDescent="0.25">
      <c r="B246" s="168"/>
      <c r="C246" s="108"/>
      <c r="D246" s="122"/>
      <c r="E246" s="110"/>
      <c r="F246" s="280" t="s">
        <v>735</v>
      </c>
      <c r="G246" s="1134" t="str">
        <f>+'Prog 03'!G46</f>
        <v>Estudios y diseños (PMB)</v>
      </c>
      <c r="H246" s="166">
        <f>+'Prog 03'!H46</f>
        <v>2260410</v>
      </c>
      <c r="I246" s="111">
        <f>+'Prog 03'!I46</f>
        <v>2260410</v>
      </c>
      <c r="J246" s="111">
        <f ca="1">+'Prog 03'!J46</f>
        <v>302326.79099999997</v>
      </c>
      <c r="K246" s="260">
        <f t="shared" ca="1" si="53"/>
        <v>0.13374865223565635</v>
      </c>
      <c r="L246" s="111">
        <f>+'Prog 03'!L46</f>
        <v>302326.79100000003</v>
      </c>
      <c r="M246" s="260">
        <f t="shared" si="55"/>
        <v>0.13374865223565638</v>
      </c>
      <c r="N246" s="111">
        <f>+'Prog 03'!N46</f>
        <v>1958083.209</v>
      </c>
      <c r="O246" s="165">
        <f t="shared" si="56"/>
        <v>0.86625134776434365</v>
      </c>
      <c r="P246" s="167">
        <f>+'Prog 03'!P46</f>
        <v>1988033.6881530001</v>
      </c>
      <c r="Q246" s="111">
        <f>+'Prog 03'!Q46</f>
        <v>469347.87819999998</v>
      </c>
      <c r="R246" s="165">
        <f t="shared" si="54"/>
        <v>0.23608648132922319</v>
      </c>
      <c r="T246" s="568"/>
      <c r="U246" s="568"/>
      <c r="X246" s="668"/>
      <c r="Y246" s="668"/>
      <c r="Z246" s="668"/>
      <c r="AA246" s="673"/>
    </row>
    <row r="247" spans="2:45" ht="15" hidden="1" customHeight="1" outlineLevel="2" x14ac:dyDescent="0.25">
      <c r="B247" s="168"/>
      <c r="C247" s="108"/>
      <c r="D247" s="122"/>
      <c r="E247" s="110"/>
      <c r="F247" s="280" t="s">
        <v>736</v>
      </c>
      <c r="G247" s="1134" t="str">
        <f>+'Prog 03'!G47</f>
        <v>IRAL Inversión Regional de Asignación Local (PMB)</v>
      </c>
      <c r="H247" s="166">
        <f>+'Prog 03'!H47</f>
        <v>21256852</v>
      </c>
      <c r="I247" s="111">
        <f>+'Prog 03'!I47</f>
        <v>21256852</v>
      </c>
      <c r="J247" s="111">
        <f ca="1">+'Prog 03'!J47</f>
        <v>0</v>
      </c>
      <c r="K247" s="260">
        <f t="shared" ca="1" si="53"/>
        <v>0</v>
      </c>
      <c r="L247" s="111">
        <f>+'Prog 03'!L47</f>
        <v>0</v>
      </c>
      <c r="M247" s="260">
        <f t="shared" si="55"/>
        <v>0</v>
      </c>
      <c r="N247" s="111">
        <f>+'Prog 03'!N47</f>
        <v>21256852</v>
      </c>
      <c r="O247" s="165">
        <f t="shared" si="56"/>
        <v>1</v>
      </c>
      <c r="P247" s="167">
        <f>+'Prog 03'!P47</f>
        <v>9627494.2669999991</v>
      </c>
      <c r="Q247" s="111">
        <f>+'Prog 03'!Q47</f>
        <v>1228605.4375639998</v>
      </c>
      <c r="R247" s="165">
        <f t="shared" si="54"/>
        <v>0.12761424764232476</v>
      </c>
      <c r="T247" s="568"/>
      <c r="U247" s="568"/>
      <c r="X247" s="668"/>
      <c r="Y247" s="668"/>
      <c r="Z247" s="668"/>
      <c r="AA247" s="673"/>
    </row>
    <row r="248" spans="2:45" ht="15" hidden="1" customHeight="1" outlineLevel="2" x14ac:dyDescent="0.25">
      <c r="B248" s="168"/>
      <c r="C248" s="108"/>
      <c r="D248" s="122"/>
      <c r="E248" s="110"/>
      <c r="F248" s="280" t="s">
        <v>737</v>
      </c>
      <c r="G248" s="1134" t="str">
        <f>+'Prog 03'!G48</f>
        <v>Obras (PMB)</v>
      </c>
      <c r="H248" s="166">
        <f>+'Prog 03'!H48</f>
        <v>17487115</v>
      </c>
      <c r="I248" s="111">
        <f>+'Prog 03'!I48</f>
        <v>17487115</v>
      </c>
      <c r="J248" s="111">
        <f ca="1">+'Prog 03'!J48</f>
        <v>5327512.2369999997</v>
      </c>
      <c r="K248" s="260">
        <f t="shared" ca="1" si="53"/>
        <v>0.30465358276651122</v>
      </c>
      <c r="L248" s="111">
        <f>+'Prog 03'!L48</f>
        <v>6292093.483</v>
      </c>
      <c r="M248" s="260">
        <f t="shared" si="55"/>
        <v>0.35981312429180001</v>
      </c>
      <c r="N248" s="111">
        <f>+'Prog 03'!N48</f>
        <v>11195021.517000001</v>
      </c>
      <c r="O248" s="165">
        <f t="shared" si="56"/>
        <v>0.6401868757082001</v>
      </c>
      <c r="P248" s="167">
        <f>+'Prog 03'!P48</f>
        <v>11738165.837826999</v>
      </c>
      <c r="Q248" s="111">
        <f>+'Prog 03'!Q48</f>
        <v>3401532.7121000001</v>
      </c>
      <c r="R248" s="165">
        <f t="shared" si="54"/>
        <v>0.2897840053629453</v>
      </c>
      <c r="T248" s="568"/>
      <c r="U248" s="568"/>
      <c r="X248" s="668"/>
      <c r="Y248" s="668"/>
      <c r="Z248" s="668"/>
      <c r="AA248" s="673"/>
    </row>
    <row r="249" spans="2:45" ht="15" hidden="1" customHeight="1" outlineLevel="2" x14ac:dyDescent="0.25">
      <c r="B249" s="168"/>
      <c r="C249" s="108"/>
      <c r="D249" s="118" t="s">
        <v>173</v>
      </c>
      <c r="E249" s="110"/>
      <c r="F249" s="112" t="str">
        <f>+CONCATENATE($B$210,"",$C$235,"",D249,"",E249)</f>
        <v>33.03.010</v>
      </c>
      <c r="G249" s="1134" t="s">
        <v>769</v>
      </c>
      <c r="H249" s="166">
        <v>0</v>
      </c>
      <c r="I249" s="111">
        <v>0</v>
      </c>
      <c r="J249" s="111">
        <v>0</v>
      </c>
      <c r="K249" s="260" t="str">
        <f t="shared" si="53"/>
        <v>0.00%</v>
      </c>
      <c r="L249" s="111">
        <v>0</v>
      </c>
      <c r="M249" s="260">
        <f t="shared" si="55"/>
        <v>0</v>
      </c>
      <c r="N249" s="111">
        <v>0</v>
      </c>
      <c r="O249" s="165">
        <f t="shared" si="56"/>
        <v>0</v>
      </c>
      <c r="P249" s="166">
        <v>0</v>
      </c>
      <c r="Q249" s="111">
        <v>0</v>
      </c>
      <c r="R249" s="165" t="str">
        <f t="shared" si="54"/>
        <v>0.00%</v>
      </c>
      <c r="T249" s="568"/>
      <c r="U249" s="568"/>
      <c r="X249" s="668"/>
      <c r="Y249" s="668"/>
      <c r="Z249" s="668"/>
      <c r="AA249" s="673"/>
    </row>
    <row r="250" spans="2:45" ht="15" hidden="1" customHeight="1" outlineLevel="2" x14ac:dyDescent="0.25">
      <c r="B250" s="168"/>
      <c r="C250" s="108"/>
      <c r="D250" s="118" t="s">
        <v>193</v>
      </c>
      <c r="E250" s="110"/>
      <c r="F250" s="112" t="str">
        <f>+CONCATENATE($B$210,"",$C$235,"",D250,"",E250)</f>
        <v>33.03.017</v>
      </c>
      <c r="G250" s="1134" t="s">
        <v>551</v>
      </c>
      <c r="H250" s="166">
        <f>+'Prog 05'!H61</f>
        <v>0</v>
      </c>
      <c r="I250" s="111">
        <f>+'Prog 05'!I61</f>
        <v>0</v>
      </c>
      <c r="J250" s="111">
        <f>+'Prog 05'!J61</f>
        <v>0</v>
      </c>
      <c r="K250" s="260" t="str">
        <f t="shared" si="53"/>
        <v>0.00%</v>
      </c>
      <c r="L250" s="111">
        <f>+'Prog 05'!L61</f>
        <v>0</v>
      </c>
      <c r="M250" s="260">
        <f t="shared" si="55"/>
        <v>0</v>
      </c>
      <c r="N250" s="111">
        <f>+'Prog 05'!N61</f>
        <v>0</v>
      </c>
      <c r="O250" s="165">
        <f t="shared" si="56"/>
        <v>0</v>
      </c>
      <c r="P250" s="166">
        <f>+'Prog 05'!P61</f>
        <v>0</v>
      </c>
      <c r="Q250" s="111">
        <f ca="1">+'Prog 05'!Q61</f>
        <v>0</v>
      </c>
      <c r="R250" s="165" t="str">
        <f t="shared" ca="1" si="54"/>
        <v>0.00%</v>
      </c>
      <c r="T250" s="568"/>
      <c r="U250" s="568"/>
      <c r="X250" s="668"/>
      <c r="Y250" s="668"/>
      <c r="Z250" s="668"/>
      <c r="AA250" s="673"/>
    </row>
    <row r="251" spans="2:45" ht="15" hidden="1" customHeight="1" outlineLevel="2" x14ac:dyDescent="0.25">
      <c r="B251" s="168"/>
      <c r="C251" s="108"/>
      <c r="D251" s="118" t="s">
        <v>691</v>
      </c>
      <c r="E251" s="110"/>
      <c r="F251" s="112" t="str">
        <f>+CONCATENATE($B$210,"",$C$235,"",D251,"",E251)</f>
        <v>33.03.020</v>
      </c>
      <c r="G251" s="1134" t="s">
        <v>770</v>
      </c>
      <c r="H251" s="166">
        <v>0</v>
      </c>
      <c r="I251" s="111">
        <v>0</v>
      </c>
      <c r="J251" s="111">
        <v>0</v>
      </c>
      <c r="K251" s="260" t="str">
        <f t="shared" si="53"/>
        <v>0.00%</v>
      </c>
      <c r="L251" s="111">
        <v>0</v>
      </c>
      <c r="M251" s="260">
        <f t="shared" si="55"/>
        <v>0</v>
      </c>
      <c r="N251" s="111">
        <v>0</v>
      </c>
      <c r="O251" s="165">
        <f t="shared" si="56"/>
        <v>0</v>
      </c>
      <c r="P251" s="166">
        <v>0</v>
      </c>
      <c r="Q251" s="111">
        <v>0</v>
      </c>
      <c r="R251" s="165" t="str">
        <f t="shared" si="54"/>
        <v>0.00%</v>
      </c>
      <c r="T251" s="568"/>
      <c r="U251" s="568"/>
      <c r="X251" s="668"/>
      <c r="Y251" s="668"/>
      <c r="Z251" s="668"/>
      <c r="AA251" s="673"/>
    </row>
    <row r="252" spans="2:45" ht="15" hidden="1" customHeight="1" outlineLevel="2" x14ac:dyDescent="0.25">
      <c r="B252" s="168"/>
      <c r="C252" s="108"/>
      <c r="D252" s="118" t="s">
        <v>194</v>
      </c>
      <c r="E252" s="110"/>
      <c r="F252" s="112" t="str">
        <f>+CONCATENATE($B$210,"",$C$235,"",D252,"",E252)</f>
        <v>33.03.021</v>
      </c>
      <c r="G252" s="1134" t="s">
        <v>549</v>
      </c>
      <c r="H252" s="166">
        <f>+'Prog 05'!H62</f>
        <v>0</v>
      </c>
      <c r="I252" s="111">
        <f>+'Prog 05'!I62</f>
        <v>0</v>
      </c>
      <c r="J252" s="111">
        <f>+'Prog 05'!J62</f>
        <v>0</v>
      </c>
      <c r="K252" s="260" t="str">
        <f t="shared" si="53"/>
        <v>0.00%</v>
      </c>
      <c r="L252" s="111">
        <f>+'Prog 05'!L62</f>
        <v>0</v>
      </c>
      <c r="M252" s="260">
        <f t="shared" si="55"/>
        <v>0</v>
      </c>
      <c r="N252" s="111">
        <f>+'Prog 05'!N62</f>
        <v>0</v>
      </c>
      <c r="O252" s="165">
        <f t="shared" si="56"/>
        <v>0</v>
      </c>
      <c r="P252" s="166">
        <f>+'Prog 05'!P62</f>
        <v>0</v>
      </c>
      <c r="Q252" s="111">
        <f ca="1">+'Prog 05'!Q62</f>
        <v>0</v>
      </c>
      <c r="R252" s="165" t="str">
        <f t="shared" ca="1" si="54"/>
        <v>0.00%</v>
      </c>
      <c r="T252" s="568"/>
      <c r="U252" s="568"/>
      <c r="X252" s="668"/>
      <c r="Y252" s="668"/>
      <c r="Z252" s="668"/>
      <c r="AA252" s="673"/>
    </row>
    <row r="253" spans="2:45" ht="15" hidden="1" customHeight="1" outlineLevel="2" x14ac:dyDescent="0.25">
      <c r="B253" s="168"/>
      <c r="C253" s="108"/>
      <c r="D253" s="118" t="s">
        <v>196</v>
      </c>
      <c r="E253" s="110"/>
      <c r="F253" s="112" t="str">
        <f>+CONCATENATE($B$210,"",$C$235,"",D253,"",E253)</f>
        <v>33.03.025</v>
      </c>
      <c r="G253" s="823" t="s">
        <v>550</v>
      </c>
      <c r="H253" s="341">
        <f>+'Prog 05'!H63</f>
        <v>0</v>
      </c>
      <c r="I253" s="333">
        <f>+'Prog 05'!I63</f>
        <v>0</v>
      </c>
      <c r="J253" s="333">
        <f>+'Prog 05'!J63</f>
        <v>0</v>
      </c>
      <c r="K253" s="260" t="str">
        <f t="shared" si="53"/>
        <v>0.00%</v>
      </c>
      <c r="L253" s="333">
        <f>+'Prog 05'!L63</f>
        <v>0</v>
      </c>
      <c r="M253" s="260">
        <f t="shared" si="55"/>
        <v>0</v>
      </c>
      <c r="N253" s="333">
        <f>+'Prog 05'!N63</f>
        <v>0</v>
      </c>
      <c r="O253" s="165">
        <f t="shared" si="56"/>
        <v>0</v>
      </c>
      <c r="P253" s="341">
        <f>+'Prog 05'!P63</f>
        <v>0</v>
      </c>
      <c r="Q253" s="333">
        <f ca="1">+'Prog 05'!Q63</f>
        <v>0</v>
      </c>
      <c r="R253" s="165" t="str">
        <f t="shared" ca="1" si="54"/>
        <v>0.00%</v>
      </c>
      <c r="T253" s="568"/>
      <c r="U253" s="568"/>
      <c r="X253" s="668"/>
      <c r="Y253" s="668"/>
      <c r="Z253" s="668"/>
      <c r="AA253" s="673"/>
    </row>
    <row r="254" spans="2:45" ht="15" hidden="1" customHeight="1" outlineLevel="2" x14ac:dyDescent="0.25">
      <c r="B254" s="168"/>
      <c r="C254" s="108"/>
      <c r="D254" s="122" t="s">
        <v>985</v>
      </c>
      <c r="E254" s="110"/>
      <c r="F254" s="280" t="s">
        <v>686</v>
      </c>
      <c r="G254" s="1134" t="str">
        <f>+'Prog 03'!G49</f>
        <v>Fondo Recuperación de  (FRC)</v>
      </c>
      <c r="H254" s="166">
        <f>+'Prog 03'!H49</f>
        <v>14656065</v>
      </c>
      <c r="I254" s="111">
        <f>+'Prog 03'!I49</f>
        <v>14616065</v>
      </c>
      <c r="J254" s="111">
        <f ca="1">+'Prog 03'!J49</f>
        <v>0</v>
      </c>
      <c r="K254" s="260">
        <f t="shared" ca="1" si="53"/>
        <v>0</v>
      </c>
      <c r="L254" s="111">
        <f>+'Prog 03'!L49</f>
        <v>93732</v>
      </c>
      <c r="M254" s="260">
        <f t="shared" si="55"/>
        <v>6.4129435658639997E-3</v>
      </c>
      <c r="N254" s="111">
        <f>+'Prog 03'!N49</f>
        <v>14522333</v>
      </c>
      <c r="O254" s="165">
        <f t="shared" si="56"/>
        <v>0.99358705643413603</v>
      </c>
      <c r="P254" s="167">
        <f>+'Prog 03'!P49</f>
        <v>14656064.664999999</v>
      </c>
      <c r="Q254" s="111">
        <f>+'Prog 03'!Q49</f>
        <v>0</v>
      </c>
      <c r="R254" s="165">
        <f t="shared" si="54"/>
        <v>0</v>
      </c>
      <c r="T254" s="568"/>
      <c r="U254" s="568"/>
      <c r="X254" s="668"/>
      <c r="Y254" s="668"/>
      <c r="Z254" s="668"/>
      <c r="AA254" s="673"/>
    </row>
    <row r="255" spans="2:45" ht="15" hidden="1" customHeight="1" outlineLevel="2" x14ac:dyDescent="0.25">
      <c r="B255" s="168"/>
      <c r="C255" s="108"/>
      <c r="D255" s="118" t="s">
        <v>189</v>
      </c>
      <c r="E255" s="110"/>
      <c r="F255" s="112" t="str">
        <f t="shared" ref="F255:F273" si="60">+CONCATENATE($B$210,"",$C$235,"",D255,"",E255)</f>
        <v>33.03.110</v>
      </c>
      <c r="G255" s="1134" t="s">
        <v>641</v>
      </c>
      <c r="H255" s="166">
        <f>+'Prog 03'!H50</f>
        <v>16934493</v>
      </c>
      <c r="I255" s="111">
        <f>+'Prog 03'!I50</f>
        <v>16934493</v>
      </c>
      <c r="J255" s="111">
        <f ca="1">+'Prog 03'!J50</f>
        <v>0</v>
      </c>
      <c r="K255" s="260">
        <f t="shared" ca="1" si="53"/>
        <v>0</v>
      </c>
      <c r="L255" s="111">
        <f>+'Prog 03'!L50</f>
        <v>0</v>
      </c>
      <c r="M255" s="260">
        <f t="shared" si="55"/>
        <v>0</v>
      </c>
      <c r="N255" s="111">
        <f>+'Prog 03'!N50</f>
        <v>16934493</v>
      </c>
      <c r="O255" s="165">
        <f t="shared" si="56"/>
        <v>1</v>
      </c>
      <c r="P255" s="166">
        <f>+'Prog 03'!P50</f>
        <v>16934492.487</v>
      </c>
      <c r="Q255" s="111">
        <f>+'Prog 03'!Q50</f>
        <v>0</v>
      </c>
      <c r="R255" s="165">
        <f t="shared" si="54"/>
        <v>0</v>
      </c>
      <c r="T255" s="568"/>
      <c r="U255" s="568"/>
      <c r="X255" s="668"/>
      <c r="Y255" s="668"/>
      <c r="Z255" s="668"/>
      <c r="AA255" s="673"/>
    </row>
    <row r="256" spans="2:45" ht="15" hidden="1" customHeight="1" outlineLevel="2" x14ac:dyDescent="0.25">
      <c r="B256" s="168"/>
      <c r="C256" s="108"/>
      <c r="D256" s="122" t="s">
        <v>190</v>
      </c>
      <c r="E256" s="110"/>
      <c r="F256" s="112" t="str">
        <f t="shared" si="60"/>
        <v>33.03.111</v>
      </c>
      <c r="G256" s="1134" t="s">
        <v>642</v>
      </c>
      <c r="H256" s="166">
        <f>+'Prog 03'!H51</f>
        <v>8635311</v>
      </c>
      <c r="I256" s="111">
        <f>+'Prog 03'!I51</f>
        <v>8635311</v>
      </c>
      <c r="J256" s="111">
        <f ca="1">+'Prog 03'!J51</f>
        <v>1167961.5759999999</v>
      </c>
      <c r="K256" s="260">
        <f t="shared" ca="1" si="53"/>
        <v>0.13525414151267973</v>
      </c>
      <c r="L256" s="111">
        <f>+'Prog 03'!L51</f>
        <v>1167961.5759999999</v>
      </c>
      <c r="M256" s="260">
        <f t="shared" si="55"/>
        <v>0.13525414151267973</v>
      </c>
      <c r="N256" s="111">
        <f>+'Prog 03'!N51</f>
        <v>7467349.4240000006</v>
      </c>
      <c r="O256" s="165">
        <f t="shared" si="56"/>
        <v>0.86474585848732033</v>
      </c>
      <c r="P256" s="166">
        <f>+'Prog 03'!P51</f>
        <v>8847327.7399999984</v>
      </c>
      <c r="Q256" s="111">
        <f>+'Prog 03'!Q51</f>
        <v>507462.13013199996</v>
      </c>
      <c r="R256" s="165">
        <f t="shared" si="54"/>
        <v>5.7357672852752263E-2</v>
      </c>
      <c r="T256" s="568"/>
      <c r="U256" s="568"/>
      <c r="X256" s="668"/>
      <c r="Y256" s="668"/>
      <c r="Z256" s="668"/>
      <c r="AA256" s="673"/>
    </row>
    <row r="257" spans="2:27" ht="15" hidden="1" customHeight="1" outlineLevel="2" x14ac:dyDescent="0.25">
      <c r="B257" s="168"/>
      <c r="C257" s="108"/>
      <c r="D257" s="122" t="s">
        <v>197</v>
      </c>
      <c r="E257" s="110"/>
      <c r="F257" s="112" t="str">
        <f t="shared" si="60"/>
        <v>33.03.130</v>
      </c>
      <c r="G257" s="1134" t="s">
        <v>250</v>
      </c>
      <c r="H257" s="166">
        <f>+'Prog 05'!H64</f>
        <v>0</v>
      </c>
      <c r="I257" s="111">
        <f>+'Prog 05'!I64</f>
        <v>0</v>
      </c>
      <c r="J257" s="111">
        <f>+'Prog 05'!J64</f>
        <v>0</v>
      </c>
      <c r="K257" s="260" t="str">
        <f t="shared" si="53"/>
        <v>0.00%</v>
      </c>
      <c r="L257" s="111">
        <f>+'Prog 05'!L64</f>
        <v>0</v>
      </c>
      <c r="M257" s="260">
        <f t="shared" si="55"/>
        <v>0</v>
      </c>
      <c r="N257" s="111">
        <f>+'Prog 05'!N64</f>
        <v>0</v>
      </c>
      <c r="O257" s="165">
        <f t="shared" si="56"/>
        <v>0</v>
      </c>
      <c r="P257" s="166">
        <f>+'Prog 05'!P64</f>
        <v>0</v>
      </c>
      <c r="Q257" s="111">
        <f ca="1">+'Prog 05'!Q64</f>
        <v>0</v>
      </c>
      <c r="R257" s="165" t="str">
        <f t="shared" ca="1" si="54"/>
        <v>0.00%</v>
      </c>
      <c r="T257" s="568"/>
      <c r="U257" s="568"/>
      <c r="X257" s="668"/>
      <c r="Y257" s="668"/>
      <c r="Z257" s="668"/>
      <c r="AA257" s="673"/>
    </row>
    <row r="258" spans="2:27" ht="15" hidden="1" customHeight="1" outlineLevel="2" x14ac:dyDescent="0.25">
      <c r="B258" s="168"/>
      <c r="C258" s="108"/>
      <c r="D258" s="122" t="s">
        <v>198</v>
      </c>
      <c r="E258" s="110"/>
      <c r="F258" s="112" t="str">
        <f t="shared" si="60"/>
        <v>33.03.190</v>
      </c>
      <c r="G258" s="1134" t="s">
        <v>251</v>
      </c>
      <c r="H258" s="166">
        <f>+'Prog 05'!H65</f>
        <v>0</v>
      </c>
      <c r="I258" s="111">
        <f>+'Prog 05'!I65</f>
        <v>0</v>
      </c>
      <c r="J258" s="111">
        <f>+'Prog 05'!J65</f>
        <v>0</v>
      </c>
      <c r="K258" s="260" t="str">
        <f t="shared" si="53"/>
        <v>0.00%</v>
      </c>
      <c r="L258" s="111">
        <f>+'Prog 05'!L65</f>
        <v>0</v>
      </c>
      <c r="M258" s="260">
        <f t="shared" si="55"/>
        <v>0</v>
      </c>
      <c r="N258" s="111">
        <f>+'Prog 05'!N65</f>
        <v>0</v>
      </c>
      <c r="O258" s="165">
        <f t="shared" si="56"/>
        <v>0</v>
      </c>
      <c r="P258" s="166">
        <f>+'Prog 05'!P65</f>
        <v>0</v>
      </c>
      <c r="Q258" s="111">
        <f ca="1">+'Prog 05'!Q65</f>
        <v>0</v>
      </c>
      <c r="R258" s="165" t="str">
        <f t="shared" ca="1" si="54"/>
        <v>0.00%</v>
      </c>
      <c r="T258" s="568"/>
      <c r="U258" s="568"/>
      <c r="X258" s="668"/>
      <c r="Y258" s="668"/>
      <c r="Z258" s="668"/>
      <c r="AA258" s="673"/>
    </row>
    <row r="259" spans="2:27" ht="15" hidden="1" customHeight="1" outlineLevel="2" x14ac:dyDescent="0.25">
      <c r="B259" s="168"/>
      <c r="C259" s="108"/>
      <c r="D259" s="118" t="s">
        <v>199</v>
      </c>
      <c r="E259" s="110"/>
      <c r="F259" s="112" t="str">
        <f t="shared" si="60"/>
        <v>33.03.418</v>
      </c>
      <c r="G259" s="1134" t="s">
        <v>648</v>
      </c>
      <c r="H259" s="166">
        <f>+'Prog 05'!H66</f>
        <v>0</v>
      </c>
      <c r="I259" s="111">
        <f>+'Prog 05'!I66</f>
        <v>0</v>
      </c>
      <c r="J259" s="111">
        <f>+'Prog 05'!J66</f>
        <v>0</v>
      </c>
      <c r="K259" s="260" t="str">
        <f t="shared" si="53"/>
        <v>0.00%</v>
      </c>
      <c r="L259" s="111">
        <f>+'Prog 05'!L66</f>
        <v>0</v>
      </c>
      <c r="M259" s="260">
        <f t="shared" si="55"/>
        <v>0</v>
      </c>
      <c r="N259" s="111">
        <f>+'Prog 05'!N66</f>
        <v>0</v>
      </c>
      <c r="O259" s="165">
        <f t="shared" si="56"/>
        <v>0</v>
      </c>
      <c r="P259" s="166">
        <f>+'Prog 05'!P66</f>
        <v>0</v>
      </c>
      <c r="Q259" s="111">
        <f ca="1">+'Prog 05'!Q66</f>
        <v>0</v>
      </c>
      <c r="R259" s="165" t="str">
        <f t="shared" ca="1" si="54"/>
        <v>0.00%</v>
      </c>
      <c r="T259" s="568"/>
      <c r="U259" s="568"/>
      <c r="X259" s="668"/>
      <c r="Y259" s="668"/>
      <c r="Z259" s="668"/>
      <c r="AA259" s="673"/>
    </row>
    <row r="260" spans="2:27" ht="15" hidden="1" customHeight="1" outlineLevel="2" x14ac:dyDescent="0.25">
      <c r="B260" s="168"/>
      <c r="C260" s="108"/>
      <c r="D260" s="118" t="s">
        <v>200</v>
      </c>
      <c r="E260" s="110"/>
      <c r="F260" s="112" t="str">
        <f t="shared" si="60"/>
        <v>33.03.421</v>
      </c>
      <c r="G260" s="1134" t="s">
        <v>122</v>
      </c>
      <c r="H260" s="166">
        <f>+'Prog 05'!H67</f>
        <v>0</v>
      </c>
      <c r="I260" s="111">
        <f>+'Prog 05'!I67</f>
        <v>0</v>
      </c>
      <c r="J260" s="111">
        <f>+'Prog 05'!J67</f>
        <v>0</v>
      </c>
      <c r="K260" s="260" t="str">
        <f t="shared" si="53"/>
        <v>0.00%</v>
      </c>
      <c r="L260" s="111">
        <f>+'Prog 05'!L67</f>
        <v>0</v>
      </c>
      <c r="M260" s="260">
        <f t="shared" si="55"/>
        <v>0</v>
      </c>
      <c r="N260" s="111">
        <f>+'Prog 05'!N67</f>
        <v>0</v>
      </c>
      <c r="O260" s="165">
        <f t="shared" si="56"/>
        <v>0</v>
      </c>
      <c r="P260" s="166">
        <f>+'Prog 05'!P67</f>
        <v>0</v>
      </c>
      <c r="Q260" s="111">
        <f ca="1">+'Prog 05'!Q67</f>
        <v>0</v>
      </c>
      <c r="R260" s="165" t="str">
        <f t="shared" ca="1" si="54"/>
        <v>0.00%</v>
      </c>
      <c r="T260" s="568"/>
      <c r="U260" s="568"/>
      <c r="X260" s="668"/>
      <c r="Y260" s="668"/>
      <c r="Z260" s="668"/>
      <c r="AA260" s="673"/>
    </row>
    <row r="261" spans="2:27" ht="15" hidden="1" customHeight="1" outlineLevel="2" x14ac:dyDescent="0.25">
      <c r="B261" s="168"/>
      <c r="C261" s="108"/>
      <c r="D261" s="118" t="s">
        <v>201</v>
      </c>
      <c r="E261" s="110"/>
      <c r="F261" s="112" t="str">
        <f t="shared" si="60"/>
        <v>33.03.426</v>
      </c>
      <c r="G261" s="1134" t="s">
        <v>123</v>
      </c>
      <c r="H261" s="166">
        <f>+'Prog 05'!H68</f>
        <v>0</v>
      </c>
      <c r="I261" s="111">
        <f>+'Prog 05'!I68</f>
        <v>0</v>
      </c>
      <c r="J261" s="111">
        <f>+'Prog 05'!J68</f>
        <v>0</v>
      </c>
      <c r="K261" s="260" t="str">
        <f t="shared" si="53"/>
        <v>0.00%</v>
      </c>
      <c r="L261" s="111">
        <f>+'Prog 05'!L68</f>
        <v>0</v>
      </c>
      <c r="M261" s="260">
        <f t="shared" si="55"/>
        <v>0</v>
      </c>
      <c r="N261" s="111">
        <f>+'Prog 05'!N68</f>
        <v>0</v>
      </c>
      <c r="O261" s="165">
        <f t="shared" si="56"/>
        <v>0</v>
      </c>
      <c r="P261" s="166">
        <f>+'Prog 05'!P68</f>
        <v>0</v>
      </c>
      <c r="Q261" s="111">
        <f ca="1">+'Prog 05'!Q68</f>
        <v>0</v>
      </c>
      <c r="R261" s="165" t="str">
        <f t="shared" ca="1" si="54"/>
        <v>0.00%</v>
      </c>
      <c r="T261" s="568"/>
      <c r="U261" s="568"/>
      <c r="X261" s="668"/>
      <c r="Y261" s="668"/>
      <c r="Z261" s="668"/>
      <c r="AA261" s="673"/>
    </row>
    <row r="262" spans="2:27" s="159" customFormat="1" ht="15" hidden="1" customHeight="1" outlineLevel="2" x14ac:dyDescent="0.25">
      <c r="B262" s="168"/>
      <c r="C262" s="108"/>
      <c r="D262" s="118" t="s">
        <v>259</v>
      </c>
      <c r="E262" s="110"/>
      <c r="F262" s="112" t="str">
        <f t="shared" si="60"/>
        <v>33.03.427</v>
      </c>
      <c r="G262" s="1134" t="s">
        <v>270</v>
      </c>
      <c r="H262" s="166">
        <v>0</v>
      </c>
      <c r="I262" s="111">
        <v>0</v>
      </c>
      <c r="J262" s="111">
        <v>0</v>
      </c>
      <c r="K262" s="260" t="str">
        <f t="shared" si="53"/>
        <v>0.00%</v>
      </c>
      <c r="L262" s="111">
        <v>0</v>
      </c>
      <c r="M262" s="260">
        <f t="shared" si="55"/>
        <v>0</v>
      </c>
      <c r="N262" s="111">
        <v>0</v>
      </c>
      <c r="O262" s="165">
        <f t="shared" si="56"/>
        <v>0</v>
      </c>
      <c r="P262" s="166">
        <v>0</v>
      </c>
      <c r="Q262" s="111">
        <v>0</v>
      </c>
      <c r="R262" s="165" t="str">
        <f t="shared" si="54"/>
        <v>0.00%</v>
      </c>
      <c r="S262" s="157"/>
      <c r="T262" s="568"/>
      <c r="U262" s="568"/>
      <c r="V262" s="670"/>
      <c r="W262" s="670"/>
      <c r="X262" s="668"/>
      <c r="Y262" s="668"/>
      <c r="Z262" s="668"/>
      <c r="AA262" s="673"/>
    </row>
    <row r="263" spans="2:27" ht="15" hidden="1" customHeight="1" outlineLevel="2" x14ac:dyDescent="0.25">
      <c r="B263" s="168"/>
      <c r="C263" s="108"/>
      <c r="D263" s="118" t="s">
        <v>260</v>
      </c>
      <c r="E263" s="110"/>
      <c r="F263" s="112" t="str">
        <f t="shared" si="60"/>
        <v>33.03.428</v>
      </c>
      <c r="G263" s="1134" t="s">
        <v>271</v>
      </c>
      <c r="H263" s="166">
        <v>0</v>
      </c>
      <c r="I263" s="111">
        <v>0</v>
      </c>
      <c r="J263" s="111">
        <v>0</v>
      </c>
      <c r="K263" s="260" t="str">
        <f t="shared" si="53"/>
        <v>0.00%</v>
      </c>
      <c r="L263" s="111">
        <v>0</v>
      </c>
      <c r="M263" s="260">
        <f t="shared" si="55"/>
        <v>0</v>
      </c>
      <c r="N263" s="111">
        <v>0</v>
      </c>
      <c r="O263" s="165">
        <f t="shared" si="56"/>
        <v>0</v>
      </c>
      <c r="P263" s="166">
        <v>0</v>
      </c>
      <c r="Q263" s="111">
        <v>0</v>
      </c>
      <c r="R263" s="165" t="str">
        <f t="shared" si="54"/>
        <v>0.00%</v>
      </c>
      <c r="T263" s="568"/>
      <c r="U263" s="568"/>
      <c r="X263" s="668"/>
      <c r="Y263" s="668"/>
      <c r="Z263" s="668"/>
      <c r="AA263" s="673"/>
    </row>
    <row r="264" spans="2:27" ht="15" hidden="1" customHeight="1" outlineLevel="2" x14ac:dyDescent="0.25">
      <c r="B264" s="168"/>
      <c r="C264" s="108"/>
      <c r="D264" s="118" t="s">
        <v>202</v>
      </c>
      <c r="E264" s="110"/>
      <c r="F264" s="112" t="str">
        <f t="shared" si="60"/>
        <v>33.03.429</v>
      </c>
      <c r="G264" s="1134" t="s">
        <v>637</v>
      </c>
      <c r="H264" s="166">
        <v>0</v>
      </c>
      <c r="I264" s="111">
        <v>0</v>
      </c>
      <c r="J264" s="111">
        <v>0</v>
      </c>
      <c r="K264" s="260" t="str">
        <f t="shared" si="53"/>
        <v>0.00%</v>
      </c>
      <c r="L264" s="111">
        <v>0</v>
      </c>
      <c r="M264" s="260">
        <f t="shared" si="55"/>
        <v>0</v>
      </c>
      <c r="N264" s="111">
        <v>0</v>
      </c>
      <c r="O264" s="165">
        <f t="shared" si="56"/>
        <v>0</v>
      </c>
      <c r="P264" s="166">
        <v>0</v>
      </c>
      <c r="Q264" s="111">
        <v>0</v>
      </c>
      <c r="R264" s="165" t="str">
        <f t="shared" si="54"/>
        <v>0.00%</v>
      </c>
      <c r="T264" s="568"/>
      <c r="U264" s="568"/>
      <c r="X264" s="668"/>
      <c r="Y264" s="668"/>
      <c r="Z264" s="668"/>
      <c r="AA264" s="673"/>
    </row>
    <row r="265" spans="2:27" ht="15" hidden="1" customHeight="1" outlineLevel="2" x14ac:dyDescent="0.25">
      <c r="B265" s="168"/>
      <c r="C265" s="108"/>
      <c r="D265" s="118" t="s">
        <v>626</v>
      </c>
      <c r="E265" s="110"/>
      <c r="F265" s="112" t="str">
        <f t="shared" si="60"/>
        <v>33.03.431</v>
      </c>
      <c r="G265" s="1134" t="s">
        <v>649</v>
      </c>
      <c r="H265" s="166">
        <v>0</v>
      </c>
      <c r="I265" s="111">
        <v>0</v>
      </c>
      <c r="J265" s="111">
        <v>0</v>
      </c>
      <c r="K265" s="260" t="str">
        <f t="shared" si="53"/>
        <v>0.00%</v>
      </c>
      <c r="L265" s="111">
        <v>0</v>
      </c>
      <c r="M265" s="260">
        <f t="shared" si="55"/>
        <v>0</v>
      </c>
      <c r="N265" s="111">
        <v>0</v>
      </c>
      <c r="O265" s="165">
        <f t="shared" si="56"/>
        <v>0</v>
      </c>
      <c r="P265" s="166">
        <v>0</v>
      </c>
      <c r="Q265" s="111">
        <v>0</v>
      </c>
      <c r="R265" s="165" t="str">
        <f t="shared" si="54"/>
        <v>0.00%</v>
      </c>
      <c r="T265" s="568"/>
      <c r="U265" s="568"/>
      <c r="X265" s="668"/>
      <c r="Y265" s="668"/>
      <c r="Z265" s="668"/>
      <c r="AA265" s="673"/>
    </row>
    <row r="266" spans="2:27" ht="15" hidden="1" customHeight="1" outlineLevel="2" x14ac:dyDescent="0.25">
      <c r="B266" s="168"/>
      <c r="C266" s="108"/>
      <c r="D266" s="118" t="s">
        <v>714</v>
      </c>
      <c r="E266" s="110"/>
      <c r="F266" s="112" t="str">
        <f t="shared" si="60"/>
        <v>33.03.432</v>
      </c>
      <c r="G266" s="1134" t="s">
        <v>713</v>
      </c>
      <c r="H266" s="166">
        <f>+'Prog 05'!H60</f>
        <v>36987209</v>
      </c>
      <c r="I266" s="111">
        <f>+'Prog 05'!I60</f>
        <v>18978292</v>
      </c>
      <c r="J266" s="111">
        <f ca="1">+'Prog 05'!J60</f>
        <v>0</v>
      </c>
      <c r="K266" s="260">
        <f t="shared" ca="1" si="53"/>
        <v>0</v>
      </c>
      <c r="L266" s="111">
        <f>+'Prog 05'!L60</f>
        <v>0</v>
      </c>
      <c r="M266" s="260">
        <f t="shared" si="55"/>
        <v>0</v>
      </c>
      <c r="N266" s="111">
        <f>+'Prog 05'!N60</f>
        <v>18978292</v>
      </c>
      <c r="O266" s="165">
        <f t="shared" si="56"/>
        <v>1</v>
      </c>
      <c r="P266" s="166">
        <f>+'Prog 05'!P60</f>
        <v>33946091.805</v>
      </c>
      <c r="Q266" s="111">
        <v>0</v>
      </c>
      <c r="R266" s="165">
        <f t="shared" si="54"/>
        <v>0</v>
      </c>
      <c r="T266" s="568"/>
      <c r="U266" s="568"/>
      <c r="X266" s="668"/>
      <c r="Y266" s="668"/>
      <c r="Z266" s="668"/>
      <c r="AA266" s="673"/>
    </row>
    <row r="267" spans="2:27" ht="15" hidden="1" customHeight="1" outlineLevel="2" x14ac:dyDescent="0.25">
      <c r="B267" s="168"/>
      <c r="C267" s="108"/>
      <c r="D267" s="118" t="s">
        <v>711</v>
      </c>
      <c r="E267" s="110"/>
      <c r="F267" s="112" t="str">
        <f t="shared" si="60"/>
        <v>33.03.433</v>
      </c>
      <c r="G267" s="823" t="s">
        <v>710</v>
      </c>
      <c r="H267" s="341">
        <v>0</v>
      </c>
      <c r="I267" s="333">
        <v>0</v>
      </c>
      <c r="J267" s="111">
        <v>0</v>
      </c>
      <c r="K267" s="260" t="str">
        <f t="shared" si="53"/>
        <v>0.00%</v>
      </c>
      <c r="L267" s="111">
        <v>0</v>
      </c>
      <c r="M267" s="260">
        <f t="shared" si="55"/>
        <v>0</v>
      </c>
      <c r="N267" s="111">
        <v>0</v>
      </c>
      <c r="O267" s="165">
        <f t="shared" si="56"/>
        <v>0</v>
      </c>
      <c r="P267" s="166">
        <v>0</v>
      </c>
      <c r="Q267" s="111">
        <v>0</v>
      </c>
      <c r="R267" s="165" t="str">
        <f t="shared" si="54"/>
        <v>0.00%</v>
      </c>
      <c r="T267" s="568"/>
      <c r="U267" s="568"/>
      <c r="X267" s="668"/>
      <c r="Y267" s="668"/>
      <c r="Z267" s="668"/>
      <c r="AA267" s="673"/>
    </row>
    <row r="268" spans="2:27" ht="15" hidden="1" customHeight="1" outlineLevel="2" x14ac:dyDescent="0.25">
      <c r="B268" s="168"/>
      <c r="C268" s="108"/>
      <c r="D268" s="118" t="s">
        <v>325</v>
      </c>
      <c r="E268" s="110"/>
      <c r="F268" s="112" t="str">
        <f t="shared" si="60"/>
        <v>33.03.602</v>
      </c>
      <c r="G268" s="1134" t="s">
        <v>335</v>
      </c>
      <c r="H268" s="166">
        <f>+SUM(H269:H273)</f>
        <v>1184225</v>
      </c>
      <c r="I268" s="111">
        <f t="shared" ref="I268:N268" si="61">+SUM(I269:I273)</f>
        <v>1184225</v>
      </c>
      <c r="J268" s="111">
        <f ca="1">+SUM(J269:J273)</f>
        <v>68269.824999999997</v>
      </c>
      <c r="K268" s="260">
        <f t="shared" ca="1" si="53"/>
        <v>5.7649369841035275E-2</v>
      </c>
      <c r="L268" s="111">
        <f>+SUM(L269:L273)</f>
        <v>180643.03</v>
      </c>
      <c r="M268" s="260">
        <f t="shared" si="55"/>
        <v>0.15254113871941566</v>
      </c>
      <c r="N268" s="111">
        <f t="shared" si="61"/>
        <v>1003581.97</v>
      </c>
      <c r="O268" s="165">
        <f t="shared" si="56"/>
        <v>0.84745886128058434</v>
      </c>
      <c r="P268" s="166">
        <f>+SUM(P269:P273)</f>
        <v>1237260.7790000001</v>
      </c>
      <c r="Q268" s="111">
        <f>+SUM(Q269:Q273)</f>
        <v>74492.388877999998</v>
      </c>
      <c r="R268" s="165">
        <f t="shared" si="54"/>
        <v>6.0207508507792107E-2</v>
      </c>
      <c r="T268" s="568"/>
      <c r="U268" s="568"/>
      <c r="X268" s="668"/>
      <c r="Y268" s="668"/>
      <c r="Z268" s="668"/>
      <c r="AA268" s="673"/>
    </row>
    <row r="269" spans="2:27" ht="15" hidden="1" customHeight="1" outlineLevel="2" x14ac:dyDescent="0.25">
      <c r="B269" s="168"/>
      <c r="C269" s="108"/>
      <c r="D269" s="118" t="s">
        <v>169</v>
      </c>
      <c r="E269" s="110"/>
      <c r="F269" s="112" t="str">
        <f t="shared" si="60"/>
        <v>33.03.001</v>
      </c>
      <c r="G269" s="1134" t="s">
        <v>771</v>
      </c>
      <c r="H269" s="166">
        <f>+'Prog 02'!H42</f>
        <v>520000</v>
      </c>
      <c r="I269" s="111">
        <f>+'Prog 02'!I42</f>
        <v>520000</v>
      </c>
      <c r="J269" s="111">
        <f ca="1">+'Prog 02'!J42</f>
        <v>0</v>
      </c>
      <c r="K269" s="260">
        <f t="shared" ca="1" si="53"/>
        <v>0</v>
      </c>
      <c r="L269" s="111">
        <f>+'Prog 02'!L42</f>
        <v>0</v>
      </c>
      <c r="M269" s="260">
        <f t="shared" si="55"/>
        <v>0</v>
      </c>
      <c r="N269" s="111">
        <f>+'Prog 02'!N42</f>
        <v>520000</v>
      </c>
      <c r="O269" s="165">
        <f t="shared" si="56"/>
        <v>1</v>
      </c>
      <c r="P269" s="166">
        <f>+'Prog 02'!P42</f>
        <v>552760</v>
      </c>
      <c r="Q269" s="111">
        <f>+'Prog 02'!Q42</f>
        <v>14882</v>
      </c>
      <c r="R269" s="165">
        <f t="shared" si="54"/>
        <v>2.6923076923076925E-2</v>
      </c>
      <c r="T269" s="568"/>
      <c r="U269" s="568"/>
      <c r="X269" s="668"/>
      <c r="Y269" s="668"/>
      <c r="Z269" s="668"/>
      <c r="AA269" s="673"/>
    </row>
    <row r="270" spans="2:27" ht="15" hidden="1" customHeight="1" outlineLevel="2" x14ac:dyDescent="0.25">
      <c r="B270" s="168"/>
      <c r="C270" s="108"/>
      <c r="D270" s="118" t="s">
        <v>165</v>
      </c>
      <c r="E270" s="110"/>
      <c r="F270" s="112" t="str">
        <f t="shared" si="60"/>
        <v>33.03.002</v>
      </c>
      <c r="G270" s="1134" t="s">
        <v>772</v>
      </c>
      <c r="H270" s="166">
        <f>+'Prog 02'!H43</f>
        <v>300292</v>
      </c>
      <c r="I270" s="111">
        <f>+'Prog 02'!I43</f>
        <v>300292</v>
      </c>
      <c r="J270" s="111">
        <f ca="1">+'Prog 02'!J43</f>
        <v>68269.824999999997</v>
      </c>
      <c r="K270" s="260">
        <f t="shared" ca="1" si="53"/>
        <v>0.2273448010603013</v>
      </c>
      <c r="L270" s="111">
        <f>+'Prog 02'!L43</f>
        <v>173893.03</v>
      </c>
      <c r="M270" s="260">
        <f t="shared" si="55"/>
        <v>0.57907979566555223</v>
      </c>
      <c r="N270" s="111">
        <f>+'Prog 02'!N43</f>
        <v>126398.97</v>
      </c>
      <c r="O270" s="165">
        <f t="shared" si="56"/>
        <v>0.42092020433444782</v>
      </c>
      <c r="P270" s="166">
        <f>+'Prog 02'!P43</f>
        <v>297640</v>
      </c>
      <c r="Q270" s="111">
        <f>+'Prog 02'!Q43</f>
        <v>57786.280878000005</v>
      </c>
      <c r="R270" s="165">
        <f t="shared" si="54"/>
        <v>0.19414823571428574</v>
      </c>
      <c r="T270" s="568"/>
      <c r="U270" s="568"/>
      <c r="X270" s="668"/>
      <c r="Y270" s="668"/>
      <c r="Z270" s="668"/>
      <c r="AA270" s="673"/>
    </row>
    <row r="271" spans="2:27" ht="15" hidden="1" customHeight="1" outlineLevel="2" x14ac:dyDescent="0.25">
      <c r="B271" s="168"/>
      <c r="C271" s="108"/>
      <c r="D271" s="118" t="s">
        <v>166</v>
      </c>
      <c r="E271" s="110"/>
      <c r="F271" s="112" t="str">
        <f t="shared" si="60"/>
        <v>33.03.003</v>
      </c>
      <c r="G271" s="1134" t="s">
        <v>773</v>
      </c>
      <c r="H271" s="166">
        <f>+'Prog 02'!H44</f>
        <v>278933</v>
      </c>
      <c r="I271" s="111">
        <f>+'Prog 02'!I44</f>
        <v>278933</v>
      </c>
      <c r="J271" s="111">
        <f ca="1">+'Prog 02'!J44</f>
        <v>0</v>
      </c>
      <c r="K271" s="260">
        <f t="shared" ref="K271:K279" ca="1" si="62">IFERROR(J271/I271,"0.00%")</f>
        <v>0</v>
      </c>
      <c r="L271" s="111">
        <f>+'Prog 02'!L44</f>
        <v>6750</v>
      </c>
      <c r="M271" s="260">
        <f t="shared" si="55"/>
        <v>2.4199359702867712E-2</v>
      </c>
      <c r="N271" s="111">
        <f>+'Prog 02'!N44</f>
        <v>272183</v>
      </c>
      <c r="O271" s="165">
        <f t="shared" si="56"/>
        <v>0.97580064029713232</v>
      </c>
      <c r="P271" s="166">
        <f>+'Prog 02'!P44</f>
        <v>296505.77899999998</v>
      </c>
      <c r="Q271" s="111">
        <f>+'Prog 02'!Q44</f>
        <v>0</v>
      </c>
      <c r="R271" s="165">
        <f t="shared" ref="R271:R279" si="63">IFERROR(Q271/P271,"0.00%")</f>
        <v>0</v>
      </c>
      <c r="T271" s="568"/>
      <c r="U271" s="568"/>
      <c r="X271" s="668"/>
      <c r="Y271" s="668"/>
      <c r="Z271" s="668"/>
      <c r="AA271" s="673"/>
    </row>
    <row r="272" spans="2:27" ht="15" hidden="1" customHeight="1" outlineLevel="2" x14ac:dyDescent="0.25">
      <c r="B272" s="168"/>
      <c r="C272" s="108"/>
      <c r="D272" s="118" t="s">
        <v>179</v>
      </c>
      <c r="E272" s="110"/>
      <c r="F272" s="112" t="str">
        <f t="shared" si="60"/>
        <v>33.03.004</v>
      </c>
      <c r="G272" s="1134" t="s">
        <v>673</v>
      </c>
      <c r="H272" s="166">
        <f>+'Prog 02'!H45</f>
        <v>35000</v>
      </c>
      <c r="I272" s="111">
        <f>+'Prog 02'!I45</f>
        <v>35000</v>
      </c>
      <c r="J272" s="111">
        <f ca="1">+'Prog 02'!J45</f>
        <v>0</v>
      </c>
      <c r="K272" s="260">
        <f t="shared" ca="1" si="62"/>
        <v>0</v>
      </c>
      <c r="L272" s="111">
        <f>+'Prog 02'!L45</f>
        <v>0</v>
      </c>
      <c r="M272" s="260">
        <f t="shared" ref="M272:M279" si="64">+IFERROR(L272/I272,0)</f>
        <v>0</v>
      </c>
      <c r="N272" s="111">
        <f>+'Prog 02'!N45</f>
        <v>35000</v>
      </c>
      <c r="O272" s="165">
        <f t="shared" ref="O272:O279" si="65">+IFERROR(N272/I272,0)</f>
        <v>1</v>
      </c>
      <c r="P272" s="166">
        <f>+'Prog 02'!P45</f>
        <v>37205</v>
      </c>
      <c r="Q272" s="111">
        <f>+'Prog 02'!Q45</f>
        <v>1824.1079999999999</v>
      </c>
      <c r="R272" s="165">
        <f t="shared" si="63"/>
        <v>4.9028571428571428E-2</v>
      </c>
      <c r="T272" s="568"/>
      <c r="U272" s="568"/>
      <c r="X272" s="668"/>
      <c r="Y272" s="668"/>
      <c r="Z272" s="668"/>
      <c r="AA272" s="673"/>
    </row>
    <row r="273" spans="2:27" ht="15" hidden="1" customHeight="1" outlineLevel="2" x14ac:dyDescent="0.25">
      <c r="B273" s="168"/>
      <c r="C273" s="108"/>
      <c r="D273" s="118" t="s">
        <v>180</v>
      </c>
      <c r="E273" s="110"/>
      <c r="F273" s="112" t="str">
        <f t="shared" si="60"/>
        <v>33.03.005</v>
      </c>
      <c r="G273" s="1134" t="s">
        <v>675</v>
      </c>
      <c r="H273" s="166">
        <f>+'Prog 02'!H46</f>
        <v>50000</v>
      </c>
      <c r="I273" s="111">
        <f>+'Prog 02'!I46</f>
        <v>50000</v>
      </c>
      <c r="J273" s="111">
        <f ca="1">+'Prog 02'!J46</f>
        <v>0</v>
      </c>
      <c r="K273" s="260">
        <f t="shared" ca="1" si="62"/>
        <v>0</v>
      </c>
      <c r="L273" s="111">
        <f>+'Prog 02'!L46</f>
        <v>0</v>
      </c>
      <c r="M273" s="260">
        <f t="shared" si="64"/>
        <v>0</v>
      </c>
      <c r="N273" s="111">
        <f>+'Prog 02'!N46</f>
        <v>50000</v>
      </c>
      <c r="O273" s="165">
        <f t="shared" si="65"/>
        <v>1</v>
      </c>
      <c r="P273" s="166">
        <f>+'Prog 02'!P46</f>
        <v>53150</v>
      </c>
      <c r="Q273" s="111">
        <f>+'Prog 02'!Q46</f>
        <v>0</v>
      </c>
      <c r="R273" s="165">
        <f t="shared" si="63"/>
        <v>0</v>
      </c>
      <c r="T273" s="568"/>
      <c r="U273" s="568"/>
      <c r="X273" s="668"/>
      <c r="Y273" s="668"/>
      <c r="Z273" s="668"/>
      <c r="AA273" s="673"/>
    </row>
    <row r="274" spans="2:27" ht="15" customHeight="1" collapsed="1" x14ac:dyDescent="0.25">
      <c r="B274" s="334">
        <v>34</v>
      </c>
      <c r="C274" s="335"/>
      <c r="D274" s="336"/>
      <c r="E274" s="337"/>
      <c r="F274" s="337"/>
      <c r="G274" s="1137" t="s">
        <v>83</v>
      </c>
      <c r="H274" s="341">
        <f>+'Prog 01'!H177+'Prog 02'!H47+'Prog 03'!H52</f>
        <v>17962498</v>
      </c>
      <c r="I274" s="333">
        <f>+'Prog 01'!I177+'Prog 02'!I47+'Prog 03'!I52</f>
        <v>19134769</v>
      </c>
      <c r="J274" s="113">
        <f ca="1">+'Prog 01'!J177+'Prog 02'!J47+'Prog 03'!J52</f>
        <v>10135092.539999999</v>
      </c>
      <c r="K274" s="260">
        <f t="shared" ca="1" si="62"/>
        <v>0.52966892571318724</v>
      </c>
      <c r="L274" s="111">
        <f>+'Prog 01'!L177+'Prog 02'!L47+'Prog 03'!L52</f>
        <v>10135092.539999999</v>
      </c>
      <c r="M274" s="260">
        <f t="shared" si="64"/>
        <v>0.52966892571318724</v>
      </c>
      <c r="N274" s="111">
        <f>+'Prog 01'!N177+'Prog 02'!N47+'Prog 03'!N52</f>
        <v>8999676.4600000009</v>
      </c>
      <c r="O274" s="165">
        <f t="shared" si="65"/>
        <v>0.4703310742868127</v>
      </c>
      <c r="P274" s="340">
        <f>SUM(P275:P278)</f>
        <v>16661111.209999999</v>
      </c>
      <c r="Q274" s="338">
        <f ca="1">SUM(Q275:Q278)</f>
        <v>12053826.631274</v>
      </c>
      <c r="R274" s="165">
        <f t="shared" ca="1" si="63"/>
        <v>0.72347075050068044</v>
      </c>
      <c r="T274" s="568"/>
      <c r="U274" s="568"/>
      <c r="X274" s="668"/>
      <c r="Y274" s="668"/>
      <c r="Z274" s="668"/>
      <c r="AA274" s="673"/>
    </row>
    <row r="275" spans="2:27" ht="15" hidden="1" customHeight="1" outlineLevel="1" x14ac:dyDescent="0.25">
      <c r="B275" s="334"/>
      <c r="C275" s="515" t="s">
        <v>89</v>
      </c>
      <c r="D275" s="336"/>
      <c r="E275" s="337"/>
      <c r="F275" s="337" t="s">
        <v>203</v>
      </c>
      <c r="G275" s="823" t="s">
        <v>84</v>
      </c>
      <c r="H275" s="341">
        <f>+VLOOKUP(F275,matriz01,3,FALSE)</f>
        <v>15463357</v>
      </c>
      <c r="I275" s="111">
        <f>+'Prog 01'!I178</f>
        <v>15463357</v>
      </c>
      <c r="J275" s="111">
        <f ca="1">+VLOOKUP(F275,matriz01,5,FALSE)</f>
        <v>7337591.5699999994</v>
      </c>
      <c r="K275" s="260">
        <f t="shared" ca="1" si="62"/>
        <v>0.47451478808902875</v>
      </c>
      <c r="L275" s="111">
        <f>+'Prog 01'!L178</f>
        <v>7337591.5700000003</v>
      </c>
      <c r="M275" s="260">
        <f t="shared" si="64"/>
        <v>0.47451478808902881</v>
      </c>
      <c r="N275" s="111">
        <f>+I275-L275</f>
        <v>8125765.4299999997</v>
      </c>
      <c r="O275" s="165">
        <f t="shared" si="65"/>
        <v>0.52548521191097119</v>
      </c>
      <c r="P275" s="341">
        <f>+'Prog 01'!P178</f>
        <v>14023529.704</v>
      </c>
      <c r="Q275" s="333">
        <f ca="1">+'Prog 01'!Q178</f>
        <v>7890517.7014290001</v>
      </c>
      <c r="R275" s="165">
        <f t="shared" ca="1" si="63"/>
        <v>0.56266274382963288</v>
      </c>
      <c r="T275" s="568"/>
      <c r="U275" s="568"/>
      <c r="AA275" s="673"/>
    </row>
    <row r="276" spans="2:27" ht="15" hidden="1" customHeight="1" outlineLevel="1" x14ac:dyDescent="0.25">
      <c r="B276" s="334"/>
      <c r="C276" s="515" t="s">
        <v>90</v>
      </c>
      <c r="D276" s="336"/>
      <c r="E276" s="337"/>
      <c r="F276" s="337" t="s">
        <v>204</v>
      </c>
      <c r="G276" s="823" t="s">
        <v>85</v>
      </c>
      <c r="H276" s="341">
        <f>+VLOOKUP(F276,matriz01,3,FALSE)</f>
        <v>2499111</v>
      </c>
      <c r="I276" s="111">
        <f>+'Prog 01'!I179</f>
        <v>2499111</v>
      </c>
      <c r="J276" s="111">
        <f ca="1">+VLOOKUP(F276,matriz01,5,FALSE)</f>
        <v>1625202.4210000001</v>
      </c>
      <c r="K276" s="260">
        <f t="shared" ca="1" si="62"/>
        <v>0.65031221942522766</v>
      </c>
      <c r="L276" s="111">
        <f>+'Prog 01'!L179</f>
        <v>1625202.4210000001</v>
      </c>
      <c r="M276" s="260">
        <f t="shared" si="64"/>
        <v>0.65031221942522766</v>
      </c>
      <c r="N276" s="111">
        <f>+I276-L276</f>
        <v>873908.57899999991</v>
      </c>
      <c r="O276" s="165">
        <f t="shared" si="65"/>
        <v>0.34968778057477234</v>
      </c>
      <c r="P276" s="341">
        <f>+'Prog 01'!P179</f>
        <v>2406447.0379999997</v>
      </c>
      <c r="Q276" s="333">
        <f ca="1">+'Prog 01'!Q179</f>
        <v>1509618.2881409996</v>
      </c>
      <c r="R276" s="165">
        <f t="shared" ca="1" si="63"/>
        <v>0.62732246515412393</v>
      </c>
      <c r="T276" s="568"/>
      <c r="U276" s="568"/>
      <c r="AA276" s="673"/>
    </row>
    <row r="277" spans="2:27" ht="15" hidden="1" customHeight="1" outlineLevel="1" x14ac:dyDescent="0.25">
      <c r="B277" s="334"/>
      <c r="C277" s="515">
        <v>6</v>
      </c>
      <c r="D277" s="336"/>
      <c r="E277" s="337"/>
      <c r="F277" s="516">
        <v>34.06</v>
      </c>
      <c r="G277" s="823" t="s">
        <v>295</v>
      </c>
      <c r="H277" s="341">
        <f>+'Prog 01'!H180</f>
        <v>0</v>
      </c>
      <c r="I277" s="111">
        <f>+'Prog 01'!I180</f>
        <v>0</v>
      </c>
      <c r="J277" s="111">
        <f ca="1">+'Prog 01'!J180</f>
        <v>0</v>
      </c>
      <c r="K277" s="260" t="str">
        <f t="shared" ca="1" si="62"/>
        <v>0.00%</v>
      </c>
      <c r="L277" s="111">
        <f>+'Prog 01'!L180</f>
        <v>0</v>
      </c>
      <c r="M277" s="260">
        <f t="shared" si="64"/>
        <v>0</v>
      </c>
      <c r="N277" s="111">
        <f>+I277-L277</f>
        <v>0</v>
      </c>
      <c r="O277" s="165">
        <f t="shared" si="65"/>
        <v>0</v>
      </c>
      <c r="P277" s="341">
        <f>+'Prog 01'!P180</f>
        <v>231102.57799999998</v>
      </c>
      <c r="Q277" s="333">
        <f ca="1">+'Prog 01'!Q180</f>
        <v>101140.543475</v>
      </c>
      <c r="R277" s="165">
        <f t="shared" ca="1" si="63"/>
        <v>0.43764351029870385</v>
      </c>
      <c r="T277" s="568"/>
      <c r="U277" s="568"/>
      <c r="AA277" s="673"/>
    </row>
    <row r="278" spans="2:27" ht="15" hidden="1" customHeight="1" outlineLevel="1" x14ac:dyDescent="0.25">
      <c r="B278" s="334"/>
      <c r="C278" s="515">
        <v>7</v>
      </c>
      <c r="D278" s="336"/>
      <c r="E278" s="337"/>
      <c r="F278" s="337" t="s">
        <v>205</v>
      </c>
      <c r="G278" s="823" t="s">
        <v>128</v>
      </c>
      <c r="H278" s="341">
        <f>+VLOOKUP(F278,matriz03,3,FALSE)+VLOOKUP(F278,matriz01,3,FALSE)+VLOOKUP(F278,matriz02,3,FALSE)</f>
        <v>30</v>
      </c>
      <c r="I278" s="111">
        <f>+'Prog 01'!I181+'Prog 02'!I48+'Prog 03'!I53</f>
        <v>1172301</v>
      </c>
      <c r="J278" s="111">
        <f ca="1">+VLOOKUP(F278,matriz03,5,FALSE)+VLOOKUP(F278,matriz01,5,FALSE)+VLOOKUP(F278,matriz02,5,FALSE)</f>
        <v>1172298.5490000001</v>
      </c>
      <c r="K278" s="260">
        <f t="shared" ca="1" si="62"/>
        <v>0.99999790924003318</v>
      </c>
      <c r="L278" s="111">
        <f>+'Prog 01'!L181+'Prog 02'!L47+'Prog 03'!L53</f>
        <v>1172298.5490000001</v>
      </c>
      <c r="M278" s="260">
        <f t="shared" si="64"/>
        <v>0.99999790924003318</v>
      </c>
      <c r="N278" s="111">
        <f>+I278-L278</f>
        <v>2.450999999884516</v>
      </c>
      <c r="O278" s="165">
        <f t="shared" si="65"/>
        <v>2.0907599668383087E-6</v>
      </c>
      <c r="P278" s="341">
        <f>+'Prog 03'!P53+'Prog 01'!P181+'Prog 02'!P48</f>
        <v>31.889999999999997</v>
      </c>
      <c r="Q278" s="333">
        <f ca="1">+'Prog 01'!Q181+'Prog 02'!Q48+'Prog 03'!Q53</f>
        <v>2552550.0982289994</v>
      </c>
      <c r="R278" s="165">
        <f t="shared" ca="1" si="63"/>
        <v>80042.336099999986</v>
      </c>
      <c r="T278" s="568"/>
      <c r="U278" s="568"/>
      <c r="AA278" s="673"/>
    </row>
    <row r="279" spans="2:27" ht="15" customHeight="1" collapsed="1" thickBot="1" x14ac:dyDescent="0.3">
      <c r="B279" s="517">
        <v>35</v>
      </c>
      <c r="C279" s="518"/>
      <c r="D279" s="519"/>
      <c r="E279" s="520"/>
      <c r="F279" s="520"/>
      <c r="G279" s="1141" t="s">
        <v>125</v>
      </c>
      <c r="H279" s="1148">
        <f>+'Prog 01'!H182+'Prog 02'!H49+'Prog 03'!H54+'Prog 05'!H70</f>
        <v>0</v>
      </c>
      <c r="I279" s="521">
        <f>+'Prog 01'!I182+'Prog 02'!I49+'Prog 03'!I54+'Prog 05'!I70</f>
        <v>0</v>
      </c>
      <c r="J279" s="521">
        <v>0</v>
      </c>
      <c r="K279" s="1132" t="str">
        <f t="shared" si="62"/>
        <v>0.00%</v>
      </c>
      <c r="L279" s="258">
        <f>+'Prog 01'!L187+'Prog 02'!L49+'Prog 03'!L54+'Prog 05'!L70</f>
        <v>0</v>
      </c>
      <c r="M279" s="1132">
        <f t="shared" si="64"/>
        <v>0</v>
      </c>
      <c r="N279" s="258">
        <f>+'Prog 01'!N182</f>
        <v>0</v>
      </c>
      <c r="O279" s="1126">
        <f t="shared" si="65"/>
        <v>0</v>
      </c>
      <c r="P279" s="608">
        <f>+'Prog 01'!P182+'Prog 02'!P49+'Prog 03'!P54+'Prog 05'!P70</f>
        <v>0</v>
      </c>
      <c r="Q279" s="522">
        <v>0</v>
      </c>
      <c r="R279" s="1126" t="str">
        <f t="shared" si="63"/>
        <v>0.00%</v>
      </c>
      <c r="T279" s="568"/>
      <c r="U279" s="568"/>
    </row>
    <row r="280" spans="2:27" s="83" customFormat="1" ht="13.5" thickBot="1" x14ac:dyDescent="0.25">
      <c r="B280" s="63"/>
      <c r="C280" s="59"/>
      <c r="D280" s="60"/>
      <c r="E280" s="61"/>
      <c r="F280" s="61"/>
      <c r="G280" s="788"/>
      <c r="H280" s="62"/>
      <c r="I280" s="58"/>
      <c r="J280" s="58"/>
      <c r="K280" s="58"/>
      <c r="L280" s="218"/>
      <c r="M280" s="216"/>
      <c r="N280" s="218"/>
      <c r="O280" s="58"/>
      <c r="P280" s="58"/>
      <c r="Q280" s="58"/>
      <c r="R280" s="205"/>
      <c r="S280" s="259"/>
      <c r="T280" s="214"/>
      <c r="U280" s="214"/>
      <c r="V280" s="214"/>
      <c r="W280" s="214"/>
    </row>
    <row r="281" spans="2:27" s="83" customFormat="1" ht="21" thickBot="1" x14ac:dyDescent="0.35">
      <c r="B281" s="1655" t="s">
        <v>151</v>
      </c>
      <c r="C281" s="1656"/>
      <c r="D281" s="1656"/>
      <c r="E281" s="1656"/>
      <c r="F281" s="1656"/>
      <c r="G281" s="1656"/>
      <c r="H281" s="1656"/>
      <c r="I281" s="1656"/>
      <c r="J281" s="1656"/>
      <c r="K281" s="1656"/>
      <c r="L281" s="1656"/>
      <c r="M281" s="1656"/>
      <c r="N281" s="1656"/>
      <c r="O281" s="1656"/>
      <c r="P281" s="1683"/>
      <c r="Q281" s="1683"/>
      <c r="R281" s="1684"/>
      <c r="S281" s="288"/>
      <c r="T281" s="214"/>
      <c r="U281" s="214"/>
      <c r="V281" s="214"/>
      <c r="W281" s="214"/>
    </row>
    <row r="282" spans="2:27" s="83" customFormat="1" ht="18.75" customHeight="1" thickBot="1" x14ac:dyDescent="0.25">
      <c r="B282" s="1671" t="s">
        <v>286</v>
      </c>
      <c r="C282" s="1672"/>
      <c r="D282" s="1672"/>
      <c r="E282" s="1672"/>
      <c r="F282" s="1672"/>
      <c r="G282" s="1673"/>
      <c r="H282" s="1685" t="s">
        <v>942</v>
      </c>
      <c r="I282" s="1686"/>
      <c r="J282" s="1686"/>
      <c r="K282" s="1686"/>
      <c r="L282" s="1686"/>
      <c r="M282" s="1686"/>
      <c r="N282" s="1686"/>
      <c r="O282" s="1687"/>
      <c r="P282" s="1658" t="s">
        <v>707</v>
      </c>
      <c r="Q282" s="1659"/>
      <c r="R282" s="1660"/>
      <c r="S282" s="285"/>
      <c r="T282" s="214"/>
      <c r="U282" s="214"/>
      <c r="V282" s="214"/>
      <c r="W282" s="214"/>
    </row>
    <row r="283" spans="2:27" s="83" customFormat="1" ht="15.75" customHeight="1" thickBot="1" x14ac:dyDescent="0.3">
      <c r="B283" s="1674"/>
      <c r="C283" s="1675"/>
      <c r="D283" s="1675"/>
      <c r="E283" s="1675"/>
      <c r="F283" s="1675"/>
      <c r="G283" s="1676"/>
      <c r="H283" s="551" t="s">
        <v>130</v>
      </c>
      <c r="I283" s="542" t="s">
        <v>131</v>
      </c>
      <c r="J283" s="1338" t="s">
        <v>132</v>
      </c>
      <c r="K283" s="542" t="s">
        <v>133</v>
      </c>
      <c r="L283" s="552" t="s">
        <v>789</v>
      </c>
      <c r="M283" s="553" t="s">
        <v>791</v>
      </c>
      <c r="N283" s="552" t="s">
        <v>790</v>
      </c>
      <c r="O283" s="554" t="s">
        <v>792</v>
      </c>
      <c r="P283" s="545" t="s">
        <v>130</v>
      </c>
      <c r="Q283" s="545" t="s">
        <v>131</v>
      </c>
      <c r="R283" s="545" t="s">
        <v>134</v>
      </c>
      <c r="S283" s="286" t="s">
        <v>810</v>
      </c>
      <c r="T283" s="214"/>
      <c r="U283" s="214"/>
      <c r="V283" s="214"/>
      <c r="W283" s="214"/>
    </row>
    <row r="284" spans="2:27" s="83" customFormat="1" ht="61.5" customHeight="1" thickBot="1" x14ac:dyDescent="0.25">
      <c r="B284" s="202">
        <v>1</v>
      </c>
      <c r="C284" s="203" t="s">
        <v>291</v>
      </c>
      <c r="D284" s="203" t="s">
        <v>291</v>
      </c>
      <c r="E284" s="203" t="s">
        <v>291</v>
      </c>
      <c r="F284" s="203" t="s">
        <v>291</v>
      </c>
      <c r="G284" s="821" t="s">
        <v>291</v>
      </c>
      <c r="H284" s="555" t="s">
        <v>944</v>
      </c>
      <c r="I284" s="546" t="s">
        <v>943</v>
      </c>
      <c r="J284" s="546" t="s">
        <v>1019</v>
      </c>
      <c r="K284" s="546" t="s">
        <v>1020</v>
      </c>
      <c r="L284" s="546" t="s">
        <v>814</v>
      </c>
      <c r="M284" s="546" t="s">
        <v>813</v>
      </c>
      <c r="N284" s="546" t="s">
        <v>811</v>
      </c>
      <c r="O284" s="1041" t="s">
        <v>812</v>
      </c>
      <c r="P284" s="548" t="s">
        <v>1030</v>
      </c>
      <c r="Q284" s="549" t="s">
        <v>1026</v>
      </c>
      <c r="R284" s="550" t="s">
        <v>1018</v>
      </c>
      <c r="S284" s="523" t="s">
        <v>809</v>
      </c>
      <c r="T284" s="214"/>
      <c r="U284" s="214"/>
      <c r="V284" s="214"/>
      <c r="W284" s="214"/>
    </row>
    <row r="285" spans="2:27" s="83" customFormat="1" ht="15" hidden="1" customHeight="1" thickBot="1" x14ac:dyDescent="0.25">
      <c r="B285" s="749">
        <v>1</v>
      </c>
      <c r="C285" s="750" t="s">
        <v>291</v>
      </c>
      <c r="D285" s="750" t="s">
        <v>291</v>
      </c>
      <c r="E285" s="750" t="s">
        <v>291</v>
      </c>
      <c r="F285" s="750" t="s">
        <v>291</v>
      </c>
      <c r="G285" s="751" t="s">
        <v>291</v>
      </c>
      <c r="H285" s="555" t="s">
        <v>774</v>
      </c>
      <c r="I285" s="546" t="s">
        <v>775</v>
      </c>
      <c r="J285" s="546" t="s">
        <v>888</v>
      </c>
      <c r="K285" s="546" t="s">
        <v>893</v>
      </c>
      <c r="L285" s="1249" t="s">
        <v>814</v>
      </c>
      <c r="M285" s="546" t="s">
        <v>813</v>
      </c>
      <c r="N285" s="546" t="s">
        <v>811</v>
      </c>
      <c r="O285" s="547" t="s">
        <v>812</v>
      </c>
      <c r="P285" s="548" t="s">
        <v>890</v>
      </c>
      <c r="Q285" s="549" t="s">
        <v>886</v>
      </c>
      <c r="R285" s="550" t="s">
        <v>892</v>
      </c>
      <c r="S285" s="523" t="s">
        <v>809</v>
      </c>
      <c r="T285" s="214"/>
      <c r="U285" s="214"/>
      <c r="V285" s="214"/>
      <c r="W285" s="214"/>
    </row>
    <row r="286" spans="2:27" s="83" customFormat="1" ht="15" customHeight="1" x14ac:dyDescent="0.2">
      <c r="B286" s="206" t="s">
        <v>720</v>
      </c>
      <c r="C286" s="207"/>
      <c r="D286" s="207"/>
      <c r="E286" s="207"/>
      <c r="F286" s="208"/>
      <c r="G286" s="360"/>
      <c r="H286" s="266">
        <f>+'Prog 01'!H9</f>
        <v>38338247.997999996</v>
      </c>
      <c r="I286" s="267">
        <f>+'Prog 01'!I9</f>
        <v>39175757</v>
      </c>
      <c r="J286" s="267">
        <f ca="1">+'Prog 01'!J9</f>
        <v>15879943.225000001</v>
      </c>
      <c r="K286" s="269">
        <f t="shared" ref="K286:K289" ca="1" si="66">+J286/I286</f>
        <v>0.40535127949154887</v>
      </c>
      <c r="L286" s="1253">
        <f>+'Prog 01'!L9</f>
        <v>17250602.550000001</v>
      </c>
      <c r="M286" s="269">
        <f t="shared" ref="M286:M289" si="67">+L286/I286</f>
        <v>0.4403387163648172</v>
      </c>
      <c r="N286" s="268">
        <f>+'Prog 01'!N9</f>
        <v>21925154.450000003</v>
      </c>
      <c r="O286" s="292">
        <f t="shared" ref="O286:O289" si="68">+N286/I286</f>
        <v>0.55966128363518297</v>
      </c>
      <c r="P286" s="266">
        <f>+'Prog 01'!P9</f>
        <v>35964079.311999992</v>
      </c>
      <c r="Q286" s="267">
        <f ca="1">+'Prog 01'!Q9</f>
        <v>15690887.097892998</v>
      </c>
      <c r="R286" s="292">
        <f t="shared" ref="R286:R289" ca="1" si="69">Q286/P286</f>
        <v>0.4362933070458857</v>
      </c>
      <c r="S286" s="287">
        <f t="shared" ref="S286:S289" ca="1" si="70">+L286-J286</f>
        <v>1370659.3249999993</v>
      </c>
      <c r="T286" s="214"/>
      <c r="U286" s="214"/>
      <c r="V286" s="214"/>
      <c r="W286" s="214"/>
    </row>
    <row r="287" spans="2:27" s="83" customFormat="1" ht="15" customHeight="1" x14ac:dyDescent="0.2">
      <c r="B287" s="209" t="s">
        <v>252</v>
      </c>
      <c r="C287" s="210"/>
      <c r="D287" s="210"/>
      <c r="E287" s="210"/>
      <c r="F287" s="211"/>
      <c r="G287" s="361"/>
      <c r="H287" s="264">
        <f>+'Prog 02'!H9</f>
        <v>7798353</v>
      </c>
      <c r="I287" s="85">
        <f>+'Prog 02'!I9</f>
        <v>8494793</v>
      </c>
      <c r="J287" s="85">
        <f ca="1">+'Prog 02'!J9</f>
        <v>1382983.4129999999</v>
      </c>
      <c r="K287" s="102">
        <f t="shared" ca="1" si="66"/>
        <v>0.16280366254951709</v>
      </c>
      <c r="L287" s="1253">
        <f>+'Prog 02'!L9</f>
        <v>2147455.8840000001</v>
      </c>
      <c r="M287" s="269">
        <f t="shared" si="67"/>
        <v>0.25279672900799349</v>
      </c>
      <c r="N287" s="257">
        <f>+'Prog 02'!N9</f>
        <v>6347337.1160000004</v>
      </c>
      <c r="O287" s="292">
        <f t="shared" si="68"/>
        <v>0.74720327099200656</v>
      </c>
      <c r="P287" s="264">
        <f>+'Prog 02'!P9</f>
        <v>8219493.3649999984</v>
      </c>
      <c r="Q287" s="85">
        <f>+'Prog 02'!Q9</f>
        <v>2092661.7241539999</v>
      </c>
      <c r="R287" s="292">
        <f t="shared" si="69"/>
        <v>0.25459741023271698</v>
      </c>
      <c r="S287" s="287">
        <f t="shared" ca="1" si="70"/>
        <v>764472.47100000014</v>
      </c>
      <c r="T287" s="214"/>
      <c r="U287" s="214"/>
      <c r="V287" s="214"/>
      <c r="W287" s="214"/>
    </row>
    <row r="288" spans="2:27" s="83" customFormat="1" ht="15" customHeight="1" x14ac:dyDescent="0.2">
      <c r="B288" s="798" t="s">
        <v>253</v>
      </c>
      <c r="C288" s="791"/>
      <c r="D288" s="791"/>
      <c r="E288" s="791"/>
      <c r="F288" s="792"/>
      <c r="G288" s="793"/>
      <c r="H288" s="167">
        <f>+'Prog 03'!H11</f>
        <v>271469048</v>
      </c>
      <c r="I288" s="113">
        <f>+'Prog 03'!I11</f>
        <v>271447243</v>
      </c>
      <c r="J288" s="113">
        <f ca="1">+'Prog 03'!J11</f>
        <v>107574799.59900001</v>
      </c>
      <c r="K288" s="102">
        <f t="shared" ca="1" si="66"/>
        <v>0.39630094750676842</v>
      </c>
      <c r="L288" s="1253">
        <f ca="1">+'Prog 03'!L11</f>
        <v>113941124.605</v>
      </c>
      <c r="M288" s="269">
        <f t="shared" ca="1" si="67"/>
        <v>0.41975421575749805</v>
      </c>
      <c r="N288" s="257">
        <f ca="1">+'Prog 03'!N11</f>
        <v>157506118.39499998</v>
      </c>
      <c r="O288" s="292">
        <f t="shared" ca="1" si="68"/>
        <v>0.58024578424250184</v>
      </c>
      <c r="P288" s="264">
        <f>+'Prog 03'!P11</f>
        <v>213358051.875</v>
      </c>
      <c r="Q288" s="85">
        <f ca="1">+'Prog 03'!Q11</f>
        <v>101213162.70586899</v>
      </c>
      <c r="R288" s="292">
        <f t="shared" ca="1" si="69"/>
        <v>0.4743817344431262</v>
      </c>
      <c r="S288" s="287">
        <f t="shared" ca="1" si="70"/>
        <v>6366325.0059999973</v>
      </c>
      <c r="T288" s="214"/>
      <c r="U288" s="214"/>
      <c r="V288" s="214"/>
      <c r="W288" s="214"/>
    </row>
    <row r="289" spans="2:23" s="83" customFormat="1" ht="15" customHeight="1" x14ac:dyDescent="0.2">
      <c r="B289" s="798" t="s">
        <v>705</v>
      </c>
      <c r="C289" s="791"/>
      <c r="D289" s="791"/>
      <c r="E289" s="791"/>
      <c r="F289" s="792"/>
      <c r="G289" s="793"/>
      <c r="H289" s="167">
        <f>+'Prog 05'!H9</f>
        <v>113525861</v>
      </c>
      <c r="I289" s="113">
        <f>+'Prog 05'!I9</f>
        <v>103303834</v>
      </c>
      <c r="J289" s="113">
        <f>+'Prog 05'!J9</f>
        <v>0</v>
      </c>
      <c r="K289" s="794">
        <f t="shared" si="66"/>
        <v>0</v>
      </c>
      <c r="L289" s="116">
        <f>+'Prog 05'!L9</f>
        <v>0</v>
      </c>
      <c r="M289" s="795">
        <f t="shared" si="67"/>
        <v>0</v>
      </c>
      <c r="N289" s="796">
        <f>+'Prog 05'!N9</f>
        <v>103303834</v>
      </c>
      <c r="O289" s="797">
        <f t="shared" si="68"/>
        <v>1</v>
      </c>
      <c r="P289" s="167">
        <f>+'Prog 05'!P9</f>
        <v>83397390.746000007</v>
      </c>
      <c r="Q289" s="113">
        <f ca="1">+'Prog 05'!Q9</f>
        <v>0</v>
      </c>
      <c r="R289" s="797">
        <f t="shared" ca="1" si="69"/>
        <v>0</v>
      </c>
      <c r="S289" s="287">
        <f t="shared" si="70"/>
        <v>0</v>
      </c>
      <c r="T289" s="214"/>
      <c r="U289" s="214"/>
      <c r="V289" s="214"/>
      <c r="W289" s="214"/>
    </row>
    <row r="290" spans="2:23" s="83" customFormat="1" ht="12.75" customHeight="1" thickBot="1" x14ac:dyDescent="0.25">
      <c r="B290" s="1677"/>
      <c r="C290" s="1678"/>
      <c r="D290" s="1678"/>
      <c r="E290" s="1678"/>
      <c r="F290" s="1678"/>
      <c r="G290" s="1678"/>
      <c r="H290" s="1678"/>
      <c r="I290" s="1678"/>
      <c r="J290" s="1678"/>
      <c r="K290" s="1678"/>
      <c r="L290" s="1678"/>
      <c r="M290" s="1678"/>
      <c r="N290" s="1678"/>
      <c r="O290" s="1678"/>
      <c r="P290" s="1678"/>
      <c r="Q290" s="1678"/>
      <c r="R290" s="1679"/>
      <c r="S290" s="157"/>
      <c r="T290" s="214"/>
      <c r="U290" s="214"/>
      <c r="V290" s="214"/>
      <c r="W290" s="214"/>
    </row>
    <row r="291" spans="2:23" s="83" customFormat="1" ht="16.5" thickBot="1" x14ac:dyDescent="0.3">
      <c r="B291" s="1680" t="s">
        <v>141</v>
      </c>
      <c r="C291" s="1681"/>
      <c r="D291" s="1681"/>
      <c r="E291" s="1681"/>
      <c r="F291" s="1681"/>
      <c r="G291" s="1682"/>
      <c r="H291" s="534">
        <f>SUM(H286:H289)</f>
        <v>431131509.99800003</v>
      </c>
      <c r="I291" s="535">
        <f>SUM(I286:I289)</f>
        <v>422421627</v>
      </c>
      <c r="J291" s="535">
        <f ca="1">SUM(J286:J289)</f>
        <v>124837726.237</v>
      </c>
      <c r="K291" s="536">
        <f ca="1">+J291/I291</f>
        <v>0.29552872830774835</v>
      </c>
      <c r="L291" s="538">
        <f ca="1">SUM(L286:L289)</f>
        <v>133339183.039</v>
      </c>
      <c r="M291" s="537">
        <f ca="1">+L291/I291</f>
        <v>0.31565425280415388</v>
      </c>
      <c r="N291" s="538">
        <f ca="1">SUM(N286:N289)</f>
        <v>289082443.96099997</v>
      </c>
      <c r="O291" s="539">
        <f ca="1">+N291/I291</f>
        <v>0.68434574719584607</v>
      </c>
      <c r="P291" s="540">
        <f>SUM(P286:P290)</f>
        <v>340939015.29799998</v>
      </c>
      <c r="Q291" s="540">
        <f ca="1">SUM(Q286:Q290)</f>
        <v>118996711.52791598</v>
      </c>
      <c r="R291" s="541">
        <f ca="1">Q291/P291</f>
        <v>0.34902638357157845</v>
      </c>
      <c r="S291" s="289"/>
      <c r="T291" s="214"/>
      <c r="U291" s="214"/>
      <c r="V291" s="214"/>
      <c r="W291" s="214"/>
    </row>
    <row r="292" spans="2:23" s="83" customFormat="1" ht="15" hidden="1" customHeight="1" x14ac:dyDescent="0.2">
      <c r="B292" s="160"/>
      <c r="C292" s="161"/>
      <c r="D292" s="162"/>
      <c r="E292" s="163"/>
      <c r="F292" s="163"/>
      <c r="G292" s="789"/>
      <c r="H292" s="157">
        <f t="shared" ref="H292:R292" si="71">+H9-H291</f>
        <v>0</v>
      </c>
      <c r="I292" s="157">
        <f t="shared" si="71"/>
        <v>-9.9998712539672852E-4</v>
      </c>
      <c r="J292" s="157">
        <f t="shared" ca="1" si="71"/>
        <v>0</v>
      </c>
      <c r="K292" s="157">
        <f t="shared" ca="1" si="71"/>
        <v>6.9960703896754239E-13</v>
      </c>
      <c r="L292" s="1254">
        <f t="shared" ca="1" si="71"/>
        <v>0</v>
      </c>
      <c r="M292" s="1127">
        <f t="shared" ca="1" si="71"/>
        <v>7.4729111787519287E-13</v>
      </c>
      <c r="N292" s="157">
        <f t="shared" ca="1" si="71"/>
        <v>0</v>
      </c>
      <c r="O292" s="157">
        <f t="shared" ca="1" si="71"/>
        <v>1.6200374375330284E-12</v>
      </c>
      <c r="P292" s="609">
        <f t="shared" si="71"/>
        <v>0</v>
      </c>
      <c r="Q292" s="157">
        <f t="shared" ca="1" si="71"/>
        <v>0</v>
      </c>
      <c r="R292" s="157">
        <f t="shared" ca="1" si="71"/>
        <v>0</v>
      </c>
      <c r="S292" s="157"/>
      <c r="T292" s="214"/>
      <c r="U292" s="214"/>
      <c r="V292" s="214"/>
      <c r="W292" s="214"/>
    </row>
    <row r="293" spans="2:23" ht="12.75" customHeight="1" x14ac:dyDescent="0.2">
      <c r="H293" s="1128">
        <f>+H9-H291</f>
        <v>0</v>
      </c>
      <c r="I293" s="1128">
        <f t="shared" ref="I293:R293" si="72">+I9-I291</f>
        <v>-9.9998712539672852E-4</v>
      </c>
      <c r="J293" s="1128">
        <f ca="1">+J9-J291</f>
        <v>0</v>
      </c>
      <c r="K293" s="1128">
        <f t="shared" ca="1" si="72"/>
        <v>6.9960703896754239E-13</v>
      </c>
      <c r="L293" s="1128">
        <f t="shared" ca="1" si="72"/>
        <v>0</v>
      </c>
      <c r="M293" s="1128">
        <f t="shared" ca="1" si="72"/>
        <v>7.4729111787519287E-13</v>
      </c>
      <c r="N293" s="1128">
        <f t="shared" ca="1" si="72"/>
        <v>0</v>
      </c>
      <c r="O293" s="1128">
        <f t="shared" ca="1" si="72"/>
        <v>1.6200374375330284E-12</v>
      </c>
      <c r="P293" s="1128">
        <f t="shared" si="72"/>
        <v>0</v>
      </c>
      <c r="Q293" s="1128">
        <f t="shared" ca="1" si="72"/>
        <v>0</v>
      </c>
      <c r="R293" s="1128">
        <f t="shared" ca="1" si="72"/>
        <v>0</v>
      </c>
      <c r="S293" s="614">
        <f>+S291-S9</f>
        <v>0</v>
      </c>
    </row>
    <row r="294" spans="2:23" ht="12.75" customHeight="1" x14ac:dyDescent="0.2">
      <c r="G294" s="790"/>
      <c r="H294" s="83"/>
    </row>
    <row r="295" spans="2:23" ht="12.75" customHeight="1" x14ac:dyDescent="0.2">
      <c r="G295" s="790"/>
      <c r="H295" s="83"/>
    </row>
    <row r="296" spans="2:23" ht="12.75" customHeight="1" x14ac:dyDescent="0.2">
      <c r="G296" s="790"/>
      <c r="H296" s="83"/>
    </row>
    <row r="297" spans="2:23" ht="12.75" customHeight="1" x14ac:dyDescent="0.2">
      <c r="G297" s="790"/>
      <c r="H297" s="83"/>
      <c r="O297" s="530"/>
    </row>
    <row r="298" spans="2:23" ht="12.75" customHeight="1" x14ac:dyDescent="0.2">
      <c r="G298" s="790"/>
      <c r="H298" s="83"/>
      <c r="K298" s="530"/>
      <c r="O298" s="530"/>
    </row>
    <row r="299" spans="2:23" ht="12.75" customHeight="1" x14ac:dyDescent="0.2">
      <c r="G299" s="790"/>
      <c r="H299" s="83"/>
      <c r="K299" s="530"/>
      <c r="O299" s="530"/>
    </row>
    <row r="300" spans="2:23" ht="12.75" customHeight="1" x14ac:dyDescent="0.2">
      <c r="G300" s="790"/>
      <c r="H300" s="83"/>
      <c r="K300" s="530"/>
      <c r="O300" s="530"/>
    </row>
    <row r="301" spans="2:23" ht="12.75" customHeight="1" x14ac:dyDescent="0.2">
      <c r="G301" s="790"/>
      <c r="H301" s="83"/>
      <c r="K301" s="530"/>
      <c r="O301" s="530"/>
    </row>
    <row r="302" spans="2:23" ht="12.75" customHeight="1" x14ac:dyDescent="0.2">
      <c r="G302" s="790"/>
      <c r="H302" s="83"/>
      <c r="K302" s="530"/>
      <c r="O302" s="530"/>
    </row>
    <row r="303" spans="2:23" ht="12.75" customHeight="1" x14ac:dyDescent="0.2">
      <c r="G303" s="790"/>
      <c r="H303" s="83"/>
      <c r="K303" s="530"/>
      <c r="O303" s="530"/>
    </row>
    <row r="304" spans="2:23" ht="12.75" customHeight="1" x14ac:dyDescent="0.2">
      <c r="G304" s="790"/>
      <c r="H304" s="83"/>
      <c r="K304" s="530"/>
      <c r="O304" s="530"/>
    </row>
    <row r="305" spans="7:15" ht="12.75" customHeight="1" x14ac:dyDescent="0.2">
      <c r="G305" s="790"/>
      <c r="H305" s="83"/>
      <c r="K305" s="530"/>
      <c r="O305" s="530"/>
    </row>
    <row r="306" spans="7:15" ht="12.75" customHeight="1" x14ac:dyDescent="0.2">
      <c r="G306" s="790"/>
      <c r="H306" s="83"/>
    </row>
    <row r="307" spans="7:15" ht="12.75" customHeight="1" x14ac:dyDescent="0.2">
      <c r="G307" s="790"/>
      <c r="H307" s="83"/>
    </row>
  </sheetData>
  <autoFilter ref="A7:AY279"/>
  <mergeCells count="12">
    <mergeCell ref="B290:R290"/>
    <mergeCell ref="B291:G291"/>
    <mergeCell ref="B281:R281"/>
    <mergeCell ref="H5:O5"/>
    <mergeCell ref="H282:O282"/>
    <mergeCell ref="B2:R2"/>
    <mergeCell ref="B4:R4"/>
    <mergeCell ref="P282:R282"/>
    <mergeCell ref="P5:R5"/>
    <mergeCell ref="B3:R3"/>
    <mergeCell ref="B5:G6"/>
    <mergeCell ref="B282:G283"/>
  </mergeCells>
  <phoneticPr fontId="30" type="noConversion"/>
  <printOptions horizontalCentered="1"/>
  <pageMargins left="1" right="1" top="1" bottom="1" header="0.5" footer="0.5"/>
  <pageSetup paperSize="5" scale="80" orientation="landscape" r:id="rId1"/>
  <ignoredErrors>
    <ignoredError sqref="H98 H115:H117 H107 I84:J84 H108:J108 H122:H126 J122:J124 I111:I117 H127:J129 I121:I126 H133 J116:J117 H118:I120 H64:J66 P37 P41 H37:J37 I98:I107 I141 H76:I76 H69:J69 H68:I68 H83:I83 H85:I85 J119:J120 J126 H130:H131 Q38:Q40 P47:Q47 Q48:Q50 Q57:Q58 Q60 P69:Q71 Q64:Q66 Q74 H142:J142 M280 P56 I134:I139 H33:J35 N9 L68:L71 M291 L73:L76 O10 I109 K9:M10 N11 L13:L22 H26:J27 H28 P28 L32:L41 P51:Q53 L43:L53 P61:Q61 H56:J56 H60:J61 H59 J131 N68:N71 N73:N76 L11 N13:N22 N25:N27 N29:N30 N32:N41 N43:N53 N56:N58 N60:N61 H29:J30 L25:L27 L29:L30 L56:L58 L60:L61 P43:P46 N64:N66 L63:L66 J63 H58:J58 H57 J57 H25:I25 L170:L172 N86:N87 Q266 P267:Q267 Q268:Q278 N143:N144 L176:L177 N211 N252:N253 L252:L253 L211 N268:N273 N250 N236 N228 N175:N177 N111:N141 N184 N204:N206 N179:N180 N208 N147:N148 N192 N186:N188 N231:N233 N79:N84 N89:N109 N255:N266 P231:Q233 L271:L273 L269 L250 L236 L256:L266 L228 L192:L193 P177:Q177 L174 L131:L144 N275:N278 L195 L182:L183 L203:L206 L179 L165:L167 L162:L163 L208 L154:L157 L147:L148 L150 L186:L188 L231:L233 Q236 L78:L87 Q107 P108:Q109 P97:Q106 L89:L109 Q180 L159:L160 Q89:Q96 L111:L129 Q112:Q113 P142 Q139 P188:Q189 Q195 Q199 P186 P265:Q265 P257:Q261 Q255:Q256 Q250 P252:Q253 Q190 P191:Q193 Q187 Q182 P183:Q184 Q155 P156:Q156 Q141 Q134 P135:Q138 Q126 P127:Q129 Q119 P120:Q125 Q116 P117:Q118 P114:Q115 Q86 Q81:Q84 P133:Q133 P111:Q111 P179:Q179 P174:Q174 P169:Q169 P148:Q150 Q131 P203:Q203 K78:K80 K207:R207 K203 R203 K132 K131 R131 K151:R153 K149:O149 R148:R150 K173:R173 K169:O169 R169 K175:M175 K174 R174 K181:R181 K179 R179 K112:K113 K111 R111 K134 K133 R133 K85 K81:K84 R81:R84 K88:R88 K86 R86 K116 K114:K115 R114:R115 K119 K117:K118 R117:R118 R116 K126 K120:K125 R120:R125 R119 K130:M130 K127:K129 R127:R129 R126 K140 K135:K138 R135:R138 R134 K145:R146 K141 R141 K158:R158 K156 R156 K155 R155 K185:R185 K184:M184 R183:R184 K182 R182 K189:O189 K187 R187 K194:R194 K191:O191 R191:R193 K190:P190 R190 K254:R254 K252:K253 R252:R253 K251:R251 K250 R250 K262:K264 K255:M255 R255:R256 K257:K261 R257:R261 K267:O267 K265 R265 K186 Q186:R186 K200:R202 K199:P199 R199 K196:R198 K195 R195 R188:R189 K139 R139 K142 Q142:R142 R112:R113 M112:M113 M111 M116 M114:M115 M119 M117:M118 M126 M120:M125 M127:M129 K110:R110 K89:K96 R89:R96 K161:R161 K159:K160 M159:R160 K180:M180 R180 K97:K109 M107 M89:M96 M97:M106 R97:R106 M108:M109 R108:R109 R107 M78:R78 M85:R85 M81:M84 K87 M87 M86 K237:R249 K236 R236 K234:R235 K231:K233 M231:M233 K188 M188 M187 M186 K150 M150:O150 K148 M148 K147 M147 K154 M154:R154 K157 M157:R157 M156:O156 M155:P155 K209:R210 K208 M208 K164:R164 K162:K163 M162:R163 K168:R168 K165:K167 M165:R167 M179 K204:K206 M204:M206 M203:O203 K183 M183:O183 M182:P182 M195:P195 K279:R279 K275:M278 O275:P278 M132 M131 M134 M133 M140 M135:M138 K143:K144 M143:M144 M141 M139 M142:O142 M174:O174 K178:R178 K177 R177 K192:K193 M193:O193 K229:R230 K228 M228 M262:M264 K256 M256 M257:M261 K266 M266 M265 M236 M250 K270:M270 K269 M269 K274:P274 K271:K273 M271:M273 R231:R233 O255:P255 O262:R264 O256:P256 O257:O261 O266:P266 O265 O107:P107 O89:P96 O97:O106 O108:O109 M79:M80 O79:R80 O81:P84 O231:O233 O188 O187:P187 O186 M192 O192 O148 O147:R147 O208:R208 O180:P180 O179 O204:R206 O184 O130:R130 O112:P113 O111 O116:P116 O114:O115 O119:P119 O117:O118 O126:P126 O120:O125 O127:O129 O132:R132 O131:P131 O134:P134 O133 O140:R140 O135:O138 O141:P141 O139:P139 O175:R176 O177 O228:R228 O236:P236 O250:P250 K268:M268 O268:P268 O270:P270 O269:P269 O271:P273 K212:R227 K211 M211 M252:M253 O252:O253 O211:R211 K176 M176 M177 O143:R144 R275:R278 R274 R268 R270 R269 R271:R273 R267 R266 O87:R87 O86:P86 K170:K172 M170:R172" formula="1"/>
    <ignoredError sqref="B10 C211 C182:D182 C235:D235 F278 F203 C153:D153 D212:D227 C188:D189 F275:F276 C146 D186 D179 C175:D177 D183 D184 D187" numberStoredAsText="1"/>
    <ignoredError sqref="I176:I177 Q291" emptyCellReferenc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9A46"/>
    <pageSetUpPr fitToPage="1"/>
  </sheetPr>
  <dimension ref="A1:AX206"/>
  <sheetViews>
    <sheetView zoomScale="70" zoomScaleNormal="70" workbookViewId="0">
      <pane xSplit="1" ySplit="9" topLeftCell="B142" activePane="bottomRight" state="frozen"/>
      <selection activeCell="H72" sqref="H72"/>
      <selection pane="topRight" activeCell="H72" sqref="H72"/>
      <selection pane="bottomLeft" activeCell="H72" sqref="H72"/>
      <selection pane="bottomRight" activeCell="J177" sqref="J177"/>
    </sheetView>
  </sheetViews>
  <sheetFormatPr baseColWidth="10" defaultColWidth="11.42578125" defaultRowHeight="12.75" x14ac:dyDescent="0.25"/>
  <cols>
    <col min="1" max="1" width="17.7109375" style="1508" customWidth="1"/>
    <col min="2" max="2" width="7.5703125" style="171" customWidth="1"/>
    <col min="3" max="3" width="5.7109375" style="172" customWidth="1"/>
    <col min="4" max="5" width="5.7109375" style="173" customWidth="1"/>
    <col min="6" max="6" width="14" style="173" customWidth="1"/>
    <col min="7" max="7" width="41.42578125" style="174" customWidth="1"/>
    <col min="8" max="10" width="19.7109375" style="176" customWidth="1"/>
    <col min="11" max="11" width="19.7109375" style="847" customWidth="1"/>
    <col min="12" max="12" width="19.7109375" style="176" customWidth="1"/>
    <col min="13" max="13" width="19.7109375" style="847" customWidth="1"/>
    <col min="14" max="14" width="19.7109375" style="176" customWidth="1"/>
    <col min="15" max="15" width="19.7109375" style="847" customWidth="1"/>
    <col min="16" max="16" width="19.7109375" style="1125" customWidth="1"/>
    <col min="17" max="17" width="19.7109375" style="176" customWidth="1"/>
    <col min="18" max="18" width="19.7109375" style="847" customWidth="1"/>
    <col min="19" max="19" width="17" style="1125" hidden="1" customWidth="1"/>
    <col min="20" max="23" width="17" style="176" hidden="1" customWidth="1"/>
    <col min="24" max="24" width="17" style="175" hidden="1" customWidth="1"/>
    <col min="25" max="25" width="19" style="175" customWidth="1"/>
    <col min="26" max="26" width="19" style="177" customWidth="1"/>
    <col min="27" max="34" width="19.7109375" style="175" hidden="1" customWidth="1"/>
    <col min="35" max="35" width="15.42578125" style="178" customWidth="1"/>
    <col min="36" max="39" width="15.7109375" style="179" customWidth="1"/>
    <col min="40" max="40" width="6.42578125" style="178" customWidth="1"/>
    <col min="41" max="44" width="10.28515625" style="1496" customWidth="1"/>
    <col min="45" max="45" width="15.7109375" style="178" customWidth="1"/>
    <col min="46" max="46" width="46.85546875" style="178" customWidth="1"/>
    <col min="47" max="47" width="15.7109375" style="179" customWidth="1"/>
    <col min="48" max="58" width="15.7109375" style="178" customWidth="1"/>
    <col min="59" max="16384" width="11.42578125" style="178"/>
  </cols>
  <sheetData>
    <row r="1" spans="1:50" s="71" customFormat="1" ht="15.75" thickBot="1" x14ac:dyDescent="0.3">
      <c r="A1" s="1514"/>
      <c r="P1" s="1451"/>
      <c r="Q1" s="1451"/>
      <c r="R1" s="1451"/>
      <c r="S1" s="1451"/>
      <c r="T1" s="1451"/>
      <c r="U1" s="1451"/>
      <c r="V1" s="1451"/>
      <c r="W1" s="1451"/>
      <c r="X1" s="1451"/>
      <c r="Y1" s="1451"/>
      <c r="Z1" s="1451"/>
      <c r="AJ1" s="1421"/>
      <c r="AK1" s="1421"/>
      <c r="AL1" s="1421"/>
      <c r="AM1" s="1421"/>
      <c r="AO1" s="1498"/>
      <c r="AP1" s="1498"/>
      <c r="AQ1" s="1498"/>
      <c r="AR1" s="1498"/>
      <c r="AU1" s="1421"/>
    </row>
    <row r="2" spans="1:50" s="302" customFormat="1" ht="26.25" customHeight="1" thickBot="1" x14ac:dyDescent="0.3">
      <c r="A2" s="1508"/>
      <c r="B2" s="1691" t="s">
        <v>807</v>
      </c>
      <c r="C2" s="1692"/>
      <c r="D2" s="1692"/>
      <c r="E2" s="1692"/>
      <c r="F2" s="1692"/>
      <c r="G2" s="1692"/>
      <c r="H2" s="1692"/>
      <c r="I2" s="1692"/>
      <c r="J2" s="1692"/>
      <c r="K2" s="1692"/>
      <c r="L2" s="1692"/>
      <c r="M2" s="1692"/>
      <c r="N2" s="1692"/>
      <c r="O2" s="1692"/>
      <c r="P2" s="1692"/>
      <c r="Q2" s="1692"/>
      <c r="R2" s="1692"/>
      <c r="S2" s="1692"/>
      <c r="T2" s="1692"/>
      <c r="U2" s="1692"/>
      <c r="V2" s="1692"/>
      <c r="W2" s="1692"/>
      <c r="X2" s="1692"/>
      <c r="Y2" s="1692"/>
      <c r="Z2" s="1692"/>
      <c r="AA2" s="1692"/>
      <c r="AB2" s="1692"/>
      <c r="AC2" s="1692"/>
      <c r="AD2" s="1692"/>
      <c r="AE2" s="1692"/>
      <c r="AF2" s="1692"/>
      <c r="AG2" s="1692"/>
      <c r="AH2" s="1693"/>
      <c r="AJ2" s="1478"/>
      <c r="AK2" s="1478"/>
      <c r="AL2" s="1478"/>
      <c r="AM2" s="1478"/>
      <c r="AO2" s="1494"/>
      <c r="AP2" s="1494"/>
      <c r="AQ2" s="1494"/>
      <c r="AR2" s="1494"/>
      <c r="AU2" s="1478"/>
    </row>
    <row r="3" spans="1:50" s="326" customFormat="1" hidden="1" x14ac:dyDescent="0.25">
      <c r="A3" s="1508"/>
      <c r="B3" s="850"/>
      <c r="C3" s="851"/>
      <c r="D3" s="852"/>
      <c r="E3" s="852"/>
      <c r="F3" s="852"/>
      <c r="G3" s="853"/>
      <c r="H3" s="855"/>
      <c r="I3" s="855"/>
      <c r="J3" s="855"/>
      <c r="K3" s="854"/>
      <c r="L3" s="855"/>
      <c r="M3" s="854"/>
      <c r="N3" s="855"/>
      <c r="O3" s="854"/>
      <c r="P3" s="1119"/>
      <c r="Q3" s="855"/>
      <c r="R3" s="854"/>
      <c r="S3" s="1408" t="s">
        <v>273</v>
      </c>
      <c r="T3" s="1409" t="s">
        <v>127</v>
      </c>
      <c r="U3" s="1408" t="s">
        <v>273</v>
      </c>
      <c r="V3" s="1409" t="s">
        <v>127</v>
      </c>
      <c r="W3" s="1408" t="s">
        <v>273</v>
      </c>
      <c r="X3" s="1409" t="s">
        <v>127</v>
      </c>
      <c r="Y3" s="1408" t="s">
        <v>273</v>
      </c>
      <c r="Z3" s="1409" t="s">
        <v>127</v>
      </c>
      <c r="AA3" s="856"/>
      <c r="AB3" s="856"/>
      <c r="AC3" s="856"/>
      <c r="AD3" s="856"/>
      <c r="AE3" s="1116"/>
      <c r="AF3" s="856"/>
      <c r="AG3" s="856"/>
      <c r="AH3" s="1116"/>
      <c r="AJ3" s="1479"/>
      <c r="AK3" s="1479"/>
      <c r="AL3" s="1479"/>
      <c r="AM3" s="1479"/>
      <c r="AO3" s="1495"/>
      <c r="AP3" s="1495"/>
      <c r="AQ3" s="1495"/>
      <c r="AR3" s="1495"/>
      <c r="AU3" s="1479"/>
    </row>
    <row r="4" spans="1:50" s="326" customFormat="1" hidden="1" x14ac:dyDescent="0.25">
      <c r="A4" s="1508"/>
      <c r="B4" s="850"/>
      <c r="C4" s="851"/>
      <c r="D4" s="852"/>
      <c r="E4" s="852"/>
      <c r="F4" s="852"/>
      <c r="G4" s="853"/>
      <c r="H4" s="855"/>
      <c r="I4" s="855"/>
      <c r="J4" s="855"/>
      <c r="K4" s="854"/>
      <c r="L4" s="855"/>
      <c r="M4" s="854"/>
      <c r="N4" s="855"/>
      <c r="O4" s="854"/>
      <c r="P4" s="1119"/>
      <c r="Q4" s="855"/>
      <c r="R4" s="854"/>
      <c r="S4" s="1119"/>
      <c r="T4" s="857"/>
      <c r="U4" s="857"/>
      <c r="V4" s="857"/>
      <c r="W4" s="857"/>
      <c r="X4" s="856"/>
      <c r="Y4" s="856"/>
      <c r="Z4" s="856"/>
      <c r="AA4" s="856"/>
      <c r="AB4" s="856"/>
      <c r="AC4" s="856"/>
      <c r="AD4" s="856"/>
      <c r="AE4" s="1116"/>
      <c r="AF4" s="856"/>
      <c r="AG4" s="858"/>
      <c r="AH4" s="1183"/>
      <c r="AJ4" s="1479"/>
      <c r="AK4" s="1479"/>
      <c r="AL4" s="1479"/>
      <c r="AM4" s="1479"/>
      <c r="AO4" s="1495"/>
      <c r="AP4" s="1495"/>
      <c r="AQ4" s="1495"/>
      <c r="AR4" s="1495"/>
      <c r="AU4" s="1479"/>
    </row>
    <row r="5" spans="1:50" s="302" customFormat="1" ht="21" thickBot="1" x14ac:dyDescent="0.3">
      <c r="A5" s="1508"/>
      <c r="B5" s="1688" t="s">
        <v>652</v>
      </c>
      <c r="C5" s="1689"/>
      <c r="D5" s="1689"/>
      <c r="E5" s="1689"/>
      <c r="F5" s="1689"/>
      <c r="G5" s="1689"/>
      <c r="H5" s="1689"/>
      <c r="I5" s="1689"/>
      <c r="J5" s="1689"/>
      <c r="K5" s="1689"/>
      <c r="L5" s="1689"/>
      <c r="M5" s="1689"/>
      <c r="N5" s="1689"/>
      <c r="O5" s="1689"/>
      <c r="P5" s="1689"/>
      <c r="Q5" s="1689"/>
      <c r="R5" s="1689"/>
      <c r="S5" s="1689"/>
      <c r="T5" s="1689"/>
      <c r="U5" s="1689"/>
      <c r="V5" s="1689"/>
      <c r="W5" s="1689"/>
      <c r="X5" s="1689"/>
      <c r="Y5" s="1689"/>
      <c r="Z5" s="1689"/>
      <c r="AA5" s="1689"/>
      <c r="AB5" s="1689"/>
      <c r="AC5" s="1689"/>
      <c r="AD5" s="1689"/>
      <c r="AE5" s="1689"/>
      <c r="AF5" s="1689"/>
      <c r="AG5" s="1689"/>
      <c r="AH5" s="1690"/>
      <c r="AJ5" s="1478"/>
      <c r="AK5" s="1478"/>
      <c r="AL5" s="1478"/>
      <c r="AM5" s="1478"/>
      <c r="AO5" s="1494"/>
      <c r="AP5" s="1494"/>
      <c r="AQ5" s="1494"/>
      <c r="AR5" s="1494"/>
      <c r="AU5" s="1478"/>
    </row>
    <row r="6" spans="1:50" ht="18.75" thickBot="1" x14ac:dyDescent="0.3">
      <c r="B6" s="1698" t="s">
        <v>283</v>
      </c>
      <c r="C6" s="1699"/>
      <c r="D6" s="1699"/>
      <c r="E6" s="1699"/>
      <c r="F6" s="1699"/>
      <c r="G6" s="1700"/>
      <c r="H6" s="1707" t="s">
        <v>942</v>
      </c>
      <c r="I6" s="1708"/>
      <c r="J6" s="1708"/>
      <c r="K6" s="1708"/>
      <c r="L6" s="1708"/>
      <c r="M6" s="1708"/>
      <c r="N6" s="1708"/>
      <c r="O6" s="1709"/>
      <c r="P6" s="1710" t="s">
        <v>707</v>
      </c>
      <c r="Q6" s="1711"/>
      <c r="R6" s="1712"/>
      <c r="S6" s="1715"/>
      <c r="T6" s="1716"/>
      <c r="U6" s="1721"/>
      <c r="V6" s="1722"/>
      <c r="W6" s="1696"/>
      <c r="X6" s="1697"/>
      <c r="Y6" s="1717"/>
      <c r="Z6" s="1718"/>
      <c r="AA6" s="1113"/>
      <c r="AB6" s="1109"/>
      <c r="AC6" s="1109"/>
      <c r="AD6" s="1109"/>
      <c r="AE6" s="1342"/>
      <c r="AF6" s="1110"/>
      <c r="AG6" s="1110"/>
      <c r="AH6" s="1184"/>
      <c r="AI6" s="177"/>
    </row>
    <row r="7" spans="1:50" ht="16.5" thickBot="1" x14ac:dyDescent="0.3">
      <c r="B7" s="1701"/>
      <c r="C7" s="1702"/>
      <c r="D7" s="1702"/>
      <c r="E7" s="1702"/>
      <c r="F7" s="1702"/>
      <c r="G7" s="1703"/>
      <c r="H7" s="181" t="s">
        <v>130</v>
      </c>
      <c r="I7" s="182" t="s">
        <v>131</v>
      </c>
      <c r="J7" s="183" t="s">
        <v>132</v>
      </c>
      <c r="K7" s="845" t="s">
        <v>133</v>
      </c>
      <c r="L7" s="182" t="s">
        <v>789</v>
      </c>
      <c r="M7" s="845" t="s">
        <v>791</v>
      </c>
      <c r="N7" s="182" t="s">
        <v>790</v>
      </c>
      <c r="O7" s="845" t="s">
        <v>792</v>
      </c>
      <c r="P7" s="1515" t="s">
        <v>130</v>
      </c>
      <c r="Q7" s="1112" t="s">
        <v>131</v>
      </c>
      <c r="R7" s="1301" t="s">
        <v>134</v>
      </c>
      <c r="S7" s="1713" t="s">
        <v>0</v>
      </c>
      <c r="T7" s="1714"/>
      <c r="U7" s="1719" t="s">
        <v>137</v>
      </c>
      <c r="V7" s="1720"/>
      <c r="W7" s="1694" t="s">
        <v>6</v>
      </c>
      <c r="X7" s="1695"/>
      <c r="Y7" s="1713" t="s">
        <v>7</v>
      </c>
      <c r="Z7" s="1714"/>
      <c r="AA7" s="1114" t="s">
        <v>8</v>
      </c>
      <c r="AB7" s="1111" t="s">
        <v>9</v>
      </c>
      <c r="AC7" s="1111" t="s">
        <v>79</v>
      </c>
      <c r="AD7" s="1111" t="s">
        <v>10</v>
      </c>
      <c r="AE7" s="1343" t="s">
        <v>11</v>
      </c>
      <c r="AF7" s="1111" t="s">
        <v>12</v>
      </c>
      <c r="AG7" s="1111" t="s">
        <v>13</v>
      </c>
      <c r="AH7" s="1117" t="s">
        <v>14</v>
      </c>
    </row>
    <row r="8" spans="1:50" s="54" customFormat="1" ht="57" customHeight="1" thickBot="1" x14ac:dyDescent="0.3">
      <c r="A8" s="1509"/>
      <c r="B8" s="1704"/>
      <c r="C8" s="1705"/>
      <c r="D8" s="1705"/>
      <c r="E8" s="1705"/>
      <c r="F8" s="1705"/>
      <c r="G8" s="1706"/>
      <c r="H8" s="1226" t="s">
        <v>944</v>
      </c>
      <c r="I8" s="270" t="s">
        <v>990</v>
      </c>
      <c r="J8" s="358" t="s">
        <v>1019</v>
      </c>
      <c r="K8" s="735" t="s">
        <v>1020</v>
      </c>
      <c r="L8" s="270" t="s">
        <v>897</v>
      </c>
      <c r="M8" s="1227" t="s">
        <v>813</v>
      </c>
      <c r="N8" s="270" t="s">
        <v>875</v>
      </c>
      <c r="O8" s="697" t="s">
        <v>812</v>
      </c>
      <c r="P8" s="1516" t="s">
        <v>1016</v>
      </c>
      <c r="Q8" s="611" t="s">
        <v>1017</v>
      </c>
      <c r="R8" s="1302" t="s">
        <v>1018</v>
      </c>
      <c r="S8" s="1376" t="s">
        <v>989</v>
      </c>
      <c r="T8" s="1275" t="s">
        <v>718</v>
      </c>
      <c r="U8" s="1377" t="s">
        <v>989</v>
      </c>
      <c r="V8" s="1392" t="s">
        <v>718</v>
      </c>
      <c r="W8" s="1361" t="s">
        <v>989</v>
      </c>
      <c r="X8" s="382" t="s">
        <v>718</v>
      </c>
      <c r="Y8" s="1078" t="s">
        <v>989</v>
      </c>
      <c r="Z8" s="1492" t="s">
        <v>718</v>
      </c>
      <c r="AA8" s="1378" t="s">
        <v>718</v>
      </c>
      <c r="AB8" s="1379" t="s">
        <v>718</v>
      </c>
      <c r="AC8" s="1379" t="s">
        <v>718</v>
      </c>
      <c r="AD8" s="1380" t="s">
        <v>718</v>
      </c>
      <c r="AE8" s="1381" t="s">
        <v>718</v>
      </c>
      <c r="AF8" s="1380" t="s">
        <v>718</v>
      </c>
      <c r="AG8" s="1380" t="s">
        <v>718</v>
      </c>
      <c r="AH8" s="1382" t="s">
        <v>718</v>
      </c>
      <c r="AI8" s="1493"/>
      <c r="AJ8" s="1499"/>
      <c r="AK8" s="1500"/>
      <c r="AL8" s="1500"/>
      <c r="AM8" s="1500"/>
      <c r="AN8" s="417"/>
      <c r="AO8" s="1501"/>
      <c r="AP8" s="1501"/>
      <c r="AQ8" s="1501"/>
      <c r="AR8" s="1501"/>
      <c r="AS8" s="417"/>
      <c r="AT8" s="1502"/>
      <c r="AU8" s="1502"/>
      <c r="AV8" s="1484"/>
      <c r="AW8" s="1484"/>
      <c r="AX8" s="1484"/>
    </row>
    <row r="9" spans="1:50" s="417" customFormat="1" ht="21" customHeight="1" x14ac:dyDescent="0.25">
      <c r="A9" s="1509" t="s">
        <v>806</v>
      </c>
      <c r="B9" s="1220" t="s">
        <v>91</v>
      </c>
      <c r="C9" s="1221" t="s">
        <v>92</v>
      </c>
      <c r="D9" s="1222" t="s">
        <v>93</v>
      </c>
      <c r="E9" s="1222" t="s">
        <v>94</v>
      </c>
      <c r="F9" s="1222"/>
      <c r="G9" s="1530" t="s">
        <v>82</v>
      </c>
      <c r="H9" s="1292">
        <f>+H10+H78+H146+H167+H169+H177+H142</f>
        <v>38338247.997999996</v>
      </c>
      <c r="I9" s="1223">
        <f>+I10+I78+I142+I146+I167+I169+I177+I182</f>
        <v>39175757</v>
      </c>
      <c r="J9" s="1223">
        <f ca="1">+J10+J78+J142+J146+J167+J169+J177</f>
        <v>15879943.225000001</v>
      </c>
      <c r="K9" s="1224">
        <f t="shared" ref="K9" ca="1" si="0">IFERROR(J9/I9,"0.00"%)</f>
        <v>0.40535127949154887</v>
      </c>
      <c r="L9" s="1223">
        <f>+L10+L78+L142+L146+L167+L169+L177</f>
        <v>17250602.550000001</v>
      </c>
      <c r="M9" s="1224">
        <f t="shared" ref="M9:M43" si="1">+IFERROR(L9/I9,0)</f>
        <v>0.4403387163648172</v>
      </c>
      <c r="N9" s="1223">
        <f>+N10+N78+N142+N146+N167+N169+N177+N182</f>
        <v>21925154.450000003</v>
      </c>
      <c r="O9" s="1525">
        <f t="shared" ref="O9:O43" si="2">+IFERROR(N9/I9,0)</f>
        <v>0.55966128363518297</v>
      </c>
      <c r="P9" s="1517">
        <f>+P10+P78+P142+P146+P167+P169+P177</f>
        <v>35964079.311999992</v>
      </c>
      <c r="Q9" s="1225">
        <f ca="1">+Q10+Q78+Q142+Q146+Q167+Q169+Q177</f>
        <v>15690887.097892998</v>
      </c>
      <c r="R9" s="1303">
        <f ca="1">IFERROR(Q9/P9,"0.00"%)</f>
        <v>0.4362933070458857</v>
      </c>
      <c r="S9" s="1388">
        <f>+S10+S78+S146+S177</f>
        <v>2361399.1349999998</v>
      </c>
      <c r="T9" s="1388">
        <f>+T10+T78+T146+T177</f>
        <v>1530978.9701859998</v>
      </c>
      <c r="U9" s="1388">
        <f>+U10+U78+U142+U146+U167+U169+U177+U182</f>
        <v>1323902.3220000002</v>
      </c>
      <c r="V9" s="1393">
        <f>+V10+V78+V146+V169+V177+V182</f>
        <v>1453664.1823700001</v>
      </c>
      <c r="W9" s="1314">
        <f>+W10+W78+W146+W167+W169+W177</f>
        <v>9413525.2860000003</v>
      </c>
      <c r="X9" s="1487">
        <f>+X10+X78+X146+X167+X169+X177</f>
        <v>9950833.4900010005</v>
      </c>
      <c r="Y9" s="1314">
        <f>+Y10+Y78+Y146+Y167+Y169+Y177</f>
        <v>2743223.8539999998</v>
      </c>
      <c r="Z9" s="1315">
        <f>+Z10+Z78+Z146+Z167+Z169+Z177</f>
        <v>2750775.7753359997</v>
      </c>
      <c r="AA9" s="1219">
        <f>+AA10+AA78+AA146+AA167+AA169+AA177</f>
        <v>1740350.9369999999</v>
      </c>
      <c r="AB9" s="1218">
        <f t="shared" ref="AB9:AG9" si="3">+AB10+AB78+AB146+AB167+AB169+AB177</f>
        <v>2160301.7960000001</v>
      </c>
      <c r="AC9" s="1218">
        <f t="shared" si="3"/>
        <v>1763870.3579999998</v>
      </c>
      <c r="AD9" s="1218">
        <f t="shared" si="3"/>
        <v>1293057.7470000002</v>
      </c>
      <c r="AE9" s="1218">
        <f t="shared" si="3"/>
        <v>2273595.6909999996</v>
      </c>
      <c r="AF9" s="1218">
        <f t="shared" si="3"/>
        <v>2858258.3629999999</v>
      </c>
      <c r="AG9" s="1218">
        <f t="shared" si="3"/>
        <v>1417351.4970000002</v>
      </c>
      <c r="AH9" s="1410">
        <f>+AH10+AH78+AH146+AH167+AH169+AH177+AH142</f>
        <v>11635573.835999999</v>
      </c>
      <c r="AI9" s="1493"/>
      <c r="AO9" s="1503"/>
      <c r="AP9" s="1504"/>
      <c r="AQ9" s="1504"/>
      <c r="AR9" s="1504"/>
      <c r="AU9" s="1499"/>
      <c r="AV9" s="1500"/>
      <c r="AW9" s="1500"/>
      <c r="AX9" s="1500"/>
    </row>
    <row r="10" spans="1:50" ht="15" customHeight="1" x14ac:dyDescent="0.25">
      <c r="A10" s="1508" t="s">
        <v>480</v>
      </c>
      <c r="B10" s="859" t="s">
        <v>155</v>
      </c>
      <c r="C10" s="130"/>
      <c r="D10" s="135"/>
      <c r="E10" s="135"/>
      <c r="F10" s="135"/>
      <c r="G10" s="1531" t="s">
        <v>16</v>
      </c>
      <c r="H10" s="1293">
        <f>+H11+H41+H72</f>
        <v>17419021</v>
      </c>
      <c r="I10" s="129">
        <f>+'P01 2023'!BB3</f>
        <v>17419021</v>
      </c>
      <c r="J10" s="129">
        <f ca="1">+J11+J41+J72</f>
        <v>5721879.3930000002</v>
      </c>
      <c r="K10" s="844">
        <f ca="1">IFERROR(J10/I10,"0.00"%)</f>
        <v>0.32848455679570054</v>
      </c>
      <c r="L10" s="129">
        <f>+'P01 2023'!BC3</f>
        <v>5721879.3930000002</v>
      </c>
      <c r="M10" s="844">
        <f t="shared" si="1"/>
        <v>0.32848455679570054</v>
      </c>
      <c r="N10" s="129">
        <f>+'P01 2023'!BE3</f>
        <v>11697141.607000001</v>
      </c>
      <c r="O10" s="1294">
        <f t="shared" si="2"/>
        <v>0.67151544320429957</v>
      </c>
      <c r="P10" s="1518">
        <f>+P11+P41+P72</f>
        <v>16432199.474999996</v>
      </c>
      <c r="Q10" s="1120">
        <f ca="1">+Q11+Q41+Q72</f>
        <v>5230079.2324580001</v>
      </c>
      <c r="R10" s="1304">
        <f ca="1">IFERROR(Q10/P10,"0.00"%)</f>
        <v>0.31828236021690587</v>
      </c>
      <c r="S10" s="1383">
        <f t="shared" ref="S10:AF10" si="4">+S11+S41+S72</f>
        <v>1190968.8689999999</v>
      </c>
      <c r="T10" s="1384">
        <f t="shared" si="4"/>
        <v>1152362.637413</v>
      </c>
      <c r="U10" s="1383">
        <f>+'P01 2023'!N3</f>
        <v>1226273.58</v>
      </c>
      <c r="V10" s="1387">
        <f t="shared" si="4"/>
        <v>1127454.7658249999</v>
      </c>
      <c r="W10" s="1406">
        <f t="shared" si="4"/>
        <v>2069775.2720000001</v>
      </c>
      <c r="X10" s="1344">
        <f t="shared" si="4"/>
        <v>1875054.014068</v>
      </c>
      <c r="Y10" s="1316">
        <f t="shared" si="4"/>
        <v>1232749.6719999998</v>
      </c>
      <c r="Z10" s="1185">
        <f t="shared" si="4"/>
        <v>1075207.8151519999</v>
      </c>
      <c r="AA10" s="1385">
        <f t="shared" si="4"/>
        <v>1090348.611</v>
      </c>
      <c r="AB10" s="1386">
        <f t="shared" si="4"/>
        <v>1832969.719</v>
      </c>
      <c r="AC10" s="1386">
        <f t="shared" si="4"/>
        <v>1071044.0449999999</v>
      </c>
      <c r="AD10" s="1386">
        <f t="shared" si="4"/>
        <v>1070706.6530000002</v>
      </c>
      <c r="AE10" s="1387">
        <f t="shared" si="4"/>
        <v>1840819.7590000001</v>
      </c>
      <c r="AF10" s="1386">
        <f t="shared" si="4"/>
        <v>1089827.7579999999</v>
      </c>
      <c r="AG10" s="1386">
        <f>+'P01 2022'!GA3</f>
        <v>1100465.7050000001</v>
      </c>
      <c r="AH10" s="1384">
        <f>+'P01 2022'!GX3</f>
        <v>2075018.9680000001</v>
      </c>
      <c r="AI10" s="71"/>
      <c r="AJ10" s="1421"/>
      <c r="AK10" s="1421"/>
      <c r="AL10" s="1421"/>
      <c r="AM10" s="1421"/>
      <c r="AN10" s="71"/>
      <c r="AO10" s="1498"/>
      <c r="AP10" s="1498"/>
      <c r="AQ10" s="1498"/>
      <c r="AR10" s="1498"/>
      <c r="AS10" s="1480"/>
      <c r="AT10" s="417"/>
      <c r="AU10" s="803"/>
      <c r="AV10" s="803"/>
      <c r="AW10" s="803"/>
      <c r="AX10" s="803"/>
    </row>
    <row r="11" spans="1:50" ht="15" customHeight="1" x14ac:dyDescent="0.25">
      <c r="A11" s="1508" t="s">
        <v>479</v>
      </c>
      <c r="B11" s="859"/>
      <c r="C11" s="130" t="s">
        <v>157</v>
      </c>
      <c r="D11" s="135"/>
      <c r="E11" s="135"/>
      <c r="F11" s="135"/>
      <c r="G11" s="1531" t="s">
        <v>17</v>
      </c>
      <c r="H11" s="1293">
        <f>+H12+H25+H28+H32+H37</f>
        <v>1085491.78</v>
      </c>
      <c r="I11" s="129">
        <f>+'P01 2023'!BB4</f>
        <v>1106741.433</v>
      </c>
      <c r="J11" s="129">
        <f ca="1">+J12+J25+J28+J32+J37</f>
        <v>267973.576</v>
      </c>
      <c r="K11" s="844">
        <f t="shared" ref="K11:K76" ca="1" si="5">IFERROR(J11/I11,"0.00"%)</f>
        <v>0.24212843940758114</v>
      </c>
      <c r="L11" s="129">
        <f>+'P01 2023'!BC4</f>
        <v>267973.576</v>
      </c>
      <c r="M11" s="844">
        <f t="shared" si="1"/>
        <v>0.24212843940758114</v>
      </c>
      <c r="N11" s="129">
        <f>+'P01 2023'!BE4</f>
        <v>838767.85699999996</v>
      </c>
      <c r="O11" s="1294">
        <f t="shared" si="2"/>
        <v>0.75787156059241889</v>
      </c>
      <c r="P11" s="1518">
        <f>+P12+P25+P28+P32+P37</f>
        <v>969101.46930299979</v>
      </c>
      <c r="Q11" s="1120">
        <f ca="1">+Q12+Q25+Q28+Q32+Q37</f>
        <v>279397.95585899998</v>
      </c>
      <c r="R11" s="1304">
        <f ca="1">IFERROR(Q11/P11,"0.00"%)</f>
        <v>0.28830619363310783</v>
      </c>
      <c r="S11" s="1316">
        <f t="shared" ref="S11:AF11" si="6">+S12+S25+S28+S32+S37</f>
        <v>56303.805</v>
      </c>
      <c r="T11" s="1185">
        <f t="shared" si="6"/>
        <v>64889.541329</v>
      </c>
      <c r="U11" s="1316">
        <f>+'P01 2023'!N4</f>
        <v>60387.555999999997</v>
      </c>
      <c r="V11" s="1344">
        <f t="shared" si="6"/>
        <v>63839.29626599999</v>
      </c>
      <c r="W11" s="1396">
        <f t="shared" si="6"/>
        <v>90579.183000000005</v>
      </c>
      <c r="X11" s="1344">
        <f t="shared" si="6"/>
        <v>89852.494388000006</v>
      </c>
      <c r="Y11" s="1316">
        <f t="shared" si="6"/>
        <v>58591.031999999992</v>
      </c>
      <c r="Z11" s="1185">
        <f t="shared" si="6"/>
        <v>60816.623875999998</v>
      </c>
      <c r="AA11" s="1201">
        <f t="shared" si="6"/>
        <v>53619.915999999997</v>
      </c>
      <c r="AB11" s="134">
        <f t="shared" si="6"/>
        <v>88617.256999999998</v>
      </c>
      <c r="AC11" s="134">
        <f t="shared" si="6"/>
        <v>61764.830999999998</v>
      </c>
      <c r="AD11" s="134">
        <f t="shared" si="6"/>
        <v>58920.118000000002</v>
      </c>
      <c r="AE11" s="1344">
        <f t="shared" si="6"/>
        <v>90190.33600000001</v>
      </c>
      <c r="AF11" s="134">
        <f t="shared" si="6"/>
        <v>59321.395000000004</v>
      </c>
      <c r="AG11" s="134">
        <f>+'P01 2022'!GA4</f>
        <v>59811.974999999999</v>
      </c>
      <c r="AH11" s="1185">
        <f>+'P01 2022'!GX4</f>
        <v>97775.826000000001</v>
      </c>
      <c r="AI11" s="71"/>
      <c r="AJ11" s="1421"/>
      <c r="AK11" s="1421"/>
      <c r="AL11" s="1421"/>
      <c r="AM11" s="1421"/>
      <c r="AN11" s="71"/>
      <c r="AO11" s="1498"/>
      <c r="AP11" s="1498"/>
      <c r="AQ11" s="1498"/>
      <c r="AR11" s="1498"/>
      <c r="AS11" s="1480"/>
      <c r="AT11" s="417"/>
      <c r="AU11" s="803"/>
      <c r="AV11" s="803"/>
      <c r="AW11" s="803"/>
      <c r="AX11" s="803"/>
    </row>
    <row r="12" spans="1:50" s="184" customFormat="1" ht="15" customHeight="1" x14ac:dyDescent="0.25">
      <c r="A12" s="1508" t="s">
        <v>478</v>
      </c>
      <c r="B12" s="859"/>
      <c r="C12" s="130"/>
      <c r="D12" s="135" t="s">
        <v>156</v>
      </c>
      <c r="E12" s="135"/>
      <c r="F12" s="135"/>
      <c r="G12" s="1531" t="s">
        <v>18</v>
      </c>
      <c r="H12" s="1293">
        <f>SUM(H13:H24)</f>
        <v>769096.17999999993</v>
      </c>
      <c r="I12" s="129">
        <f>SUM(I13:I24)</f>
        <v>792328.17999999993</v>
      </c>
      <c r="J12" s="129">
        <f ca="1">SUM(J13:J24)</f>
        <v>203169.42300000004</v>
      </c>
      <c r="K12" s="844">
        <f t="shared" ca="1" si="5"/>
        <v>0.25642079649369542</v>
      </c>
      <c r="L12" s="129">
        <f>+'P01 2023'!BC5</f>
        <v>203169.42300000001</v>
      </c>
      <c r="M12" s="844">
        <f t="shared" si="1"/>
        <v>0.25642079649369537</v>
      </c>
      <c r="N12" s="129">
        <f>+'P01 2023'!BE5</f>
        <v>589158.75699999998</v>
      </c>
      <c r="O12" s="1294">
        <f t="shared" si="2"/>
        <v>0.74357920350630469</v>
      </c>
      <c r="P12" s="1518">
        <f>SUM(P13:P24)</f>
        <v>707179.65226599993</v>
      </c>
      <c r="Q12" s="1120">
        <f>SUM(Q13:Q24)</f>
        <v>210753.369156</v>
      </c>
      <c r="R12" s="1304">
        <f>IFERROR(Q12/P12,"0.00"%)</f>
        <v>0.29801956049030498</v>
      </c>
      <c r="S12" s="1316">
        <f t="shared" ref="S12:AE12" si="7">SUM(S13:S22)</f>
        <v>44388.353999999999</v>
      </c>
      <c r="T12" s="1185">
        <f t="shared" si="7"/>
        <v>49550.916922999997</v>
      </c>
      <c r="U12" s="1316">
        <f>+'P01 2023'!N5</f>
        <v>46500.353999999999</v>
      </c>
      <c r="V12" s="1344">
        <f t="shared" si="7"/>
        <v>49550.916922999997</v>
      </c>
      <c r="W12" s="1396">
        <f>SUM(W13:W24)</f>
        <v>63652.01</v>
      </c>
      <c r="X12" s="1344">
        <f t="shared" si="7"/>
        <v>65396.391422000001</v>
      </c>
      <c r="Y12" s="1316">
        <f>SUM(Y13:Y24)</f>
        <v>46516.704999999994</v>
      </c>
      <c r="Z12" s="1185">
        <f>SUM(Z13:Z24)</f>
        <v>46255.143887999999</v>
      </c>
      <c r="AA12" s="1201">
        <f t="shared" si="7"/>
        <v>43513.775999999998</v>
      </c>
      <c r="AB12" s="134">
        <f t="shared" si="7"/>
        <v>64685.285000000003</v>
      </c>
      <c r="AC12" s="134">
        <f t="shared" si="7"/>
        <v>45916.101999999999</v>
      </c>
      <c r="AD12" s="134">
        <f t="shared" si="7"/>
        <v>45966.363000000005</v>
      </c>
      <c r="AE12" s="1344">
        <f t="shared" si="7"/>
        <v>63529.280999999995</v>
      </c>
      <c r="AF12" s="134">
        <f>SUM(AF13:AF22)</f>
        <v>46811.493999999999</v>
      </c>
      <c r="AG12" s="134">
        <f>+'P01 2022'!GA5</f>
        <v>46928.29</v>
      </c>
      <c r="AH12" s="1185">
        <f>+'P01 2022'!GX5</f>
        <v>68550.717000000004</v>
      </c>
      <c r="AI12" s="71"/>
      <c r="AJ12" s="1421"/>
      <c r="AK12" s="1421"/>
      <c r="AL12" s="1421"/>
      <c r="AM12" s="1421"/>
      <c r="AN12" s="71"/>
      <c r="AO12" s="1498"/>
      <c r="AP12" s="1498"/>
      <c r="AQ12" s="1498"/>
      <c r="AR12" s="1498"/>
      <c r="AS12" s="1480"/>
      <c r="AT12" s="417"/>
      <c r="AU12" s="803"/>
      <c r="AV12" s="803"/>
      <c r="AW12" s="803"/>
      <c r="AX12" s="803"/>
    </row>
    <row r="13" spans="1:50" ht="15" customHeight="1" x14ac:dyDescent="0.25">
      <c r="A13" s="1508" t="s">
        <v>477</v>
      </c>
      <c r="B13" s="860"/>
      <c r="C13" s="186"/>
      <c r="D13" s="18"/>
      <c r="E13" s="18">
        <v>1</v>
      </c>
      <c r="F13" s="18" t="str">
        <f>+CONCATENATE($B$10,"",$C$11,"",$D$12,"00",E13)</f>
        <v>21.01.001.001</v>
      </c>
      <c r="G13" s="1532" t="s">
        <v>124</v>
      </c>
      <c r="H13" s="1295">
        <f>+'P01 2023'!F6</f>
        <v>144602.905</v>
      </c>
      <c r="I13" s="99">
        <f>+'P01 2023'!BB6</f>
        <v>144602.905</v>
      </c>
      <c r="J13" s="19">
        <f>SUMIF(S3:$AH$3,"ok",S13:AH13)</f>
        <v>36639.951999999997</v>
      </c>
      <c r="K13" s="740">
        <f t="shared" si="5"/>
        <v>0.25338323597302559</v>
      </c>
      <c r="L13" s="19">
        <f>+'P01 2023'!BC6</f>
        <v>36639.951999999997</v>
      </c>
      <c r="M13" s="738">
        <f>+IFERROR(#REF!/I13,0)</f>
        <v>0</v>
      </c>
      <c r="N13" s="19">
        <f>+'P01 2023'!BE6</f>
        <v>107962.95299999999</v>
      </c>
      <c r="O13" s="629">
        <f>+IFERROR(#REF!/I13,0)</f>
        <v>0</v>
      </c>
      <c r="P13" s="219">
        <f>+'P01 2022'!AZ6</f>
        <v>132840.44187000001</v>
      </c>
      <c r="Q13" s="19">
        <f>SUMIF(S$3:$AH$3,"SI",S13:AH13)</f>
        <v>40897.562233999997</v>
      </c>
      <c r="R13" s="1305" t="str">
        <f>IFERROR(Q13/#REF!,"0,00%")</f>
        <v>0,00%</v>
      </c>
      <c r="S13" s="1317">
        <f>+'P01 2023'!I6</f>
        <v>9159.9879999999994</v>
      </c>
      <c r="T13" s="1186">
        <f>+'P01 2022'!F6</f>
        <v>10539.769371</v>
      </c>
      <c r="U13" s="1295">
        <f>+'P01 2023'!N6</f>
        <v>9159.9879999999994</v>
      </c>
      <c r="V13" s="1345">
        <f>+'P01 2022'!M6</f>
        <v>10539.769371</v>
      </c>
      <c r="W13" s="578">
        <f>+'P01 2023'!AD6</f>
        <v>9159.9879999999994</v>
      </c>
      <c r="X13" s="1345">
        <f>+'P01 2022'!AB6</f>
        <v>10035.163270999999</v>
      </c>
      <c r="Y13" s="1295">
        <f>+'P01 2023'!AT6</f>
        <v>9159.9879999999994</v>
      </c>
      <c r="Z13" s="1186">
        <f>+'P01 2022'!AQ6</f>
        <v>9782.860220999999</v>
      </c>
      <c r="AA13" s="219">
        <f>+'P01 2022'!BI6</f>
        <v>9203.0669999999991</v>
      </c>
      <c r="AB13" s="19">
        <f>+'P01 2022'!CC6</f>
        <v>9900.2620000000006</v>
      </c>
      <c r="AC13" s="19">
        <f>+'P01 2022'!CY6</f>
        <v>9469.4680000000008</v>
      </c>
      <c r="AD13" s="19">
        <f>+'P01 2022'!DR6</f>
        <v>9502.4519999999993</v>
      </c>
      <c r="AE13" s="1345">
        <f>+'P01 2022'!EJ6</f>
        <v>9502.4519999999993</v>
      </c>
      <c r="AF13" s="333">
        <f>+'P01 2022'!FC6</f>
        <v>9915.1170000000002</v>
      </c>
      <c r="AG13" s="19">
        <f>+'P01 2022'!GA6</f>
        <v>9915.1170000000002</v>
      </c>
      <c r="AH13" s="1186">
        <f>+'P01 2022'!GX6</f>
        <v>10256.138999999999</v>
      </c>
      <c r="AI13" s="71"/>
      <c r="AJ13" s="1421"/>
      <c r="AK13" s="1421"/>
      <c r="AL13" s="1421"/>
      <c r="AM13" s="1421"/>
      <c r="AN13" s="71"/>
      <c r="AO13" s="1498"/>
      <c r="AP13" s="1498"/>
      <c r="AQ13" s="1498"/>
      <c r="AR13" s="1498"/>
      <c r="AS13" s="1480"/>
      <c r="AT13" s="417"/>
      <c r="AU13" s="803"/>
      <c r="AV13" s="803"/>
      <c r="AW13" s="803"/>
      <c r="AX13" s="803"/>
    </row>
    <row r="14" spans="1:50" ht="15" customHeight="1" x14ac:dyDescent="0.25">
      <c r="A14" s="1508" t="s">
        <v>555</v>
      </c>
      <c r="B14" s="861"/>
      <c r="C14" s="185"/>
      <c r="D14" s="18"/>
      <c r="E14" s="18">
        <v>2</v>
      </c>
      <c r="F14" s="18" t="str">
        <f>+CONCATENATE($B$10,"",$C$11,"",$D$12,"00",E14)</f>
        <v>21.01.001.002</v>
      </c>
      <c r="G14" s="1532" t="s">
        <v>19</v>
      </c>
      <c r="H14" s="1295">
        <f>+'P01 2023'!F7</f>
        <v>18480.027999999998</v>
      </c>
      <c r="I14" s="99">
        <f>+'P01 2023'!BB7</f>
        <v>18480.027999999998</v>
      </c>
      <c r="J14" s="19">
        <f ca="1">SUMIF(S$3:$AH4,"ok",S14:AH14)</f>
        <v>5057.1760000000004</v>
      </c>
      <c r="K14" s="740">
        <f t="shared" ca="1" si="5"/>
        <v>0.27365629532595953</v>
      </c>
      <c r="L14" s="19">
        <f>+'P01 2023'!BC7</f>
        <v>5057.1760000000004</v>
      </c>
      <c r="M14" s="738">
        <f t="shared" si="1"/>
        <v>0.27365629532595953</v>
      </c>
      <c r="N14" s="19">
        <f>+'P01 2023'!BE7</f>
        <v>13422.852000000001</v>
      </c>
      <c r="O14" s="629">
        <f t="shared" si="2"/>
        <v>0.72634370467404064</v>
      </c>
      <c r="P14" s="219">
        <f>+'P01 2022'!AZ7</f>
        <v>17054.645503</v>
      </c>
      <c r="Q14" s="19">
        <f>SUMIF(S$3:$AH$3,"SI",S14:AH14)</f>
        <v>5450.331592999999</v>
      </c>
      <c r="R14" s="1305">
        <f t="shared" ref="R14:R46" si="8">IFERROR(Q14/P14,"0%")</f>
        <v>0.31958046809247709</v>
      </c>
      <c r="S14" s="1317">
        <f>+'P01 2023'!I7</f>
        <v>1260.6780000000001</v>
      </c>
      <c r="T14" s="1186">
        <f>+'P01 2022'!F7</f>
        <v>1372.2139439999999</v>
      </c>
      <c r="U14" s="1295">
        <f>+'P01 2023'!N7</f>
        <v>1260.6780000000001</v>
      </c>
      <c r="V14" s="1345">
        <f>+'P01 2022'!M7</f>
        <v>1372.2139439999999</v>
      </c>
      <c r="W14" s="578">
        <f>+'P01 2023'!AD7</f>
        <v>1260.6780000000001</v>
      </c>
      <c r="X14" s="1345">
        <f>+'P01 2022'!AB7</f>
        <v>1352.0297</v>
      </c>
      <c r="Y14" s="1295">
        <f>+'P01 2023'!AT7</f>
        <v>1275.1420000000001</v>
      </c>
      <c r="Z14" s="1186">
        <f>+'P01 2022'!AQ7</f>
        <v>1353.8740049999999</v>
      </c>
      <c r="AA14" s="219">
        <f>+'P01 2022'!BI7</f>
        <v>1273.635</v>
      </c>
      <c r="AB14" s="19">
        <f>+'P01 2022'!CC7</f>
        <v>1260.2</v>
      </c>
      <c r="AC14" s="19">
        <f>+'P01 2022'!CY7</f>
        <v>1260.2</v>
      </c>
      <c r="AD14" s="19">
        <f>+'P01 2022'!DR7</f>
        <v>1260.2</v>
      </c>
      <c r="AE14" s="1345">
        <f>+'P01 2022'!EJ7</f>
        <v>1273.635</v>
      </c>
      <c r="AF14" s="333">
        <f>+'P01 2022'!FC7</f>
        <v>1235.413</v>
      </c>
      <c r="AG14" s="19">
        <f>+'P01 2022'!GA7</f>
        <v>1338.7270000000001</v>
      </c>
      <c r="AH14" s="1186">
        <f>+'P01 2022'!GX7</f>
        <v>1337.35</v>
      </c>
      <c r="AI14" s="71"/>
      <c r="AJ14" s="1421"/>
      <c r="AK14" s="1421"/>
      <c r="AL14" s="1421"/>
      <c r="AM14" s="1421"/>
      <c r="AN14" s="71"/>
      <c r="AO14" s="1498"/>
      <c r="AP14" s="1498"/>
      <c r="AQ14" s="1498"/>
      <c r="AR14" s="1498"/>
      <c r="AS14" s="1480"/>
      <c r="AT14" s="417"/>
      <c r="AU14" s="803"/>
      <c r="AV14" s="803"/>
      <c r="AW14" s="803"/>
      <c r="AX14" s="803"/>
    </row>
    <row r="15" spans="1:50" ht="15" customHeight="1" x14ac:dyDescent="0.25">
      <c r="A15" s="1508" t="s">
        <v>476</v>
      </c>
      <c r="B15" s="861"/>
      <c r="C15" s="185"/>
      <c r="D15" s="18"/>
      <c r="E15" s="18">
        <v>3</v>
      </c>
      <c r="F15" s="18" t="str">
        <f>+CONCATENATE($B$10,"",$C$11,"",$D$12,"00",E15)</f>
        <v>21.01.001.003</v>
      </c>
      <c r="G15" s="1532" t="s">
        <v>20</v>
      </c>
      <c r="H15" s="1295">
        <f>+'P01 2023'!F8</f>
        <v>100269.412</v>
      </c>
      <c r="I15" s="99">
        <f>+'P01 2023'!BB8</f>
        <v>100269.412</v>
      </c>
      <c r="J15" s="19">
        <f ca="1">SUMIF(S$3:$AH5,"ok",S15:AH15)</f>
        <v>27821.955999999998</v>
      </c>
      <c r="K15" s="740">
        <f t="shared" ca="1" si="5"/>
        <v>0.27747201708931929</v>
      </c>
      <c r="L15" s="19">
        <f>+'P01 2023'!BC8</f>
        <v>27821.955999999998</v>
      </c>
      <c r="M15" s="738">
        <f t="shared" si="1"/>
        <v>0.27747201708931929</v>
      </c>
      <c r="N15" s="19">
        <f>+'P01 2023'!BE8</f>
        <v>72447.456000000006</v>
      </c>
      <c r="O15" s="629">
        <f t="shared" si="2"/>
        <v>0.72252798291068077</v>
      </c>
      <c r="P15" s="219">
        <f>+'P01 2022'!AZ8</f>
        <v>92535.537214999989</v>
      </c>
      <c r="Q15" s="19">
        <f>SUMIF(S$3:$AH$3,"SI",S15:AH15)</f>
        <v>28487.222195999999</v>
      </c>
      <c r="R15" s="1305">
        <f t="shared" si="8"/>
        <v>0.30785169734101059</v>
      </c>
      <c r="S15" s="1317">
        <f>+'P01 2023'!I8</f>
        <v>6955.4889999999996</v>
      </c>
      <c r="T15" s="1186">
        <f>+'P01 2022'!F8</f>
        <v>7121.8055489999997</v>
      </c>
      <c r="U15" s="1295">
        <f>+'P01 2023'!N8</f>
        <v>6955.4889999999996</v>
      </c>
      <c r="V15" s="1345">
        <f>+'P01 2022'!M8</f>
        <v>7121.8055489999997</v>
      </c>
      <c r="W15" s="578">
        <f>+'P01 2023'!AD8</f>
        <v>6955.4889999999996</v>
      </c>
      <c r="X15" s="1345">
        <f>+'P01 2022'!AB8</f>
        <v>7121.8055489999997</v>
      </c>
      <c r="Y15" s="1295">
        <f>+'P01 2023'!AT8</f>
        <v>6955.4889999999996</v>
      </c>
      <c r="Z15" s="1186">
        <f>+'P01 2022'!AQ8</f>
        <v>7121.8055489999997</v>
      </c>
      <c r="AA15" s="219">
        <f>+'P01 2022'!BI8</f>
        <v>6699.723</v>
      </c>
      <c r="AB15" s="19">
        <f>+'P01 2022'!CC8</f>
        <v>7269.3689999999997</v>
      </c>
      <c r="AC15" s="19">
        <f>+'P01 2022'!CY8</f>
        <v>7269.3689999999997</v>
      </c>
      <c r="AD15" s="19">
        <f>+'P01 2022'!DR8</f>
        <v>7269.3689999999997</v>
      </c>
      <c r="AE15" s="1345">
        <f>+'P01 2022'!EJ8</f>
        <v>7269.3689999999997</v>
      </c>
      <c r="AF15" s="333">
        <f>+'P01 2022'!FC8</f>
        <v>7269.3689999999997</v>
      </c>
      <c r="AG15" s="19">
        <f>+'P01 2022'!GA8</f>
        <v>7269.3689999999997</v>
      </c>
      <c r="AH15" s="1186">
        <f>+'P01 2022'!GX8</f>
        <v>7474.9830000000002</v>
      </c>
      <c r="AI15" s="71"/>
      <c r="AJ15" s="1421"/>
      <c r="AK15" s="1421"/>
      <c r="AL15" s="1421"/>
      <c r="AM15" s="1421"/>
      <c r="AN15" s="71"/>
      <c r="AO15" s="1498"/>
      <c r="AP15" s="1498"/>
      <c r="AQ15" s="1498"/>
      <c r="AR15" s="1498"/>
      <c r="AS15" s="1480"/>
      <c r="AT15" s="417"/>
      <c r="AU15" s="803"/>
      <c r="AV15" s="803"/>
      <c r="AW15" s="803"/>
      <c r="AX15" s="803"/>
    </row>
    <row r="16" spans="1:50" ht="15" customHeight="1" x14ac:dyDescent="0.25">
      <c r="A16" s="1508" t="s">
        <v>556</v>
      </c>
      <c r="B16" s="861"/>
      <c r="C16" s="185"/>
      <c r="D16" s="18"/>
      <c r="E16" s="18">
        <v>7</v>
      </c>
      <c r="F16" s="18" t="str">
        <f>+CONCATENATE($B$10,"",$C$11,"",$D$12,"00",E16)</f>
        <v>21.01.001.007</v>
      </c>
      <c r="G16" s="1532" t="s">
        <v>129</v>
      </c>
      <c r="H16" s="1295">
        <f>+'P01 2023'!F9</f>
        <v>9704.8359999999993</v>
      </c>
      <c r="I16" s="99">
        <f>+'P01 2023'!BB9</f>
        <v>9704.8359999999993</v>
      </c>
      <c r="J16" s="19">
        <f ca="1">SUMIF(S$3:$AH7,"ok",S16:AH16)</f>
        <v>3113.6439999999998</v>
      </c>
      <c r="K16" s="740">
        <f t="shared" ca="1" si="5"/>
        <v>0.32083427272753501</v>
      </c>
      <c r="L16" s="19">
        <f>+'P01 2023'!BC9</f>
        <v>3113.6439999999998</v>
      </c>
      <c r="M16" s="738">
        <f t="shared" si="1"/>
        <v>0.32083427272753501</v>
      </c>
      <c r="N16" s="19">
        <f>+'P01 2023'!BE9</f>
        <v>6591.192</v>
      </c>
      <c r="O16" s="629">
        <f t="shared" si="2"/>
        <v>0.67916572727246505</v>
      </c>
      <c r="P16" s="219">
        <f>+'P01 2022'!AZ9</f>
        <v>8919.0876809999991</v>
      </c>
      <c r="Q16" s="19">
        <f>SUMIF(S$3:$AH$3,"SI",S16:AH16)</f>
        <v>2955.1825199999998</v>
      </c>
      <c r="R16" s="1305">
        <f t="shared" si="8"/>
        <v>0.33133237677383925</v>
      </c>
      <c r="S16" s="1317">
        <f>+'P01 2023'!I9</f>
        <v>778.41099999999994</v>
      </c>
      <c r="T16" s="1186">
        <f>+'P01 2022'!F9</f>
        <v>738.79562999999996</v>
      </c>
      <c r="U16" s="1295">
        <f>+'P01 2023'!N9</f>
        <v>778.41099999999994</v>
      </c>
      <c r="V16" s="1345">
        <f>+'P01 2022'!M9</f>
        <v>738.79562999999996</v>
      </c>
      <c r="W16" s="578">
        <f>+'P01 2023'!AD9</f>
        <v>778.41099999999994</v>
      </c>
      <c r="X16" s="1345">
        <f>+'P01 2022'!AB9</f>
        <v>738.79562999999996</v>
      </c>
      <c r="Y16" s="1295">
        <f>+'P01 2023'!AT9</f>
        <v>778.41099999999994</v>
      </c>
      <c r="Z16" s="1186">
        <f>+'P01 2022'!AQ9</f>
        <v>738.79562999999996</v>
      </c>
      <c r="AA16" s="219">
        <f>+'P01 2022'!BI9</f>
        <v>695.01</v>
      </c>
      <c r="AB16" s="19">
        <f>+'P01 2022'!CC9</f>
        <v>695.01</v>
      </c>
      <c r="AC16" s="19">
        <f>+'P01 2022'!CY9</f>
        <v>695.01</v>
      </c>
      <c r="AD16" s="19">
        <f>+'P01 2022'!DR9</f>
        <v>695.01</v>
      </c>
      <c r="AE16" s="1345">
        <f>+'P01 2022'!EJ9</f>
        <v>695.01</v>
      </c>
      <c r="AF16" s="333">
        <f>+'P01 2022'!FC9</f>
        <v>695.01</v>
      </c>
      <c r="AG16" s="19">
        <f>+'P01 2022'!GA9</f>
        <v>695.01</v>
      </c>
      <c r="AH16" s="1186">
        <f>+'P01 2022'!GX9</f>
        <v>778.41099999999994</v>
      </c>
      <c r="AI16" s="71"/>
      <c r="AJ16" s="1421"/>
      <c r="AK16" s="1421"/>
      <c r="AL16" s="1421"/>
      <c r="AM16" s="1421"/>
      <c r="AN16" s="71"/>
      <c r="AO16" s="1498"/>
      <c r="AP16" s="1498"/>
      <c r="AQ16" s="1498"/>
      <c r="AR16" s="1498"/>
      <c r="AS16" s="1480"/>
      <c r="AT16" s="417"/>
      <c r="AU16" s="803"/>
      <c r="AV16" s="803"/>
      <c r="AW16" s="803"/>
      <c r="AX16" s="803"/>
    </row>
    <row r="17" spans="1:50" ht="15" customHeight="1" x14ac:dyDescent="0.25">
      <c r="A17" s="1508" t="s">
        <v>557</v>
      </c>
      <c r="B17" s="861"/>
      <c r="C17" s="185"/>
      <c r="D17" s="18"/>
      <c r="E17" s="18">
        <v>12</v>
      </c>
      <c r="F17" s="18" t="str">
        <f t="shared" ref="F17:F22" si="9">+CONCATENATE($B$10,"",$C$11,"",$D$12,"0",E17)</f>
        <v>21.01.001.012</v>
      </c>
      <c r="G17" s="1532" t="s">
        <v>22</v>
      </c>
      <c r="H17" s="1295">
        <f>+'P01 2023'!F10</f>
        <v>3624.1959999999999</v>
      </c>
      <c r="I17" s="99">
        <f>+'P01 2023'!BB10</f>
        <v>3624.1959999999999</v>
      </c>
      <c r="J17" s="19">
        <f ca="1">SUMIF(S$3:$AH8,"ok",S17:AH17)</f>
        <v>709.86400000000003</v>
      </c>
      <c r="K17" s="740">
        <f t="shared" ca="1" si="5"/>
        <v>0.19586799389436996</v>
      </c>
      <c r="L17" s="19">
        <f>+'P01 2023'!BC10</f>
        <v>709.86400000000003</v>
      </c>
      <c r="M17" s="738">
        <f t="shared" si="1"/>
        <v>0.19586799389436996</v>
      </c>
      <c r="N17" s="19">
        <f>+'P01 2023'!BE10</f>
        <v>2914.3319999999999</v>
      </c>
      <c r="O17" s="629">
        <f t="shared" si="2"/>
        <v>0.80413200610563007</v>
      </c>
      <c r="P17" s="219">
        <f>+'P01 2022'!AZ10</f>
        <v>3344.6582789999998</v>
      </c>
      <c r="Q17" s="19">
        <f>SUMIF(S$3:$AH$3,"SI",S17:AH17)</f>
        <v>754.58543199999997</v>
      </c>
      <c r="R17" s="1305">
        <f t="shared" si="8"/>
        <v>0.2256091262709233</v>
      </c>
      <c r="S17" s="1318">
        <f>+'P01 2023'!I10</f>
        <v>177.46600000000001</v>
      </c>
      <c r="T17" s="1186">
        <f>+'P01 2022'!F10</f>
        <v>188.64635799999999</v>
      </c>
      <c r="U17" s="1295">
        <f>+'P01 2023'!N10</f>
        <v>177.46600000000001</v>
      </c>
      <c r="V17" s="1345">
        <f>+'P01 2022'!M10</f>
        <v>188.64635799999999</v>
      </c>
      <c r="W17" s="578">
        <f>+'P01 2023'!AD10</f>
        <v>177.46600000000001</v>
      </c>
      <c r="X17" s="1345">
        <f>+'P01 2022'!AB10</f>
        <v>188.64635799999999</v>
      </c>
      <c r="Y17" s="1295">
        <f>+'P01 2023'!AT10</f>
        <v>177.46600000000001</v>
      </c>
      <c r="Z17" s="1186">
        <f>+'P01 2022'!AQ10</f>
        <v>188.64635799999999</v>
      </c>
      <c r="AA17" s="219">
        <f>+'P01 2022'!BI10</f>
        <v>177.46600000000001</v>
      </c>
      <c r="AB17" s="19">
        <f>+'P01 2022'!CC10</f>
        <v>177.46600000000001</v>
      </c>
      <c r="AC17" s="19">
        <f>+'P01 2022'!CY10</f>
        <v>177.46600000000001</v>
      </c>
      <c r="AD17" s="19">
        <f>+'P01 2022'!DR10</f>
        <v>177.46600000000001</v>
      </c>
      <c r="AE17" s="1345">
        <f>+'P01 2022'!EJ10</f>
        <v>177.46600000000001</v>
      </c>
      <c r="AF17" s="333">
        <f>+'P01 2022'!FC10</f>
        <v>177.46600000000001</v>
      </c>
      <c r="AG17" s="19">
        <f>+'P01 2022'!GA10</f>
        <v>177.46600000000001</v>
      </c>
      <c r="AH17" s="1186">
        <f>+'P01 2022'!GX10</f>
        <v>177.46600000000001</v>
      </c>
      <c r="AI17" s="71"/>
      <c r="AJ17" s="1421"/>
      <c r="AK17" s="1421"/>
      <c r="AL17" s="1421"/>
      <c r="AM17" s="1421"/>
      <c r="AN17" s="71"/>
      <c r="AO17" s="1498"/>
      <c r="AP17" s="1498"/>
      <c r="AQ17" s="1498"/>
      <c r="AR17" s="1498"/>
      <c r="AS17" s="1480"/>
      <c r="AT17" s="417"/>
      <c r="AU17" s="803"/>
      <c r="AV17" s="803"/>
      <c r="AW17" s="803"/>
      <c r="AX17" s="803"/>
    </row>
    <row r="18" spans="1:50" ht="15" customHeight="1" x14ac:dyDescent="0.25">
      <c r="A18" s="1508" t="s">
        <v>558</v>
      </c>
      <c r="B18" s="861"/>
      <c r="C18" s="185"/>
      <c r="D18" s="18"/>
      <c r="E18" s="18">
        <v>13</v>
      </c>
      <c r="F18" s="18" t="str">
        <f t="shared" si="9"/>
        <v>21.01.001.013</v>
      </c>
      <c r="G18" s="1532" t="s">
        <v>23</v>
      </c>
      <c r="H18" s="1295">
        <f>+'P01 2023'!F11</f>
        <v>63244.34</v>
      </c>
      <c r="I18" s="99">
        <f>+'P01 2023'!BB11</f>
        <v>63244.34</v>
      </c>
      <c r="J18" s="19">
        <f ca="1">SUMIF(S$3:$AH9,"ok",S18:AH18)</f>
        <v>16345.684000000001</v>
      </c>
      <c r="K18" s="740">
        <f t="shared" ca="1" si="5"/>
        <v>0.25845291452167896</v>
      </c>
      <c r="L18" s="19">
        <f>+'P01 2023'!BC11</f>
        <v>16345.683999999999</v>
      </c>
      <c r="M18" s="738">
        <f t="shared" si="1"/>
        <v>0.25845291452167896</v>
      </c>
      <c r="N18" s="19">
        <f>+'P01 2023'!BE11</f>
        <v>46898.656000000003</v>
      </c>
      <c r="O18" s="629">
        <f t="shared" si="2"/>
        <v>0.74154708547832116</v>
      </c>
      <c r="P18" s="219">
        <f>+'P01 2022'!AZ11</f>
        <v>58366.244111</v>
      </c>
      <c r="Q18" s="19">
        <f>SUMIF(S$3:$AH$3,"SI",S18:AH18)</f>
        <v>17181.504986</v>
      </c>
      <c r="R18" s="1305">
        <f t="shared" si="8"/>
        <v>0.29437400414740555</v>
      </c>
      <c r="S18" s="1317">
        <f>+'P01 2023'!I11</f>
        <v>3675.88</v>
      </c>
      <c r="T18" s="1186">
        <f>+'P01 2022'!F11</f>
        <v>3907.4604399999998</v>
      </c>
      <c r="U18" s="1295">
        <f>+'P01 2023'!N11</f>
        <v>3675.88</v>
      </c>
      <c r="V18" s="1345">
        <f>+'P01 2022'!M11</f>
        <v>3907.4604399999998</v>
      </c>
      <c r="W18" s="578">
        <f>+'P01 2023'!AD11</f>
        <v>5318.0439999999999</v>
      </c>
      <c r="X18" s="1345">
        <f>+'P01 2022'!AB11</f>
        <v>5459.1236660000004</v>
      </c>
      <c r="Y18" s="1295">
        <f>+'P01 2023'!AT11</f>
        <v>3675.88</v>
      </c>
      <c r="Z18" s="1186">
        <f>+'P01 2022'!AQ11</f>
        <v>3907.4604399999998</v>
      </c>
      <c r="AA18" s="219">
        <f>+'P01 2022'!BI11</f>
        <v>3675.88</v>
      </c>
      <c r="AB18" s="19">
        <f>+'P01 2022'!CC11</f>
        <v>5318.0439999999999</v>
      </c>
      <c r="AC18" s="19">
        <f>+'P01 2022'!CY11</f>
        <v>3675.88</v>
      </c>
      <c r="AD18" s="19">
        <f>+'P01 2022'!DR11</f>
        <v>3675.88</v>
      </c>
      <c r="AE18" s="1345">
        <f>+'P01 2022'!EJ11</f>
        <v>5172.0730000000003</v>
      </c>
      <c r="AF18" s="333">
        <f>+'P01 2022'!FC11</f>
        <v>3675.88</v>
      </c>
      <c r="AG18" s="19">
        <f>+'P01 2022'!GA11</f>
        <v>3675.88</v>
      </c>
      <c r="AH18" s="1186">
        <f>+'P01 2022'!GX11</f>
        <v>5318.0439999999999</v>
      </c>
      <c r="AI18" s="71"/>
      <c r="AJ18" s="1421"/>
      <c r="AK18" s="1421"/>
      <c r="AL18" s="1421"/>
      <c r="AM18" s="1421"/>
      <c r="AN18" s="71"/>
      <c r="AO18" s="1498"/>
      <c r="AP18" s="1498"/>
      <c r="AQ18" s="1498"/>
      <c r="AR18" s="1498"/>
      <c r="AS18" s="1480"/>
      <c r="AT18" s="417"/>
      <c r="AU18" s="803"/>
      <c r="AV18" s="803"/>
      <c r="AW18" s="803"/>
      <c r="AX18" s="803"/>
    </row>
    <row r="19" spans="1:50" ht="15" customHeight="1" x14ac:dyDescent="0.25">
      <c r="A19" s="1508" t="s">
        <v>559</v>
      </c>
      <c r="B19" s="861"/>
      <c r="C19" s="185"/>
      <c r="D19" s="18"/>
      <c r="E19" s="18">
        <v>14</v>
      </c>
      <c r="F19" s="18" t="str">
        <f t="shared" si="9"/>
        <v>21.01.001.014</v>
      </c>
      <c r="G19" s="1532" t="s">
        <v>24</v>
      </c>
      <c r="H19" s="1295">
        <f>+'P01 2023'!F12</f>
        <v>94261.555999999997</v>
      </c>
      <c r="I19" s="99">
        <f>+'P01 2023'!BB12</f>
        <v>94261.555999999997</v>
      </c>
      <c r="J19" s="19">
        <f ca="1">SUMIF(S$3:$AH10,"ok",S19:AH19)</f>
        <v>24905.285000000003</v>
      </c>
      <c r="K19" s="740">
        <f t="shared" ca="1" si="5"/>
        <v>0.26421466032239066</v>
      </c>
      <c r="L19" s="19">
        <f>+'P01 2023'!BC12</f>
        <v>24905.285</v>
      </c>
      <c r="M19" s="738">
        <f t="shared" si="1"/>
        <v>0.2642146603223906</v>
      </c>
      <c r="N19" s="19">
        <f>+'P01 2023'!BE12</f>
        <v>69356.270999999993</v>
      </c>
      <c r="O19" s="629">
        <f t="shared" si="2"/>
        <v>0.7357853396776094</v>
      </c>
      <c r="P19" s="219">
        <f>+'P01 2022'!AZ12</f>
        <v>86991.072719999996</v>
      </c>
      <c r="Q19" s="19">
        <f>SUMIF(S$3:$AH$3,"SI",S19:AH19)</f>
        <v>27226.659393999998</v>
      </c>
      <c r="R19" s="1305">
        <f t="shared" si="8"/>
        <v>0.31298222383847391</v>
      </c>
      <c r="S19" s="1317">
        <f>+'P01 2023'!I12</f>
        <v>6082.5510000000004</v>
      </c>
      <c r="T19" s="1186">
        <f>+'P01 2022'!F12</f>
        <v>6747.2745070000001</v>
      </c>
      <c r="U19" s="1295">
        <f>+'P01 2023'!N12</f>
        <v>6082.5510000000004</v>
      </c>
      <c r="V19" s="1345">
        <f>+'P01 2022'!M12</f>
        <v>6747.2745070000001</v>
      </c>
      <c r="W19" s="578">
        <f>+'P01 2023'!AD12</f>
        <v>6655.7449999999999</v>
      </c>
      <c r="X19" s="1345">
        <f>+'P01 2022'!AB12</f>
        <v>7359.3052609999995</v>
      </c>
      <c r="Y19" s="1295">
        <f>+'P01 2023'!AT12</f>
        <v>6084.4380000000001</v>
      </c>
      <c r="Z19" s="1186">
        <f>+'P01 2022'!AQ12</f>
        <v>6372.8051189999996</v>
      </c>
      <c r="AA19" s="219">
        <f>+'P01 2022'!BI12</f>
        <v>5995.1130000000003</v>
      </c>
      <c r="AB19" s="19">
        <f>+'P01 2022'!CC12</f>
        <v>7087.3429999999998</v>
      </c>
      <c r="AC19" s="19">
        <f>+'P01 2022'!CY12</f>
        <v>6308.8810000000003</v>
      </c>
      <c r="AD19" s="19">
        <f>+'P01 2022'!DR12</f>
        <v>6318.5590000000002</v>
      </c>
      <c r="AE19" s="1345">
        <f>+'P01 2022'!EJ12</f>
        <v>6938.89</v>
      </c>
      <c r="AF19" s="333">
        <f>+'P01 2022'!FC12</f>
        <v>6435.018</v>
      </c>
      <c r="AG19" s="19">
        <f>+'P01 2022'!GA12</f>
        <v>6448.5</v>
      </c>
      <c r="AH19" s="1186">
        <f>+'P01 2022'!GX12</f>
        <v>7451.3580000000002</v>
      </c>
      <c r="AI19" s="71"/>
      <c r="AJ19" s="1421"/>
      <c r="AK19" s="1421"/>
      <c r="AL19" s="1421"/>
      <c r="AM19" s="1421"/>
      <c r="AN19" s="71"/>
      <c r="AO19" s="1498"/>
      <c r="AP19" s="1498"/>
      <c r="AQ19" s="1498"/>
      <c r="AR19" s="1498"/>
      <c r="AS19" s="1480"/>
      <c r="AT19" s="417"/>
      <c r="AU19" s="803"/>
      <c r="AV19" s="803"/>
      <c r="AW19" s="803"/>
      <c r="AX19" s="803"/>
    </row>
    <row r="20" spans="1:50" ht="15" customHeight="1" x14ac:dyDescent="0.25">
      <c r="A20" s="1508" t="s">
        <v>560</v>
      </c>
      <c r="B20" s="861"/>
      <c r="C20" s="185"/>
      <c r="D20" s="18"/>
      <c r="E20" s="18">
        <v>15</v>
      </c>
      <c r="F20" s="18" t="str">
        <f t="shared" si="9"/>
        <v>21.01.001.015</v>
      </c>
      <c r="G20" s="1532" t="s">
        <v>25</v>
      </c>
      <c r="H20" s="1295">
        <f>+'P01 2023'!F13</f>
        <v>234364.65100000001</v>
      </c>
      <c r="I20" s="99">
        <f>+'P01 2023'!BB13</f>
        <v>234364.65100000001</v>
      </c>
      <c r="J20" s="19">
        <f ca="1">SUMIF(S$3:$AH11,"ok",S20:AH20)</f>
        <v>61773.724000000002</v>
      </c>
      <c r="K20" s="740">
        <f t="shared" ca="1" si="5"/>
        <v>0.26357952761400011</v>
      </c>
      <c r="L20" s="19">
        <f>+'P01 2023'!BC13</f>
        <v>61773.724000000002</v>
      </c>
      <c r="M20" s="738">
        <f t="shared" si="1"/>
        <v>0.26357952761400011</v>
      </c>
      <c r="N20" s="19">
        <f>+'P01 2023'!BE13</f>
        <v>172590.927</v>
      </c>
      <c r="O20" s="629">
        <f t="shared" si="2"/>
        <v>0.73642047238599984</v>
      </c>
      <c r="P20" s="219">
        <f>+'P01 2022'!AZ13</f>
        <v>216287.88290799997</v>
      </c>
      <c r="Q20" s="19">
        <f>SUMIF(S$3:$AH$3,"SI",S20:AH20)</f>
        <v>67035.047378999996</v>
      </c>
      <c r="R20" s="1305">
        <f t="shared" si="8"/>
        <v>0.30993436376421496</v>
      </c>
      <c r="S20" s="1317">
        <f>+'P01 2023'!I13</f>
        <v>15443.431</v>
      </c>
      <c r="T20" s="1186">
        <f>+'P01 2022'!F13</f>
        <v>17169.756709999998</v>
      </c>
      <c r="U20" s="1295">
        <f>+'P01 2023'!N13</f>
        <v>15443.431</v>
      </c>
      <c r="V20" s="1345">
        <f>+'P01 2022'!M13</f>
        <v>17169.756709999998</v>
      </c>
      <c r="W20" s="578">
        <f>+'P01 2023'!AD13</f>
        <v>15443.431</v>
      </c>
      <c r="X20" s="1345">
        <f>+'P01 2022'!AB13</f>
        <v>16512.164712999998</v>
      </c>
      <c r="Y20" s="1295">
        <f>+'P01 2023'!AT13</f>
        <v>15443.431</v>
      </c>
      <c r="Z20" s="1186">
        <f>+'P01 2022'!AQ13</f>
        <v>16183.369246</v>
      </c>
      <c r="AA20" s="219">
        <f>+'P01 2022'!BI13</f>
        <v>15224.242</v>
      </c>
      <c r="AB20" s="19">
        <f>+'P01 2022'!CC13</f>
        <v>16542.148000000001</v>
      </c>
      <c r="AC20" s="19">
        <f>+'P01 2022'!CY13</f>
        <v>16205.368</v>
      </c>
      <c r="AD20" s="19">
        <f>+'P01 2022'!DR13</f>
        <v>16212.967000000001</v>
      </c>
      <c r="AE20" s="1345">
        <f>+'P01 2022'!EJ13</f>
        <v>16212.967000000001</v>
      </c>
      <c r="AF20" s="333">
        <f>+'P01 2022'!FC13</f>
        <v>16553.760999999999</v>
      </c>
      <c r="AG20" s="19">
        <f>+'P01 2022'!GA13</f>
        <v>16553.760999999999</v>
      </c>
      <c r="AH20" s="1186">
        <f>+'P01 2022'!GX13</f>
        <v>16970.225999999999</v>
      </c>
      <c r="AI20" s="71"/>
      <c r="AJ20" s="1421"/>
      <c r="AK20" s="1421"/>
      <c r="AL20" s="1421"/>
      <c r="AM20" s="1421"/>
      <c r="AN20" s="71"/>
      <c r="AO20" s="1498"/>
      <c r="AP20" s="1498"/>
      <c r="AQ20" s="1498"/>
      <c r="AR20" s="1498"/>
      <c r="AS20" s="1480"/>
      <c r="AT20" s="417"/>
      <c r="AU20" s="803"/>
      <c r="AV20" s="803"/>
      <c r="AW20" s="803"/>
      <c r="AX20" s="803"/>
    </row>
    <row r="21" spans="1:50" ht="15" customHeight="1" x14ac:dyDescent="0.25">
      <c r="A21" s="1508" t="s">
        <v>561</v>
      </c>
      <c r="B21" s="861"/>
      <c r="C21" s="185"/>
      <c r="D21" s="18"/>
      <c r="E21" s="18">
        <v>22</v>
      </c>
      <c r="F21" s="18" t="str">
        <f t="shared" si="9"/>
        <v>21.01.001.022</v>
      </c>
      <c r="G21" s="1532" t="s">
        <v>26</v>
      </c>
      <c r="H21" s="1295">
        <f>+'P01 2023'!F14</f>
        <v>75479.017000000007</v>
      </c>
      <c r="I21" s="99">
        <f>+'P01 2023'!BB14</f>
        <v>75479.017000000007</v>
      </c>
      <c r="J21" s="19">
        <f ca="1">SUMIF(S$3:$AH13,"ok",S21:AH21)</f>
        <v>14936.298000000001</v>
      </c>
      <c r="K21" s="740">
        <f t="shared" ca="1" si="5"/>
        <v>0.19788675838213418</v>
      </c>
      <c r="L21" s="19">
        <f>+'P01 2023'!BC14</f>
        <v>14936.298000000001</v>
      </c>
      <c r="M21" s="738">
        <f t="shared" si="1"/>
        <v>0.19788675838213418</v>
      </c>
      <c r="N21" s="19">
        <f>+'P01 2023'!BE14</f>
        <v>60542.718999999997</v>
      </c>
      <c r="O21" s="629">
        <f t="shared" si="2"/>
        <v>0.80211324161786568</v>
      </c>
      <c r="P21" s="219">
        <f>+'P01 2022'!AZ14</f>
        <v>69657.24833799999</v>
      </c>
      <c r="Q21" s="19">
        <f>SUMIF(S$3:$AH$3,"SI",S21:AH21)</f>
        <v>15922.908734000001</v>
      </c>
      <c r="R21" s="1305">
        <f t="shared" si="8"/>
        <v>0.22858940187727175</v>
      </c>
      <c r="S21" s="1317">
        <f>+'P01 2023'!I14</f>
        <v>0</v>
      </c>
      <c r="T21" s="1186">
        <v>0</v>
      </c>
      <c r="U21" s="1295">
        <v>0</v>
      </c>
      <c r="V21" s="1345">
        <v>0</v>
      </c>
      <c r="W21" s="578">
        <f>+'P01 2023'!AD14</f>
        <v>14936.298000000001</v>
      </c>
      <c r="X21" s="1345">
        <f>+'P01 2022'!AB14</f>
        <v>15922.908734000001</v>
      </c>
      <c r="Y21" s="1295">
        <f>+'P01 2023'!AT14</f>
        <v>0</v>
      </c>
      <c r="Z21" s="1186">
        <f>+'P01 2022'!AQ14</f>
        <v>0</v>
      </c>
      <c r="AA21" s="219">
        <v>0</v>
      </c>
      <c r="AB21" s="19">
        <f>+'P01 2022'!CC14</f>
        <v>15580.983</v>
      </c>
      <c r="AC21" s="19">
        <f>+'P01 2022'!CY14</f>
        <v>0</v>
      </c>
      <c r="AD21" s="19">
        <v>0</v>
      </c>
      <c r="AE21" s="1345">
        <f>+'P01 2022'!EJ14</f>
        <v>15432.959000000001</v>
      </c>
      <c r="AF21" s="333">
        <f>+'P01 2022'!FC14</f>
        <v>0</v>
      </c>
      <c r="AG21" s="19">
        <f>+'P01 2022'!GA14</f>
        <v>0</v>
      </c>
      <c r="AH21" s="1186">
        <f>+'P01 2022'!GX14</f>
        <v>15565.08</v>
      </c>
      <c r="AI21" s="71"/>
      <c r="AJ21" s="1421"/>
      <c r="AK21" s="1421"/>
      <c r="AL21" s="1421"/>
      <c r="AM21" s="1421"/>
      <c r="AN21" s="71"/>
      <c r="AO21" s="1498"/>
      <c r="AP21" s="1498"/>
      <c r="AQ21" s="1498"/>
      <c r="AR21" s="1498"/>
      <c r="AS21" s="1480"/>
      <c r="AT21" s="417"/>
      <c r="AU21" s="803"/>
      <c r="AV21" s="803"/>
      <c r="AW21" s="803"/>
      <c r="AX21" s="803"/>
    </row>
    <row r="22" spans="1:50" ht="15" customHeight="1" x14ac:dyDescent="0.25">
      <c r="A22" s="1508" t="s">
        <v>562</v>
      </c>
      <c r="B22" s="861"/>
      <c r="C22" s="185"/>
      <c r="D22" s="18"/>
      <c r="E22" s="18">
        <v>39</v>
      </c>
      <c r="F22" s="18" t="str">
        <f t="shared" si="9"/>
        <v>21.01.001.039</v>
      </c>
      <c r="G22" s="1532" t="s">
        <v>27</v>
      </c>
      <c r="H22" s="1295">
        <f>+'P01 2023'!F15</f>
        <v>22953.239000000001</v>
      </c>
      <c r="I22" s="99">
        <f>+'P01 2023'!BB15</f>
        <v>22953.239000000001</v>
      </c>
      <c r="J22" s="19">
        <f ca="1">SUMIF(S$3:$AH14,"ok",S22:AH22)</f>
        <v>3417.84</v>
      </c>
      <c r="K22" s="740">
        <f t="shared" ca="1" si="5"/>
        <v>0.14890447487607306</v>
      </c>
      <c r="L22" s="19">
        <f>+'P01 2023'!BC15</f>
        <v>3417.84</v>
      </c>
      <c r="M22" s="738">
        <f t="shared" si="1"/>
        <v>0.14890447487607306</v>
      </c>
      <c r="N22" s="19">
        <f>+'P01 2023'!BE15</f>
        <v>19535.399000000001</v>
      </c>
      <c r="O22" s="629">
        <f t="shared" si="2"/>
        <v>0.85109552512392694</v>
      </c>
      <c r="P22" s="219">
        <f>+'P01 2022'!AZ15</f>
        <v>21182.833640999997</v>
      </c>
      <c r="Q22" s="19">
        <f>SUMIF(S$3:$AH$3,"SI",S22:AH22)</f>
        <v>4842.3646879999997</v>
      </c>
      <c r="R22" s="1305">
        <f t="shared" si="8"/>
        <v>0.2285985326640842</v>
      </c>
      <c r="S22" s="1317">
        <f>+'P01 2023'!I15</f>
        <v>854.46</v>
      </c>
      <c r="T22" s="1186">
        <f>+'P01 2022'!F15</f>
        <v>1765.1944139999998</v>
      </c>
      <c r="U22" s="1295">
        <f>+'P01 2023'!N14</f>
        <v>854.46</v>
      </c>
      <c r="V22" s="1345">
        <f>+'P01 2022'!M14</f>
        <v>1765.1944139999998</v>
      </c>
      <c r="W22" s="578">
        <f>+'P01 2023'!AD15</f>
        <v>854.46</v>
      </c>
      <c r="X22" s="1345">
        <f>+'P01 2022'!AB15</f>
        <v>706.44853999999998</v>
      </c>
      <c r="Y22" s="1295">
        <f>+'P01 2023'!AT15</f>
        <v>854.46</v>
      </c>
      <c r="Z22" s="1186">
        <f>+'P01 2022'!AQ15</f>
        <v>605.52731999999992</v>
      </c>
      <c r="AA22" s="219">
        <f>+'P01 2022'!BI14</f>
        <v>569.64</v>
      </c>
      <c r="AB22" s="19">
        <f>+'P01 2022'!CC15</f>
        <v>854.46</v>
      </c>
      <c r="AC22" s="19">
        <f>+'P01 2022'!CY15</f>
        <v>854.46</v>
      </c>
      <c r="AD22" s="19">
        <f>+'P01 2022'!DR14</f>
        <v>854.46</v>
      </c>
      <c r="AE22" s="1345">
        <f>+'P01 2022'!EJ15</f>
        <v>854.46</v>
      </c>
      <c r="AF22" s="333">
        <f>+'P01 2022'!FC15</f>
        <v>854.46</v>
      </c>
      <c r="AG22" s="19">
        <f>+'P01 2022'!GA15</f>
        <v>854.46</v>
      </c>
      <c r="AH22" s="1186">
        <f>+'P01 2022'!GX15</f>
        <v>854.46</v>
      </c>
      <c r="AI22" s="71"/>
      <c r="AJ22" s="1421"/>
      <c r="AK22" s="1421"/>
      <c r="AL22" s="1421"/>
      <c r="AM22" s="1421"/>
      <c r="AN22" s="71"/>
      <c r="AO22" s="1498"/>
      <c r="AP22" s="1498"/>
      <c r="AQ22" s="1498"/>
      <c r="AR22" s="1498"/>
      <c r="AS22" s="1480"/>
      <c r="AT22" s="417"/>
      <c r="AU22" s="803"/>
      <c r="AV22" s="803"/>
      <c r="AW22" s="803"/>
      <c r="AX22" s="803"/>
    </row>
    <row r="23" spans="1:50" ht="15" customHeight="1" x14ac:dyDescent="0.25">
      <c r="A23" s="1508" t="s">
        <v>991</v>
      </c>
      <c r="B23" s="861"/>
      <c r="C23" s="185"/>
      <c r="D23" s="18"/>
      <c r="E23" s="18">
        <v>998</v>
      </c>
      <c r="F23" s="18" t="s">
        <v>1000</v>
      </c>
      <c r="G23" s="1532" t="s">
        <v>998</v>
      </c>
      <c r="H23" s="1295">
        <f>+'P01 2023'!F16</f>
        <v>2112</v>
      </c>
      <c r="I23" s="99">
        <f>+'P01 2023'!BB16</f>
        <v>25344</v>
      </c>
      <c r="J23" s="19">
        <f ca="1">SUMIF(S$3:$AH15,"ok",S23:AH23)</f>
        <v>8448</v>
      </c>
      <c r="K23" s="740">
        <f t="shared" ref="K23" ca="1" si="10">IFERROR(J23/I23,"0.00"%)</f>
        <v>0.33333333333333331</v>
      </c>
      <c r="L23" s="19">
        <f>+'P01 2023'!BC16</f>
        <v>8448</v>
      </c>
      <c r="M23" s="738">
        <f t="shared" ref="M23" si="11">+IFERROR(L23/I23,0)</f>
        <v>0.33333333333333331</v>
      </c>
      <c r="N23" s="19">
        <f>+'P01 2023'!BE16</f>
        <v>16896</v>
      </c>
      <c r="O23" s="629">
        <f t="shared" ref="O23" si="12">+IFERROR(N23/I23,0)</f>
        <v>0.66666666666666663</v>
      </c>
      <c r="P23" s="219">
        <v>0</v>
      </c>
      <c r="Q23" s="19">
        <f>SUMIF(S$3:$AH$3,"SI",S23:AH23)</f>
        <v>0</v>
      </c>
      <c r="R23" s="1305" t="str">
        <f>IFERROR(Q23/P23,"0,00%")</f>
        <v>0,00%</v>
      </c>
      <c r="S23" s="1317">
        <f>+'P01 2023'!I16</f>
        <v>2112</v>
      </c>
      <c r="T23" s="1186">
        <v>0</v>
      </c>
      <c r="U23" s="1295">
        <f>+'P01 2023'!N15</f>
        <v>2112</v>
      </c>
      <c r="V23" s="1345">
        <v>0</v>
      </c>
      <c r="W23" s="578">
        <f>+'P01 2023'!AD16</f>
        <v>2112</v>
      </c>
      <c r="X23" s="1345">
        <v>0</v>
      </c>
      <c r="Y23" s="1295">
        <f>+'P01 2023'!AT16</f>
        <v>2112</v>
      </c>
      <c r="Z23" s="1186">
        <v>0</v>
      </c>
      <c r="AA23" s="219"/>
      <c r="AB23" s="19"/>
      <c r="AC23" s="19"/>
      <c r="AD23" s="19"/>
      <c r="AE23" s="1345"/>
      <c r="AF23" s="333"/>
      <c r="AG23" s="19"/>
      <c r="AH23" s="1186"/>
      <c r="AI23" s="71"/>
      <c r="AJ23" s="1421"/>
      <c r="AK23" s="1421"/>
      <c r="AL23" s="1421"/>
      <c r="AM23" s="1421"/>
      <c r="AN23" s="71"/>
      <c r="AO23" s="1498"/>
      <c r="AP23" s="1498"/>
      <c r="AQ23" s="1498"/>
      <c r="AR23" s="1498"/>
      <c r="AS23" s="1480"/>
      <c r="AT23" s="417"/>
      <c r="AU23" s="803"/>
      <c r="AV23" s="803"/>
      <c r="AW23" s="803"/>
      <c r="AX23" s="803"/>
    </row>
    <row r="24" spans="1:50" ht="15" customHeight="1" x14ac:dyDescent="0.25">
      <c r="A24" s="1508" t="s">
        <v>923</v>
      </c>
      <c r="B24" s="861"/>
      <c r="C24" s="185"/>
      <c r="D24" s="18"/>
      <c r="E24" s="18">
        <v>999</v>
      </c>
      <c r="F24" s="18" t="str">
        <f>+CONCATENATE($B$10,"",$C$11,"",$D$12,"0",E24)</f>
        <v>21.01.001.0999</v>
      </c>
      <c r="G24" s="1532" t="s">
        <v>930</v>
      </c>
      <c r="H24" s="1295">
        <f>+'P01 2023'!F17</f>
        <v>0</v>
      </c>
      <c r="I24" s="99">
        <f>+'P01 2023'!BB17</f>
        <v>0</v>
      </c>
      <c r="J24" s="19">
        <f ca="1">SUMIF(S$3:$AH16,"ok",S24:AH24)</f>
        <v>0</v>
      </c>
      <c r="K24" s="740">
        <f ca="1">IFERROR(J24/I24,"0,00"%)</f>
        <v>0</v>
      </c>
      <c r="L24" s="19">
        <f>+'P01 2023'!BC17</f>
        <v>0</v>
      </c>
      <c r="M24" s="738">
        <f t="shared" ref="M24:M30" si="13">+IFERROR(L24/I24,0)</f>
        <v>0</v>
      </c>
      <c r="N24" s="19">
        <f>+'P01 2023'!BE17</f>
        <v>0</v>
      </c>
      <c r="O24" s="629">
        <f t="shared" ref="O24:O30" si="14">+IFERROR(N24/I24,0)</f>
        <v>0</v>
      </c>
      <c r="P24" s="219">
        <v>0</v>
      </c>
      <c r="Q24" s="19">
        <f>SUMIF(S$3:$AH$3,"SI",S24:AH24)</f>
        <v>0</v>
      </c>
      <c r="R24" s="1305" t="str">
        <f>IFERROR(Q24/P24,"0,00%")</f>
        <v>0,00%</v>
      </c>
      <c r="S24" s="1317">
        <f>+'P01 2023'!I17</f>
        <v>0</v>
      </c>
      <c r="T24" s="1186">
        <v>0</v>
      </c>
      <c r="U24" s="1295">
        <v>0</v>
      </c>
      <c r="V24" s="1345">
        <v>0</v>
      </c>
      <c r="W24" s="578">
        <v>0</v>
      </c>
      <c r="X24" s="1345">
        <v>0</v>
      </c>
      <c r="Y24" s="1295">
        <v>0</v>
      </c>
      <c r="Z24" s="1186">
        <v>0</v>
      </c>
      <c r="AA24" s="219"/>
      <c r="AB24" s="19"/>
      <c r="AC24" s="19"/>
      <c r="AD24" s="19"/>
      <c r="AE24" s="1345"/>
      <c r="AF24" s="333"/>
      <c r="AG24" s="19"/>
      <c r="AH24" s="1186">
        <f>+'P01 2022'!GX16</f>
        <v>2367.1999999999998</v>
      </c>
      <c r="AI24" s="71"/>
      <c r="AJ24" s="1421"/>
      <c r="AK24" s="1421"/>
      <c r="AL24" s="1421"/>
      <c r="AM24" s="1421"/>
      <c r="AN24" s="71"/>
      <c r="AO24" s="1498"/>
      <c r="AP24" s="1498"/>
      <c r="AQ24" s="1498"/>
      <c r="AR24" s="1498"/>
      <c r="AS24" s="1480"/>
      <c r="AT24" s="417"/>
      <c r="AU24" s="803"/>
      <c r="AV24" s="803"/>
      <c r="AW24" s="803"/>
      <c r="AX24" s="803"/>
    </row>
    <row r="25" spans="1:50" s="184" customFormat="1" ht="15" customHeight="1" x14ac:dyDescent="0.25">
      <c r="A25" s="1508" t="s">
        <v>358</v>
      </c>
      <c r="B25" s="859"/>
      <c r="C25" s="130"/>
      <c r="D25" s="135" t="s">
        <v>158</v>
      </c>
      <c r="E25" s="135"/>
      <c r="F25" s="135"/>
      <c r="G25" s="1531" t="s">
        <v>28</v>
      </c>
      <c r="H25" s="1293">
        <f>+'P01 2023'!F18</f>
        <v>31358.285</v>
      </c>
      <c r="I25" s="129">
        <f>+'P01 2023'!BB18</f>
        <v>31358.285</v>
      </c>
      <c r="J25" s="129">
        <f ca="1">SUMIF(S$3:$AH17,"ok",S25:AH25)</f>
        <v>6731.9589999999989</v>
      </c>
      <c r="K25" s="844">
        <f t="shared" ref="K25:K30" ca="1" si="15">IFERROR(J25/I25,"0.00"%)</f>
        <v>0.21467880019586527</v>
      </c>
      <c r="L25" s="129">
        <f>+'P01 2023'!BC18</f>
        <v>6731.9589999999998</v>
      </c>
      <c r="M25" s="844">
        <f t="shared" si="13"/>
        <v>0.2146788001958653</v>
      </c>
      <c r="N25" s="129">
        <f>+'P01 2023'!BE18</f>
        <v>24626.326000000001</v>
      </c>
      <c r="O25" s="1294">
        <f t="shared" si="14"/>
        <v>0.78532119980413473</v>
      </c>
      <c r="P25" s="1207">
        <f>+'P01 2022'!AZ16</f>
        <v>28939.590349999999</v>
      </c>
      <c r="Q25" s="129">
        <f>SUMIF(S$3:$AH$3,"SI",S25:AH25)</f>
        <v>7601.4141409999993</v>
      </c>
      <c r="R25" s="1306">
        <f t="shared" ref="R25:R30" si="16">IFERROR(Q25/P25,"0%")</f>
        <v>0.26266488395541504</v>
      </c>
      <c r="S25" s="1293">
        <f>+'P01 2023'!I18</f>
        <v>1522.9570000000001</v>
      </c>
      <c r="T25" s="1185">
        <f t="shared" ref="T25:AE25" si="17">SUM(T26:T27)</f>
        <v>1651.265263</v>
      </c>
      <c r="U25" s="1316">
        <f>+'P01 2023'!N16</f>
        <v>1657.172</v>
      </c>
      <c r="V25" s="1344">
        <f t="shared" si="17"/>
        <v>1864.48074</v>
      </c>
      <c r="W25" s="1396">
        <f>SUM(W26:W27)</f>
        <v>1990.904</v>
      </c>
      <c r="X25" s="1344">
        <f t="shared" si="17"/>
        <v>2528.410343</v>
      </c>
      <c r="Y25" s="1316">
        <f t="shared" si="17"/>
        <v>1560.9259999999999</v>
      </c>
      <c r="Z25" s="1185">
        <f t="shared" si="17"/>
        <v>1557.2577949999998</v>
      </c>
      <c r="AA25" s="1201">
        <f t="shared" si="17"/>
        <v>1631.4179999999999</v>
      </c>
      <c r="AB25" s="134">
        <f t="shared" si="17"/>
        <v>1993.1299999999999</v>
      </c>
      <c r="AC25" s="134">
        <f t="shared" si="17"/>
        <v>1717.4089999999999</v>
      </c>
      <c r="AD25" s="134">
        <f t="shared" si="17"/>
        <v>1718.886</v>
      </c>
      <c r="AE25" s="1344">
        <f t="shared" si="17"/>
        <v>1895.6120000000001</v>
      </c>
      <c r="AF25" s="134">
        <f>SUM(AF26:AF27)</f>
        <v>1537.088</v>
      </c>
      <c r="AG25" s="134">
        <f>+'P01 2022'!GA16</f>
        <v>1973.768</v>
      </c>
      <c r="AH25" s="1185">
        <f>+'P01 2022'!GX17</f>
        <v>2117.02</v>
      </c>
      <c r="AI25" s="71"/>
      <c r="AJ25" s="1421"/>
      <c r="AK25" s="1421"/>
      <c r="AL25" s="1421"/>
      <c r="AM25" s="1421"/>
      <c r="AN25" s="71"/>
      <c r="AO25" s="1498"/>
      <c r="AP25" s="1498"/>
      <c r="AQ25" s="1498"/>
      <c r="AR25" s="1498"/>
      <c r="AS25" s="1480"/>
      <c r="AT25" s="417"/>
      <c r="AU25" s="803"/>
      <c r="AV25" s="803"/>
      <c r="AW25" s="803"/>
      <c r="AX25" s="803"/>
    </row>
    <row r="26" spans="1:50" ht="15" customHeight="1" x14ac:dyDescent="0.25">
      <c r="A26" s="1508" t="s">
        <v>563</v>
      </c>
      <c r="B26" s="861"/>
      <c r="C26" s="185"/>
      <c r="D26" s="18"/>
      <c r="E26" s="18">
        <v>1</v>
      </c>
      <c r="F26" s="18" t="str">
        <f>+CONCATENATE($B$10,"",$C$11,"",$D$25,"00",E26)</f>
        <v>21.01.002.001</v>
      </c>
      <c r="G26" s="1532" t="s">
        <v>29</v>
      </c>
      <c r="H26" s="1295">
        <f>+'P01 2023'!F19</f>
        <v>7117.165</v>
      </c>
      <c r="I26" s="99">
        <f>+'P01 2023'!BB19</f>
        <v>7117.165</v>
      </c>
      <c r="J26" s="19">
        <f ca="1">SUMIF(S$3:$AH18,"ok",S26:AH26)</f>
        <v>378.29999999999995</v>
      </c>
      <c r="K26" s="740">
        <f t="shared" ca="1" si="15"/>
        <v>5.3153186697231264E-2</v>
      </c>
      <c r="L26" s="19">
        <f>+'P01 2023'!BC19</f>
        <v>378.3</v>
      </c>
      <c r="M26" s="738">
        <f t="shared" si="13"/>
        <v>5.3153186697231271E-2</v>
      </c>
      <c r="N26" s="19">
        <f>+'P01 2023'!BE19</f>
        <v>6738.8649999999998</v>
      </c>
      <c r="O26" s="629">
        <f t="shared" si="14"/>
        <v>0.94684681330276865</v>
      </c>
      <c r="P26" s="219">
        <f>+'P01 2022'!AZ17</f>
        <v>6568.2110939999993</v>
      </c>
      <c r="Q26" s="19">
        <f>SUMIF(S$3:$AH$3,"SI",S26:AH26)</f>
        <v>589.79491999999993</v>
      </c>
      <c r="R26" s="1305">
        <f t="shared" si="16"/>
        <v>8.9795366129260396E-2</v>
      </c>
      <c r="S26" s="1317">
        <f>+'P01 2023'!I19</f>
        <v>0</v>
      </c>
      <c r="T26" s="1186">
        <v>0</v>
      </c>
      <c r="U26" s="1295">
        <f>+'P01 2023'!N17</f>
        <v>126.1</v>
      </c>
      <c r="V26" s="1345">
        <f>+'P01 2022'!M16</f>
        <v>201.06645</v>
      </c>
      <c r="W26" s="578">
        <f>+'P01 2023'!AD18</f>
        <v>252.2</v>
      </c>
      <c r="X26" s="1345">
        <f>+'P01 2022'!AB17</f>
        <v>388.72846999999996</v>
      </c>
      <c r="Y26" s="1295">
        <v>0</v>
      </c>
      <c r="Z26" s="1186">
        <f>+'P01 2022'!AQ17</f>
        <v>0</v>
      </c>
      <c r="AA26" s="219">
        <f>+'P01 2022'!BI16</f>
        <v>151.32</v>
      </c>
      <c r="AB26" s="19">
        <f>+'P01 2022'!CC17</f>
        <v>151.32</v>
      </c>
      <c r="AC26" s="19">
        <f>+'P01 2022'!CY17</f>
        <v>151.32</v>
      </c>
      <c r="AD26" s="19">
        <f>+'P01 2022'!DR16</f>
        <v>138.71</v>
      </c>
      <c r="AE26" s="1345">
        <v>0</v>
      </c>
      <c r="AF26" s="188"/>
      <c r="AG26" s="19">
        <f>+'P01 2022'!GA17</f>
        <v>428.74</v>
      </c>
      <c r="AH26" s="1186">
        <f>+'P01 2022'!GX18</f>
        <v>302.64</v>
      </c>
      <c r="AI26" s="71"/>
      <c r="AJ26" s="1421"/>
      <c r="AK26" s="1421"/>
      <c r="AL26" s="1421"/>
      <c r="AM26" s="1421"/>
      <c r="AN26" s="71"/>
      <c r="AO26" s="1498"/>
      <c r="AP26" s="1498"/>
      <c r="AQ26" s="1498"/>
      <c r="AR26" s="1498"/>
      <c r="AS26" s="1480"/>
      <c r="AT26" s="417"/>
      <c r="AU26" s="803"/>
      <c r="AV26" s="803"/>
      <c r="AW26" s="803"/>
      <c r="AX26" s="803"/>
    </row>
    <row r="27" spans="1:50" ht="15" customHeight="1" x14ac:dyDescent="0.25">
      <c r="A27" s="1508" t="s">
        <v>564</v>
      </c>
      <c r="B27" s="861"/>
      <c r="C27" s="185"/>
      <c r="D27" s="18"/>
      <c r="E27" s="18">
        <v>2</v>
      </c>
      <c r="F27" s="18" t="str">
        <f>+CONCATENATE($B$10,"",$C$11,"",$D$25,"00",E27)</f>
        <v>21.01.002.002</v>
      </c>
      <c r="G27" s="1532" t="s">
        <v>30</v>
      </c>
      <c r="H27" s="1295">
        <f>+'P01 2023'!F20</f>
        <v>24241.119999999999</v>
      </c>
      <c r="I27" s="99">
        <f>+'P01 2023'!BB20</f>
        <v>24241.119999999999</v>
      </c>
      <c r="J27" s="19">
        <f ca="1">SUMIF(S$3:$AH19,"ok",S27:AH27)</f>
        <v>6353.6589999999997</v>
      </c>
      <c r="K27" s="740">
        <f t="shared" ca="1" si="15"/>
        <v>0.2621025348663758</v>
      </c>
      <c r="L27" s="19">
        <f>+'P01 2023'!BC20</f>
        <v>6353.6589999999997</v>
      </c>
      <c r="M27" s="738">
        <f t="shared" si="13"/>
        <v>0.2621025348663758</v>
      </c>
      <c r="N27" s="19">
        <f>+'P01 2023'!BE20</f>
        <v>17887.460999999999</v>
      </c>
      <c r="O27" s="629">
        <f t="shared" si="14"/>
        <v>0.7378974651336242</v>
      </c>
      <c r="P27" s="219">
        <f>+'P01 2022'!AZ18</f>
        <v>22371.379255999997</v>
      </c>
      <c r="Q27" s="19">
        <f>SUMIF(S$3:$AH$3,"SI",S27:AH27)</f>
        <v>7011.619220999999</v>
      </c>
      <c r="R27" s="1305">
        <f t="shared" si="16"/>
        <v>0.31341917459646501</v>
      </c>
      <c r="S27" s="1317">
        <f>+'P01 2023'!I20</f>
        <v>1522.9570000000001</v>
      </c>
      <c r="T27" s="1186">
        <f>+'P01 2022'!F18</f>
        <v>1651.265263</v>
      </c>
      <c r="U27" s="1295">
        <f>+'P01 2023'!N18</f>
        <v>1531.0719999999999</v>
      </c>
      <c r="V27" s="1345">
        <f>+'P01 2022'!M17</f>
        <v>1663.4142899999999</v>
      </c>
      <c r="W27" s="578">
        <f>+'P01 2023'!AD19</f>
        <v>1738.704</v>
      </c>
      <c r="X27" s="1345">
        <f>+'P01 2022'!AB18</f>
        <v>2139.681873</v>
      </c>
      <c r="Y27" s="1295">
        <f>+'P01 2023'!AT18</f>
        <v>1560.9259999999999</v>
      </c>
      <c r="Z27" s="1186">
        <f>+'P01 2022'!AQ18</f>
        <v>1557.2577949999998</v>
      </c>
      <c r="AA27" s="219">
        <f>+'P01 2022'!BI17</f>
        <v>1480.098</v>
      </c>
      <c r="AB27" s="19">
        <f>+'P01 2022'!CC18</f>
        <v>1841.81</v>
      </c>
      <c r="AC27" s="19">
        <f>+'P01 2022'!CY18</f>
        <v>1566.0889999999999</v>
      </c>
      <c r="AD27" s="19">
        <f>+'P01 2022'!DR17</f>
        <v>1580.1759999999999</v>
      </c>
      <c r="AE27" s="1345">
        <f>+'P01 2022'!EJ17</f>
        <v>1895.6120000000001</v>
      </c>
      <c r="AF27" s="1358">
        <f>+'P01 2022'!FC17</f>
        <v>1537.088</v>
      </c>
      <c r="AG27" s="19">
        <f>+'P01 2022'!GA18</f>
        <v>1545.028</v>
      </c>
      <c r="AH27" s="1186">
        <f>+'P01 2022'!GX19</f>
        <v>1814.38</v>
      </c>
      <c r="AI27" s="71"/>
      <c r="AJ27" s="1421"/>
      <c r="AK27" s="1421"/>
      <c r="AL27" s="1421"/>
      <c r="AM27" s="1421"/>
      <c r="AN27" s="71"/>
      <c r="AO27" s="1498"/>
      <c r="AP27" s="1498"/>
      <c r="AQ27" s="1498"/>
      <c r="AR27" s="1498"/>
      <c r="AS27" s="1480"/>
      <c r="AT27" s="417"/>
      <c r="AU27" s="803"/>
      <c r="AV27" s="803"/>
      <c r="AW27" s="803"/>
      <c r="AX27" s="803"/>
    </row>
    <row r="28" spans="1:50" s="184" customFormat="1" ht="15" customHeight="1" x14ac:dyDescent="0.25">
      <c r="A28" s="1508" t="s">
        <v>565</v>
      </c>
      <c r="B28" s="862"/>
      <c r="C28" s="187"/>
      <c r="D28" s="139" t="s">
        <v>159</v>
      </c>
      <c r="E28" s="139"/>
      <c r="F28" s="139"/>
      <c r="G28" s="1533" t="s">
        <v>31</v>
      </c>
      <c r="H28" s="1293">
        <f>+'P01 2023'!F21</f>
        <v>73869.233999999997</v>
      </c>
      <c r="I28" s="129">
        <f>+'P01 2023'!BB21</f>
        <v>73869.233999999997</v>
      </c>
      <c r="J28" s="129">
        <f ca="1">SUMIF(S$3:$AH20,"ok",S28:AH28)</f>
        <v>14313.438</v>
      </c>
      <c r="K28" s="844">
        <f t="shared" ca="1" si="15"/>
        <v>0.19376724550846164</v>
      </c>
      <c r="L28" s="129">
        <f>+'P01 2023'!BC21</f>
        <v>14313.438</v>
      </c>
      <c r="M28" s="844">
        <f t="shared" si="13"/>
        <v>0.19376724550846164</v>
      </c>
      <c r="N28" s="129">
        <f>+'P01 2023'!BE21</f>
        <v>59555.796000000002</v>
      </c>
      <c r="O28" s="1294">
        <f t="shared" si="14"/>
        <v>0.80623275449153842</v>
      </c>
      <c r="P28" s="1207">
        <f>+'P01 2022'!AZ19</f>
        <v>68171.630365000005</v>
      </c>
      <c r="Q28" s="129">
        <f>SUMIF(S$3:$AH$3,"SI",S28:AH28)</f>
        <v>15326.314865999999</v>
      </c>
      <c r="R28" s="1306">
        <f t="shared" si="16"/>
        <v>0.22481954419955727</v>
      </c>
      <c r="S28" s="1293">
        <f>+'P01 2023'!I21</f>
        <v>0</v>
      </c>
      <c r="T28" s="379">
        <v>0</v>
      </c>
      <c r="U28" s="1324">
        <v>0</v>
      </c>
      <c r="V28" s="1346">
        <v>0</v>
      </c>
      <c r="W28" s="1396">
        <f>SUM(W29:W31)</f>
        <v>14313.438</v>
      </c>
      <c r="X28" s="1346">
        <f>SUM(X29:X30)</f>
        <v>15326.314865999999</v>
      </c>
      <c r="Y28" s="1324">
        <f>SUM(Y29:Y30)</f>
        <v>0</v>
      </c>
      <c r="Z28" s="379">
        <f>SUM(Z29:Z30)</f>
        <v>0</v>
      </c>
      <c r="AA28" s="220">
        <f>SUM(AA29:AA30)</f>
        <v>0</v>
      </c>
      <c r="AB28" s="3">
        <f>+AB29+AB30</f>
        <v>13856.187999999998</v>
      </c>
      <c r="AC28" s="3">
        <f>+AC29+AC30</f>
        <v>0</v>
      </c>
      <c r="AD28" s="3">
        <v>0</v>
      </c>
      <c r="AE28" s="1346">
        <f>SUM(AE29:AE30)</f>
        <v>13787.394</v>
      </c>
      <c r="AF28" s="3">
        <f>+AF29</f>
        <v>0</v>
      </c>
      <c r="AG28" s="134">
        <f>+'P01 2022'!GA19</f>
        <v>0</v>
      </c>
      <c r="AH28" s="1185">
        <f>+'P01 2022'!GX20</f>
        <v>13839.655000000001</v>
      </c>
      <c r="AI28" s="71"/>
      <c r="AJ28" s="1421"/>
      <c r="AK28" s="1421"/>
      <c r="AL28" s="1421"/>
      <c r="AM28" s="1421"/>
      <c r="AN28" s="71"/>
      <c r="AO28" s="1498"/>
      <c r="AP28" s="1498"/>
      <c r="AQ28" s="1498"/>
      <c r="AR28" s="1498"/>
      <c r="AS28" s="1480"/>
      <c r="AT28" s="417"/>
      <c r="AU28" s="803"/>
      <c r="AV28" s="803"/>
      <c r="AW28" s="803"/>
      <c r="AX28" s="803"/>
    </row>
    <row r="29" spans="1:50" ht="15" customHeight="1" x14ac:dyDescent="0.25">
      <c r="A29" s="1508" t="s">
        <v>566</v>
      </c>
      <c r="B29" s="861"/>
      <c r="C29" s="185"/>
      <c r="D29" s="18"/>
      <c r="E29" s="18">
        <v>1</v>
      </c>
      <c r="F29" s="18" t="str">
        <f>+CONCATENATE($B$10,"",$C$11,"",$D$28,"00",E29)</f>
        <v>21.01.003.001</v>
      </c>
      <c r="G29" s="1532" t="s">
        <v>32</v>
      </c>
      <c r="H29" s="1295">
        <f>+'P01 2023'!F22</f>
        <v>36552.784</v>
      </c>
      <c r="I29" s="99">
        <f>+'P01 2023'!BB22</f>
        <v>36552.784</v>
      </c>
      <c r="J29" s="19">
        <f ca="1">SUMIF(S$3:$AH21,"ok",S29:AH29)</f>
        <v>7218.0029999999997</v>
      </c>
      <c r="K29" s="740">
        <f t="shared" ca="1" si="15"/>
        <v>0.19746794115600058</v>
      </c>
      <c r="L29" s="19">
        <f>+'P01 2023'!BC22</f>
        <v>7218.0029999999997</v>
      </c>
      <c r="M29" s="738">
        <f t="shared" si="13"/>
        <v>0.19746794115600058</v>
      </c>
      <c r="N29" s="19">
        <f>+'P01 2023'!BE22</f>
        <v>29334.780999999999</v>
      </c>
      <c r="O29" s="629">
        <f t="shared" si="14"/>
        <v>0.80253205884399936</v>
      </c>
      <c r="P29" s="219">
        <f>+'P01 2022'!AZ20</f>
        <v>33733.433339999996</v>
      </c>
      <c r="Q29" s="19">
        <f>SUMIF(S$3:$AH$3,"SI",S29:AH29)</f>
        <v>7737.1592409999994</v>
      </c>
      <c r="R29" s="1305">
        <f t="shared" si="16"/>
        <v>0.22936174812142618</v>
      </c>
      <c r="S29" s="1317">
        <f>+'P01 2023'!I22</f>
        <v>0</v>
      </c>
      <c r="T29" s="1186">
        <v>0</v>
      </c>
      <c r="U29" s="1295">
        <v>0</v>
      </c>
      <c r="V29" s="1345">
        <v>0</v>
      </c>
      <c r="W29" s="578">
        <f>+'P01 2023'!AD21</f>
        <v>7218.0029999999997</v>
      </c>
      <c r="X29" s="1345">
        <f>+'P01 2022'!AB20</f>
        <v>7737.1592409999994</v>
      </c>
      <c r="Y29" s="1295">
        <v>0</v>
      </c>
      <c r="Z29" s="1186">
        <f>+'P01 2022'!AQ20</f>
        <v>0</v>
      </c>
      <c r="AA29" s="219">
        <v>0</v>
      </c>
      <c r="AB29" s="19">
        <f>+'P01 2022'!CC20</f>
        <v>7544.6409999999996</v>
      </c>
      <c r="AC29" s="19">
        <v>0</v>
      </c>
      <c r="AD29" s="19">
        <v>0</v>
      </c>
      <c r="AE29" s="1345">
        <f>+'P01 2022'!EJ19</f>
        <v>7500.7290000000003</v>
      </c>
      <c r="AF29" s="333">
        <f>+'P01 2022'!FC19</f>
        <v>0</v>
      </c>
      <c r="AG29" s="19">
        <f>+'P01 2022'!GA20</f>
        <v>0</v>
      </c>
      <c r="AH29" s="1186">
        <f>+'P01 2022'!GX21</f>
        <v>7529.3450000000003</v>
      </c>
      <c r="AI29" s="71"/>
      <c r="AJ29" s="1421"/>
      <c r="AK29" s="1421"/>
      <c r="AL29" s="1421"/>
      <c r="AM29" s="1421"/>
      <c r="AN29" s="71"/>
      <c r="AO29" s="1498"/>
      <c r="AP29" s="1498"/>
      <c r="AQ29" s="1498"/>
      <c r="AR29" s="1498"/>
      <c r="AS29" s="1480"/>
      <c r="AT29" s="417"/>
      <c r="AU29" s="803"/>
      <c r="AV29" s="803"/>
      <c r="AW29" s="803"/>
      <c r="AX29" s="803"/>
    </row>
    <row r="30" spans="1:50" ht="15" customHeight="1" x14ac:dyDescent="0.25">
      <c r="A30" s="1508" t="s">
        <v>359</v>
      </c>
      <c r="B30" s="861"/>
      <c r="C30" s="185"/>
      <c r="D30" s="18"/>
      <c r="E30" s="18">
        <v>2</v>
      </c>
      <c r="F30" s="18" t="str">
        <f>+CONCATENATE($B$10,"",$C$11,"",$D$28,"00",E30)</f>
        <v>21.01.003.002</v>
      </c>
      <c r="G30" s="1532" t="s">
        <v>33</v>
      </c>
      <c r="H30" s="1295">
        <f>+'P01 2023'!F23</f>
        <v>37316.449999999997</v>
      </c>
      <c r="I30" s="99">
        <f>+'P01 2023'!BB23</f>
        <v>37316.449999999997</v>
      </c>
      <c r="J30" s="19">
        <f ca="1">SUMIF(S$3:$AH22,"ok",S30:AH30)</f>
        <v>7095.4350000000004</v>
      </c>
      <c r="K30" s="740">
        <f t="shared" ca="1" si="15"/>
        <v>0.19014228309498896</v>
      </c>
      <c r="L30" s="19">
        <f>+'P01 2023'!BC23</f>
        <v>7095.4350000000004</v>
      </c>
      <c r="M30" s="738">
        <f t="shared" si="13"/>
        <v>0.19014228309498896</v>
      </c>
      <c r="N30" s="19">
        <f>+'P01 2023'!BE23</f>
        <v>30221.014999999999</v>
      </c>
      <c r="O30" s="629">
        <f t="shared" si="14"/>
        <v>0.80985771690501107</v>
      </c>
      <c r="P30" s="219">
        <f>+'P01 2022'!AZ21</f>
        <v>34438.197024999994</v>
      </c>
      <c r="Q30" s="19">
        <f>SUMIF(S$3:$AH$3,"SI",S30:AH30)</f>
        <v>7589.1556249999994</v>
      </c>
      <c r="R30" s="1305">
        <f t="shared" si="16"/>
        <v>0.22037029463217089</v>
      </c>
      <c r="S30" s="1317">
        <f>+'P01 2023'!I23</f>
        <v>0</v>
      </c>
      <c r="T30" s="1186">
        <v>0</v>
      </c>
      <c r="U30" s="1295">
        <v>0</v>
      </c>
      <c r="V30" s="1345">
        <v>0</v>
      </c>
      <c r="W30" s="578">
        <f>+'P01 2023'!AD22</f>
        <v>7095.4350000000004</v>
      </c>
      <c r="X30" s="1345">
        <f>+'P01 2022'!AB21</f>
        <v>7589.1556249999994</v>
      </c>
      <c r="Y30" s="1295">
        <v>0</v>
      </c>
      <c r="Z30" s="1186">
        <f>+'P01 2022'!AQ21</f>
        <v>0</v>
      </c>
      <c r="AA30" s="219">
        <v>0</v>
      </c>
      <c r="AB30" s="19">
        <f>+'P01 2022'!CC21</f>
        <v>6311.5469999999996</v>
      </c>
      <c r="AC30" s="19">
        <v>0</v>
      </c>
      <c r="AD30" s="19">
        <v>0</v>
      </c>
      <c r="AE30" s="1345">
        <f>+'P01 2022'!EJ20</f>
        <v>6286.665</v>
      </c>
      <c r="AF30" s="333">
        <f>+'P01 2022'!FC20</f>
        <v>0</v>
      </c>
      <c r="AG30" s="19">
        <f>+'P01 2022'!GA21</f>
        <v>0</v>
      </c>
      <c r="AH30" s="1186">
        <f>+'P01 2022'!GX22</f>
        <v>6303.0680000000002</v>
      </c>
      <c r="AI30" s="71"/>
      <c r="AJ30" s="1421"/>
      <c r="AK30" s="1421"/>
      <c r="AL30" s="1421"/>
      <c r="AM30" s="1421"/>
      <c r="AN30" s="71"/>
      <c r="AO30" s="1498"/>
      <c r="AP30" s="1498"/>
      <c r="AQ30" s="1498"/>
      <c r="AR30" s="1498"/>
      <c r="AS30" s="1480"/>
      <c r="AT30" s="417"/>
      <c r="AU30" s="803"/>
      <c r="AV30" s="803"/>
      <c r="AW30" s="803"/>
      <c r="AX30" s="803"/>
    </row>
    <row r="31" spans="1:50" ht="15" customHeight="1" x14ac:dyDescent="0.25">
      <c r="A31" s="1508" t="s">
        <v>924</v>
      </c>
      <c r="B31" s="861"/>
      <c r="C31" s="185"/>
      <c r="D31" s="18"/>
      <c r="E31" s="18">
        <v>3</v>
      </c>
      <c r="F31" s="18" t="str">
        <f>+CONCATENATE($B$10,"",$C$11,"",$D$28,"00",E31)</f>
        <v>21.01.003.003</v>
      </c>
      <c r="G31" s="1532" t="s">
        <v>931</v>
      </c>
      <c r="H31" s="1295">
        <v>0</v>
      </c>
      <c r="I31" s="99">
        <v>0</v>
      </c>
      <c r="J31" s="19">
        <f ca="1">SUMIF(S$3:$AH21,"ok",S31:AH31)</f>
        <v>0</v>
      </c>
      <c r="K31" s="740">
        <f ca="1">IFERROR(J31/I31,"0,00"%)</f>
        <v>0</v>
      </c>
      <c r="L31" s="99">
        <v>0</v>
      </c>
      <c r="M31" s="740">
        <f t="shared" si="1"/>
        <v>0</v>
      </c>
      <c r="N31" s="99">
        <v>0</v>
      </c>
      <c r="O31" s="631">
        <f t="shared" si="2"/>
        <v>0</v>
      </c>
      <c r="P31" s="1519">
        <v>0</v>
      </c>
      <c r="Q31" s="1121">
        <f ca="1">SUMIF(S$3:$AH22,"SI",S31:AH31)</f>
        <v>0</v>
      </c>
      <c r="R31" s="1307">
        <v>0</v>
      </c>
      <c r="S31" s="1317">
        <v>0</v>
      </c>
      <c r="T31" s="1186">
        <v>0</v>
      </c>
      <c r="U31" s="1295">
        <v>0</v>
      </c>
      <c r="V31" s="1345">
        <v>0</v>
      </c>
      <c r="W31" s="578">
        <v>0</v>
      </c>
      <c r="X31" s="1345">
        <v>0</v>
      </c>
      <c r="Y31" s="1295">
        <v>0</v>
      </c>
      <c r="Z31" s="1186">
        <v>0</v>
      </c>
      <c r="AA31" s="219"/>
      <c r="AB31" s="19"/>
      <c r="AC31" s="19"/>
      <c r="AD31" s="19"/>
      <c r="AE31" s="1345"/>
      <c r="AF31" s="333"/>
      <c r="AG31" s="19"/>
      <c r="AH31" s="1186">
        <f>+'P01 2022'!GX23</f>
        <v>7.242</v>
      </c>
      <c r="AI31" s="71"/>
      <c r="AJ31" s="1421"/>
      <c r="AK31" s="1421"/>
      <c r="AL31" s="1421"/>
      <c r="AM31" s="1421"/>
      <c r="AN31" s="71"/>
      <c r="AO31" s="1498"/>
      <c r="AP31" s="1498"/>
      <c r="AQ31" s="1498"/>
      <c r="AR31" s="1498"/>
      <c r="AS31" s="1480"/>
      <c r="AT31" s="417"/>
      <c r="AU31" s="803"/>
      <c r="AV31" s="803"/>
      <c r="AW31" s="803"/>
      <c r="AX31" s="803"/>
    </row>
    <row r="32" spans="1:50" s="184" customFormat="1" ht="15" customHeight="1" x14ac:dyDescent="0.25">
      <c r="A32" s="1508" t="s">
        <v>360</v>
      </c>
      <c r="B32" s="859"/>
      <c r="C32" s="130"/>
      <c r="D32" s="135" t="s">
        <v>160</v>
      </c>
      <c r="E32" s="135"/>
      <c r="F32" s="135"/>
      <c r="G32" s="1531" t="s">
        <v>34</v>
      </c>
      <c r="H32" s="1293">
        <f>SUM(H33:H36)</f>
        <v>206697.50700000001</v>
      </c>
      <c r="I32" s="129">
        <f>+'P01 2023'!BB24</f>
        <v>204715.16</v>
      </c>
      <c r="J32" s="129">
        <f ca="1">+J33+J34+J35+J36</f>
        <v>43600.824000000001</v>
      </c>
      <c r="K32" s="844">
        <f t="shared" ca="1" si="5"/>
        <v>0.21298287825874743</v>
      </c>
      <c r="L32" s="129">
        <f>+'P01 2023'!BC24</f>
        <v>43600.824000000001</v>
      </c>
      <c r="M32" s="844">
        <f t="shared" si="1"/>
        <v>0.21298287825874743</v>
      </c>
      <c r="N32" s="129">
        <f>+'P01 2023'!BE24</f>
        <v>161114.33600000001</v>
      </c>
      <c r="O32" s="1294">
        <f t="shared" si="2"/>
        <v>0.7870171217412526</v>
      </c>
      <c r="P32" s="1518">
        <f>+'P01 2022'!AZ22</f>
        <v>163135.52729999999</v>
      </c>
      <c r="Q32" s="1120">
        <f ca="1">SUM(Q33:Q36)</f>
        <v>45146.135121999992</v>
      </c>
      <c r="R32" s="1304" t="str">
        <f ca="1">IFERROR(Q32/#REF!,"0,00%")</f>
        <v>0,00%</v>
      </c>
      <c r="S32" s="1319">
        <f>+'P01 2023'!I24</f>
        <v>10392.494000000001</v>
      </c>
      <c r="T32" s="1185">
        <f t="shared" ref="T32:AE32" si="18">SUM(T33:T35)</f>
        <v>13368.459143</v>
      </c>
      <c r="U32" s="1316">
        <f>+'P01 2023'!N19</f>
        <v>12230.03</v>
      </c>
      <c r="V32" s="1344">
        <f t="shared" si="18"/>
        <v>12423.898602999998</v>
      </c>
      <c r="W32" s="1396">
        <f>SUM(W33:W36)</f>
        <v>10464.899000000001</v>
      </c>
      <c r="X32" s="1344">
        <f t="shared" si="18"/>
        <v>6349.5551830000004</v>
      </c>
      <c r="Y32" s="1316">
        <f t="shared" si="18"/>
        <v>10513.401</v>
      </c>
      <c r="Z32" s="1185">
        <f t="shared" si="18"/>
        <v>13004.222192999998</v>
      </c>
      <c r="AA32" s="1201">
        <f t="shared" si="18"/>
        <v>8474.7219999999998</v>
      </c>
      <c r="AB32" s="134">
        <f t="shared" si="18"/>
        <v>7845.7560000000003</v>
      </c>
      <c r="AC32" s="134">
        <f t="shared" si="18"/>
        <v>14131.32</v>
      </c>
      <c r="AD32" s="134">
        <f t="shared" si="18"/>
        <v>11234.868999999999</v>
      </c>
      <c r="AE32" s="1344">
        <f t="shared" si="18"/>
        <v>10784.123</v>
      </c>
      <c r="AF32" s="134">
        <f>SUM(AF33:AF35)</f>
        <v>10972.812999999998</v>
      </c>
      <c r="AG32" s="134">
        <f>+'P01 2022'!GA22</f>
        <v>10909.916999999999</v>
      </c>
      <c r="AH32" s="1185">
        <f>+'P01 2022'!GX24</f>
        <v>10957.088</v>
      </c>
      <c r="AI32" s="71"/>
      <c r="AJ32" s="1421"/>
      <c r="AK32" s="1421"/>
      <c r="AL32" s="1421"/>
      <c r="AM32" s="1421"/>
      <c r="AN32" s="71"/>
      <c r="AO32" s="1498"/>
      <c r="AP32" s="1498"/>
      <c r="AQ32" s="1498"/>
      <c r="AR32" s="1498"/>
      <c r="AS32" s="1480"/>
      <c r="AT32" s="417"/>
      <c r="AU32" s="803"/>
      <c r="AV32" s="803"/>
      <c r="AW32" s="803"/>
      <c r="AX32" s="803"/>
    </row>
    <row r="33" spans="1:50" ht="15" customHeight="1" x14ac:dyDescent="0.25">
      <c r="A33" s="1508" t="s">
        <v>567</v>
      </c>
      <c r="B33" s="861"/>
      <c r="C33" s="185"/>
      <c r="D33" s="18"/>
      <c r="E33" s="18">
        <v>4</v>
      </c>
      <c r="F33" s="18" t="str">
        <f>+CONCATENATE($B$10,"",$C$11,"",$D$32,"00",E33)</f>
        <v>21.01.004.004</v>
      </c>
      <c r="G33" s="1532" t="s">
        <v>35</v>
      </c>
      <c r="H33" s="1295">
        <f>+'P01 2023'!F25</f>
        <v>187398.5</v>
      </c>
      <c r="I33" s="99">
        <f>+'P01 2023'!BB25</f>
        <v>187398.5</v>
      </c>
      <c r="J33" s="99">
        <f ca="1">SUMIF(S$3:$AH21,"ok",S33:AH33)</f>
        <v>39557.288</v>
      </c>
      <c r="K33" s="740">
        <f t="shared" ca="1" si="5"/>
        <v>0.21108647080953155</v>
      </c>
      <c r="L33" s="99">
        <f>+'P01 2023'!BC25</f>
        <v>39557.288</v>
      </c>
      <c r="M33" s="740">
        <f t="shared" si="1"/>
        <v>0.21108647080953155</v>
      </c>
      <c r="N33" s="99">
        <f>+'P01 2023'!BE25</f>
        <v>147841.212</v>
      </c>
      <c r="O33" s="631">
        <f t="shared" si="2"/>
        <v>0.78891352919046842</v>
      </c>
      <c r="P33" s="1519">
        <f>+'P01 2022'!AZ23</f>
        <v>154892.60010000001</v>
      </c>
      <c r="Q33" s="1121">
        <f ca="1">SUMIF(S$3:$AH22,"SI",S33:AH33)</f>
        <v>42898.029374999991</v>
      </c>
      <c r="R33" s="1308">
        <f t="shared" ca="1" si="8"/>
        <v>0.27695338155150506</v>
      </c>
      <c r="S33" s="1320">
        <f>+'P01 2023'!I25</f>
        <v>9889.3220000000001</v>
      </c>
      <c r="T33" s="1186">
        <f>+'P01 2022'!F23</f>
        <v>12574.538458999999</v>
      </c>
      <c r="U33" s="1295">
        <f>+'P01 2023'!N20</f>
        <v>9889.3220000000001</v>
      </c>
      <c r="V33" s="1345">
        <f>+'P01 2022'!M19</f>
        <v>12072.888561999998</v>
      </c>
      <c r="W33" s="578">
        <f>+'P01 2023'!AD24</f>
        <v>9889.3220000000001</v>
      </c>
      <c r="X33" s="1345">
        <f>+'P01 2022'!AB23</f>
        <v>5831.3968960000002</v>
      </c>
      <c r="Y33" s="1295">
        <f>+'P01 2023'!AT23</f>
        <v>9889.3220000000001</v>
      </c>
      <c r="Z33" s="1186">
        <f>+'P01 2022'!AQ23</f>
        <v>12419.205457999999</v>
      </c>
      <c r="AA33" s="219">
        <f>+'P01 2022'!BI19</f>
        <v>7531.2740000000003</v>
      </c>
      <c r="AB33" s="19">
        <f>+'P01 2022'!CC23</f>
        <v>7531.2740000000003</v>
      </c>
      <c r="AC33" s="19">
        <f>+'P01 2022'!CY23</f>
        <v>12999.182000000001</v>
      </c>
      <c r="AD33" s="19">
        <f>+'P01 2022'!DR19</f>
        <v>10265.227999999999</v>
      </c>
      <c r="AE33" s="1345">
        <f>+'P01 2022'!EJ22</f>
        <v>10265.227999999999</v>
      </c>
      <c r="AF33" s="333">
        <f>+'P01 2022'!FC22</f>
        <v>10265.227999999999</v>
      </c>
      <c r="AG33" s="19">
        <f>+'P01 2022'!GA23</f>
        <v>10265.227999999999</v>
      </c>
      <c r="AH33" s="1186">
        <f>+'P01 2022'!GX25</f>
        <v>10265.227999999999</v>
      </c>
      <c r="AI33" s="71"/>
      <c r="AJ33" s="1421"/>
      <c r="AK33" s="1421"/>
      <c r="AL33" s="1421"/>
      <c r="AM33" s="1421"/>
      <c r="AN33" s="71"/>
      <c r="AO33" s="1498"/>
      <c r="AP33" s="1498"/>
      <c r="AQ33" s="1498"/>
      <c r="AR33" s="1498"/>
      <c r="AS33" s="1480"/>
      <c r="AT33" s="417"/>
      <c r="AU33" s="803"/>
      <c r="AV33" s="803"/>
      <c r="AW33" s="803"/>
      <c r="AX33" s="803"/>
    </row>
    <row r="34" spans="1:50" ht="15" customHeight="1" x14ac:dyDescent="0.25">
      <c r="A34" s="1508" t="s">
        <v>568</v>
      </c>
      <c r="B34" s="861"/>
      <c r="C34" s="185"/>
      <c r="D34" s="18"/>
      <c r="E34" s="18">
        <v>5</v>
      </c>
      <c r="F34" s="18" t="str">
        <f>+CONCATENATE($B$10,"",$C$11,"",$D$32,"00",E34)</f>
        <v>21.01.004.005</v>
      </c>
      <c r="G34" s="1532" t="s">
        <v>354</v>
      </c>
      <c r="H34" s="1295">
        <f>+'P01 2023'!F26</f>
        <v>7599</v>
      </c>
      <c r="I34" s="99">
        <f>+'P01 2023'!BB26</f>
        <v>7599</v>
      </c>
      <c r="J34" s="99">
        <f ca="1">SUMIF(S$3:$AH22,"ok",S34:AH34)</f>
        <v>222.56900000000002</v>
      </c>
      <c r="K34" s="740">
        <f t="shared" ca="1" si="5"/>
        <v>2.9289248585340179E-2</v>
      </c>
      <c r="L34" s="99">
        <f>+'P01 2023'!BC26</f>
        <v>222.56899999999999</v>
      </c>
      <c r="M34" s="740">
        <f t="shared" si="1"/>
        <v>2.9289248585340176E-2</v>
      </c>
      <c r="N34" s="99">
        <f>+'P01 2023'!BE26</f>
        <v>7376.4309999999996</v>
      </c>
      <c r="O34" s="631">
        <f t="shared" si="2"/>
        <v>0.97071075141465979</v>
      </c>
      <c r="P34" s="1519">
        <f>+'P01 2022'!AZ24</f>
        <v>3778.3271999999997</v>
      </c>
      <c r="Q34" s="1121">
        <f ca="1">SUMIF(S$3:$AH24,"SI",S34:AH34)</f>
        <v>0</v>
      </c>
      <c r="R34" s="1308">
        <f t="shared" ca="1" si="8"/>
        <v>0</v>
      </c>
      <c r="S34" s="1320">
        <f>+'P01 2023'!I26</f>
        <v>0</v>
      </c>
      <c r="T34" s="1186">
        <f>+'P01 2022'!F24</f>
        <v>0</v>
      </c>
      <c r="U34" s="1295">
        <f>+'P01 2023'!N21</f>
        <v>29.254999999999999</v>
      </c>
      <c r="V34" s="1345">
        <v>0</v>
      </c>
      <c r="W34" s="578">
        <f>+'P01 2023'!AD25</f>
        <v>40.957000000000001</v>
      </c>
      <c r="X34" s="1345">
        <v>0</v>
      </c>
      <c r="Y34" s="1295">
        <f>+'P01 2023'!AT24</f>
        <v>152.357</v>
      </c>
      <c r="Z34" s="1187">
        <v>0</v>
      </c>
      <c r="AA34" s="219">
        <v>0</v>
      </c>
      <c r="AB34" s="19">
        <v>0</v>
      </c>
      <c r="AC34" s="19">
        <v>0</v>
      </c>
      <c r="AD34" s="19">
        <v>0</v>
      </c>
      <c r="AE34" s="1345">
        <v>0</v>
      </c>
      <c r="AF34" s="188">
        <v>0</v>
      </c>
      <c r="AG34" s="19">
        <v>0</v>
      </c>
      <c r="AH34" s="1187">
        <v>0</v>
      </c>
      <c r="AI34" s="71"/>
      <c r="AJ34" s="1421"/>
      <c r="AK34" s="1421"/>
      <c r="AL34" s="1421"/>
      <c r="AM34" s="1421"/>
      <c r="AN34" s="71"/>
      <c r="AO34" s="1498"/>
      <c r="AP34" s="1498"/>
      <c r="AQ34" s="1498"/>
      <c r="AR34" s="1498"/>
      <c r="AS34" s="1480"/>
      <c r="AT34" s="417"/>
      <c r="AU34" s="803"/>
      <c r="AV34" s="803"/>
      <c r="AW34" s="803"/>
      <c r="AX34" s="803"/>
    </row>
    <row r="35" spans="1:50" ht="15" customHeight="1" collapsed="1" x14ac:dyDescent="0.25">
      <c r="A35" s="1508" t="s">
        <v>623</v>
      </c>
      <c r="B35" s="861"/>
      <c r="C35" s="185"/>
      <c r="D35" s="18"/>
      <c r="E35" s="18">
        <v>6</v>
      </c>
      <c r="F35" s="18" t="str">
        <f>+CONCATENATE($B$10,"",$C$11,"",$D$32,"00",E35)</f>
        <v>21.01.004.006</v>
      </c>
      <c r="G35" s="1532" t="s">
        <v>37</v>
      </c>
      <c r="H35" s="1295">
        <f>+'P01 2023'!F27</f>
        <v>9200.0069999999996</v>
      </c>
      <c r="I35" s="99">
        <f>+'P01 2023'!BB27</f>
        <v>7217.66</v>
      </c>
      <c r="J35" s="99">
        <f ca="1">SUMIF(S$3:$AH22,"ok",S35:AH35)</f>
        <v>3820.9669999999996</v>
      </c>
      <c r="K35" s="740">
        <f t="shared" ca="1" si="5"/>
        <v>0.52939138169434408</v>
      </c>
      <c r="L35" s="99">
        <f>+'P01 2023'!BC27</f>
        <v>3820.9670000000001</v>
      </c>
      <c r="M35" s="740">
        <f t="shared" si="1"/>
        <v>0.52939138169434419</v>
      </c>
      <c r="N35" s="99">
        <f>+'P01 2023'!BE27</f>
        <v>3396.6930000000002</v>
      </c>
      <c r="O35" s="631">
        <f t="shared" si="2"/>
        <v>0.47060861830565587</v>
      </c>
      <c r="P35" s="1519">
        <f>+'P01 2022'!AZ25</f>
        <v>4464.5999999999995</v>
      </c>
      <c r="Q35" s="1121">
        <f ca="1">SUMIF(S$3:$AH25,"SI",S35:AH35)</f>
        <v>2248.1057470000001</v>
      </c>
      <c r="R35" s="1308">
        <f t="shared" ca="1" si="8"/>
        <v>0.50354023809523818</v>
      </c>
      <c r="S35" s="1320">
        <f>+'P01 2023'!I27</f>
        <v>503.17200000000003</v>
      </c>
      <c r="T35" s="1186">
        <f>+'P01 2022'!F25</f>
        <v>793.92068400000005</v>
      </c>
      <c r="U35" s="1295">
        <f>+'P01 2023'!N22</f>
        <v>2311.453</v>
      </c>
      <c r="V35" s="1345">
        <f>+'P01 2022'!M20</f>
        <v>351.010041</v>
      </c>
      <c r="W35" s="578">
        <f>+'P01 2023'!AD26</f>
        <v>534.62</v>
      </c>
      <c r="X35" s="1345">
        <f>+'P01 2022'!AB24</f>
        <v>518.15828699999997</v>
      </c>
      <c r="Y35" s="1295">
        <f>+'P01 2023'!AT25</f>
        <v>471.72199999999998</v>
      </c>
      <c r="Z35" s="1186">
        <f>+'P01 2022'!AQ24</f>
        <v>585.01673500000004</v>
      </c>
      <c r="AA35" s="219">
        <f>+'P01 2022'!BI20</f>
        <v>943.44799999999998</v>
      </c>
      <c r="AB35" s="19">
        <f>+'P01 2022'!CC24</f>
        <v>314.48200000000003</v>
      </c>
      <c r="AC35" s="19">
        <f>+'P01 2022'!CY24</f>
        <v>1132.1379999999999</v>
      </c>
      <c r="AD35" s="19">
        <f>+'P01 2022'!DR20</f>
        <v>969.64099999999996</v>
      </c>
      <c r="AE35" s="1345">
        <f>+'P01 2022'!EJ23</f>
        <v>518.89499999999998</v>
      </c>
      <c r="AF35" s="333">
        <f>+'P01 2022'!FC23</f>
        <v>707.58500000000004</v>
      </c>
      <c r="AG35" s="19">
        <f>+'P01 2022'!GA24</f>
        <v>644.68899999999996</v>
      </c>
      <c r="AH35" s="1186">
        <f>+'P01 2022'!GX26</f>
        <v>691.86</v>
      </c>
      <c r="AI35" s="71"/>
      <c r="AJ35" s="1421"/>
      <c r="AK35" s="1421"/>
      <c r="AL35" s="1421"/>
      <c r="AM35" s="1421"/>
      <c r="AN35" s="71"/>
      <c r="AO35" s="1498"/>
      <c r="AP35" s="1498"/>
      <c r="AQ35" s="1498"/>
      <c r="AR35" s="1498"/>
      <c r="AS35" s="1480"/>
      <c r="AT35" s="417"/>
      <c r="AU35" s="803"/>
      <c r="AV35" s="803"/>
      <c r="AW35" s="803"/>
      <c r="AX35" s="803"/>
    </row>
    <row r="36" spans="1:50" ht="15" customHeight="1" x14ac:dyDescent="0.25">
      <c r="A36" s="1508" t="s">
        <v>569</v>
      </c>
      <c r="B36" s="861"/>
      <c r="C36" s="185"/>
      <c r="D36" s="18"/>
      <c r="E36" s="18">
        <v>7</v>
      </c>
      <c r="F36" s="18" t="s">
        <v>206</v>
      </c>
      <c r="G36" s="1532" t="s">
        <v>38</v>
      </c>
      <c r="H36" s="1295">
        <f>+'P01 2023'!F28</f>
        <v>2500</v>
      </c>
      <c r="I36" s="99">
        <f>+'P01 2023'!BB28</f>
        <v>2500</v>
      </c>
      <c r="J36" s="99">
        <f ca="1">SUMIF(S$3:$AH25,"ok",S36:AH36)</f>
        <v>0</v>
      </c>
      <c r="K36" s="740">
        <v>0</v>
      </c>
      <c r="L36" s="99">
        <f>+'P01 2023'!BC28</f>
        <v>0</v>
      </c>
      <c r="M36" s="740">
        <f t="shared" si="1"/>
        <v>0</v>
      </c>
      <c r="N36" s="99">
        <f>+'P01 2023'!BE28</f>
        <v>2500</v>
      </c>
      <c r="O36" s="631">
        <f t="shared" si="2"/>
        <v>1</v>
      </c>
      <c r="P36" s="1519">
        <v>0</v>
      </c>
      <c r="Q36" s="1121">
        <f ca="1">SUMIF(S$3:$AH26,"SI",S36:AH36)</f>
        <v>0</v>
      </c>
      <c r="R36" s="1308" t="str">
        <f ca="1">IFERROR(Q36/P36,"0,00%")</f>
        <v>0,00%</v>
      </c>
      <c r="S36" s="1320">
        <f>+'P01 2023'!I28</f>
        <v>0</v>
      </c>
      <c r="T36" s="1186"/>
      <c r="U36" s="1295">
        <v>0</v>
      </c>
      <c r="V36" s="1345">
        <v>0</v>
      </c>
      <c r="W36" s="578">
        <v>0</v>
      </c>
      <c r="X36" s="1345">
        <v>0</v>
      </c>
      <c r="Y36" s="1295">
        <v>0</v>
      </c>
      <c r="Z36" s="1186">
        <v>0</v>
      </c>
      <c r="AA36" s="219"/>
      <c r="AB36" s="19"/>
      <c r="AC36" s="19">
        <v>0</v>
      </c>
      <c r="AD36" s="19">
        <v>0</v>
      </c>
      <c r="AE36" s="1345">
        <v>0</v>
      </c>
      <c r="AF36" s="333">
        <f>+'P01 2022'!FC24</f>
        <v>0</v>
      </c>
      <c r="AG36" s="19">
        <f>+'P01 2022'!GA26</f>
        <v>0</v>
      </c>
      <c r="AH36" s="1187">
        <v>0</v>
      </c>
      <c r="AI36" s="71"/>
      <c r="AJ36" s="1421"/>
      <c r="AK36" s="1421"/>
      <c r="AL36" s="1421"/>
      <c r="AM36" s="1421"/>
      <c r="AN36" s="71"/>
      <c r="AO36" s="1498"/>
      <c r="AP36" s="1498"/>
      <c r="AQ36" s="1498"/>
      <c r="AR36" s="1498"/>
      <c r="AS36" s="1480"/>
      <c r="AT36" s="417"/>
      <c r="AU36" s="803"/>
      <c r="AV36" s="803"/>
      <c r="AW36" s="803"/>
      <c r="AX36" s="803"/>
    </row>
    <row r="37" spans="1:50" s="184" customFormat="1" ht="15" customHeight="1" x14ac:dyDescent="0.25">
      <c r="A37" s="1508" t="s">
        <v>361</v>
      </c>
      <c r="B37" s="859"/>
      <c r="C37" s="130"/>
      <c r="D37" s="135" t="s">
        <v>161</v>
      </c>
      <c r="E37" s="135"/>
      <c r="F37" s="135"/>
      <c r="G37" s="1531" t="s">
        <v>34</v>
      </c>
      <c r="H37" s="1293">
        <f>+'P01 2023'!F29</f>
        <v>4470.5739999999996</v>
      </c>
      <c r="I37" s="129">
        <f>+'P01 2023'!BB29</f>
        <v>4470.5739999999996</v>
      </c>
      <c r="J37" s="129">
        <f ca="1">+J38+J39+J40</f>
        <v>157.93199999999999</v>
      </c>
      <c r="K37" s="844">
        <f t="shared" ca="1" si="5"/>
        <v>3.5327007225470379E-2</v>
      </c>
      <c r="L37" s="129">
        <f>+'P01 2023'!BC29</f>
        <v>157.93199999999999</v>
      </c>
      <c r="M37" s="844">
        <f t="shared" si="1"/>
        <v>3.5327007225470379E-2</v>
      </c>
      <c r="N37" s="129">
        <f>+'P01 2023'!BE29</f>
        <v>4312.6419999999998</v>
      </c>
      <c r="O37" s="1294">
        <f t="shared" si="2"/>
        <v>0.96467299277452967</v>
      </c>
      <c r="P37" s="1207">
        <f>+'P01 2022'!AZ26</f>
        <v>1675.0690219999999</v>
      </c>
      <c r="Q37" s="129">
        <f ca="1">SUM(Q38:Q40)</f>
        <v>570.7225739999999</v>
      </c>
      <c r="R37" s="1306" t="str">
        <f ca="1">IFERROR(Q37/#REF!,"0,00%")</f>
        <v>0,00%</v>
      </c>
      <c r="S37" s="1316">
        <f>SUM(S38:S40)</f>
        <v>0</v>
      </c>
      <c r="T37" s="1185">
        <f>SUM(T38:T40)</f>
        <v>318.89999999999998</v>
      </c>
      <c r="U37" s="1316">
        <v>0</v>
      </c>
      <c r="V37" s="247">
        <v>0</v>
      </c>
      <c r="W37" s="385">
        <f t="shared" ref="W37:AB37" si="19">SUM(W38:W40)</f>
        <v>157.93199999999999</v>
      </c>
      <c r="X37" s="247">
        <f t="shared" si="19"/>
        <v>251.82257399999997</v>
      </c>
      <c r="Y37" s="1296">
        <f t="shared" si="19"/>
        <v>0</v>
      </c>
      <c r="Z37" s="1209">
        <f t="shared" si="19"/>
        <v>0</v>
      </c>
      <c r="AA37" s="222">
        <f t="shared" si="19"/>
        <v>0</v>
      </c>
      <c r="AB37" s="134">
        <f t="shared" si="19"/>
        <v>236.898</v>
      </c>
      <c r="AC37" s="134">
        <v>0</v>
      </c>
      <c r="AD37" s="17">
        <v>0</v>
      </c>
      <c r="AE37" s="247">
        <f>+AE38+AE39+AE40</f>
        <v>193.92599999999999</v>
      </c>
      <c r="AF37" s="134">
        <f>+AF38</f>
        <v>0</v>
      </c>
      <c r="AG37" s="134">
        <v>0</v>
      </c>
      <c r="AH37" s="1185">
        <f>+'P01 2022'!GX27</f>
        <v>2311.346</v>
      </c>
      <c r="AI37" s="71"/>
      <c r="AJ37" s="1421"/>
      <c r="AK37" s="1421"/>
      <c r="AL37" s="1421"/>
      <c r="AM37" s="1421"/>
      <c r="AN37" s="71"/>
      <c r="AO37" s="1498"/>
      <c r="AP37" s="1498"/>
      <c r="AQ37" s="1498"/>
      <c r="AR37" s="1498"/>
      <c r="AS37" s="1480"/>
      <c r="AT37" s="417"/>
      <c r="AU37" s="803"/>
      <c r="AV37" s="803"/>
      <c r="AW37" s="803"/>
      <c r="AX37" s="803"/>
    </row>
    <row r="38" spans="1:50" ht="15" customHeight="1" x14ac:dyDescent="0.25">
      <c r="A38" s="1508" t="s">
        <v>362</v>
      </c>
      <c r="B38" s="861"/>
      <c r="C38" s="185"/>
      <c r="D38" s="18"/>
      <c r="E38" s="18">
        <v>1</v>
      </c>
      <c r="F38" s="18" t="str">
        <f>+CONCATENATE($B$10,"",$C$11,"",$D$37,"00",E38)</f>
        <v>21.01.005.001</v>
      </c>
      <c r="G38" s="1532" t="s">
        <v>95</v>
      </c>
      <c r="H38" s="1295">
        <f>+'P01 2023'!F30</f>
        <v>803.73599999999999</v>
      </c>
      <c r="I38" s="99">
        <f>+'P01 2023'!BB30</f>
        <v>803.73599999999999</v>
      </c>
      <c r="J38" s="19">
        <f ca="1">SUMIF(S$3:$AH27,"ok",S38:AH38)</f>
        <v>0</v>
      </c>
      <c r="K38" s="740">
        <f t="shared" ca="1" si="5"/>
        <v>0</v>
      </c>
      <c r="L38" s="99">
        <f>+'P01 2023'!BC30</f>
        <v>0</v>
      </c>
      <c r="M38" s="740">
        <f t="shared" si="1"/>
        <v>0</v>
      </c>
      <c r="N38" s="99">
        <f>+'P01 2023'!BE30</f>
        <v>803.73599999999999</v>
      </c>
      <c r="O38" s="631">
        <f t="shared" si="2"/>
        <v>1</v>
      </c>
      <c r="P38" s="1519">
        <f>+'P01 2022'!AZ27</f>
        <v>422.84332899999998</v>
      </c>
      <c r="Q38" s="1121">
        <f ca="1">SUMIF(S$3:$AH28,"SI",S38:AH38)</f>
        <v>0</v>
      </c>
      <c r="R38" s="1308">
        <f t="shared" ca="1" si="8"/>
        <v>0</v>
      </c>
      <c r="S38" s="1320">
        <f>+'P01 2023'!I30</f>
        <v>0</v>
      </c>
      <c r="T38" s="1186">
        <v>0</v>
      </c>
      <c r="U38" s="1295">
        <v>0</v>
      </c>
      <c r="V38" s="1345">
        <v>0</v>
      </c>
      <c r="W38" s="578">
        <v>0</v>
      </c>
      <c r="X38" s="1345">
        <v>0</v>
      </c>
      <c r="Y38" s="1295">
        <v>0</v>
      </c>
      <c r="Z38" s="1186">
        <f>+'P01 2022'!AQ26</f>
        <v>0</v>
      </c>
      <c r="AA38" s="219">
        <v>0</v>
      </c>
      <c r="AB38" s="19">
        <v>0</v>
      </c>
      <c r="AC38" s="19">
        <v>0</v>
      </c>
      <c r="AD38" s="19">
        <v>0</v>
      </c>
      <c r="AE38" s="1345">
        <f>+'P01 2022'!EJ25</f>
        <v>193.92599999999999</v>
      </c>
      <c r="AF38" s="188">
        <v>0</v>
      </c>
      <c r="AG38" s="19">
        <v>0</v>
      </c>
      <c r="AH38" s="1186">
        <f>+'P01 2022'!GX28</f>
        <v>426.346</v>
      </c>
      <c r="AI38" s="71"/>
      <c r="AJ38" s="1421"/>
      <c r="AK38" s="1421"/>
      <c r="AL38" s="1421"/>
      <c r="AM38" s="1421"/>
      <c r="AN38" s="71"/>
      <c r="AO38" s="1498"/>
      <c r="AP38" s="1498"/>
      <c r="AQ38" s="1498"/>
      <c r="AR38" s="1498"/>
      <c r="AS38" s="1480"/>
      <c r="AT38" s="417"/>
      <c r="AU38" s="803"/>
      <c r="AV38" s="803"/>
      <c r="AW38" s="803"/>
      <c r="AX38" s="803"/>
    </row>
    <row r="39" spans="1:50" ht="15" customHeight="1" x14ac:dyDescent="0.25">
      <c r="A39" s="1508" t="s">
        <v>481</v>
      </c>
      <c r="B39" s="861"/>
      <c r="C39" s="185"/>
      <c r="D39" s="18"/>
      <c r="E39" s="18">
        <v>2</v>
      </c>
      <c r="F39" s="18" t="str">
        <f>+CONCATENATE($B$10,"",$C$11,"",$D$37,"00",E39)</f>
        <v>21.01.005.002</v>
      </c>
      <c r="G39" s="1532" t="s">
        <v>96</v>
      </c>
      <c r="H39" s="1295">
        <f>+'P01 2023'!F31</f>
        <v>545.73800000000006</v>
      </c>
      <c r="I39" s="99">
        <f>+'P01 2023'!BB31</f>
        <v>545.73800000000006</v>
      </c>
      <c r="J39" s="19">
        <f ca="1">SUMIF(S$3:$AH28,"ok",S39:AH39)</f>
        <v>157.93199999999999</v>
      </c>
      <c r="K39" s="740">
        <f t="shared" ca="1" si="5"/>
        <v>0.28939161282520176</v>
      </c>
      <c r="L39" s="99">
        <f>+'P01 2023'!BC31</f>
        <v>157.93199999999999</v>
      </c>
      <c r="M39" s="740">
        <f t="shared" si="1"/>
        <v>0.28939161282520176</v>
      </c>
      <c r="N39" s="99">
        <f>+'P01 2023'!BE31</f>
        <v>387.80599999999998</v>
      </c>
      <c r="O39" s="631">
        <f t="shared" si="2"/>
        <v>0.71060838717479802</v>
      </c>
      <c r="P39" s="1519">
        <f>+'P01 2022'!AZ28</f>
        <v>497.859239</v>
      </c>
      <c r="Q39" s="1121">
        <f ca="1">SUMIF(S$3:$AH29,"SI",S39:AH39)</f>
        <v>251.82257399999997</v>
      </c>
      <c r="R39" s="1308">
        <f t="shared" ca="1" si="8"/>
        <v>0.50581078801673096</v>
      </c>
      <c r="S39" s="1320">
        <f>+'P01 2023'!I31</f>
        <v>0</v>
      </c>
      <c r="T39" s="1186">
        <v>0</v>
      </c>
      <c r="U39" s="1295">
        <v>0</v>
      </c>
      <c r="V39" s="1345">
        <v>0</v>
      </c>
      <c r="W39" s="578">
        <f>+'P01 2023'!AD28</f>
        <v>157.93199999999999</v>
      </c>
      <c r="X39" s="1345">
        <f>+'P01 2022'!AB26</f>
        <v>251.82257399999997</v>
      </c>
      <c r="Y39" s="1295">
        <f>+'P01 2023'!AT27</f>
        <v>0</v>
      </c>
      <c r="Z39" s="1187">
        <v>0</v>
      </c>
      <c r="AA39" s="219">
        <v>0</v>
      </c>
      <c r="AB39" s="19">
        <f>+'P01 2022'!CC27</f>
        <v>236.898</v>
      </c>
      <c r="AC39" s="19">
        <v>0</v>
      </c>
      <c r="AD39" s="19">
        <v>0</v>
      </c>
      <c r="AE39" s="1345">
        <v>0</v>
      </c>
      <c r="AF39" s="188">
        <v>0</v>
      </c>
      <c r="AG39" s="19">
        <v>0</v>
      </c>
      <c r="AH39" s="1187">
        <v>0</v>
      </c>
      <c r="AI39" s="71"/>
      <c r="AJ39" s="1421"/>
      <c r="AK39" s="1421"/>
      <c r="AL39" s="1421"/>
      <c r="AM39" s="1421"/>
      <c r="AN39" s="71"/>
      <c r="AO39" s="1498"/>
      <c r="AP39" s="1498"/>
      <c r="AQ39" s="1498"/>
      <c r="AR39" s="1498"/>
      <c r="AS39" s="1480"/>
      <c r="AT39" s="417"/>
      <c r="AU39" s="803"/>
      <c r="AV39" s="803"/>
      <c r="AW39" s="803"/>
      <c r="AX39" s="803"/>
    </row>
    <row r="40" spans="1:50" ht="15" customHeight="1" x14ac:dyDescent="0.25">
      <c r="A40" s="1508" t="s">
        <v>363</v>
      </c>
      <c r="B40" s="861"/>
      <c r="C40" s="185"/>
      <c r="D40" s="18"/>
      <c r="E40" s="18">
        <v>3</v>
      </c>
      <c r="F40" s="18" t="str">
        <f>+CONCATENATE($B$10,"",$C$11,"",$D$37,"00",E40)</f>
        <v>21.01.005.003</v>
      </c>
      <c r="G40" s="1532" t="s">
        <v>97</v>
      </c>
      <c r="H40" s="1295">
        <f>+'P01 2023'!F32</f>
        <v>3121.1</v>
      </c>
      <c r="I40" s="99">
        <f>+'P01 2023'!BB32</f>
        <v>3121.1</v>
      </c>
      <c r="J40" s="19">
        <f ca="1">SUMIF(S$3:$AH29,"ok",S40:AH40)</f>
        <v>0</v>
      </c>
      <c r="K40" s="740">
        <f t="shared" ca="1" si="5"/>
        <v>0</v>
      </c>
      <c r="L40" s="99">
        <f>+'P01 2023'!BC32</f>
        <v>0</v>
      </c>
      <c r="M40" s="740">
        <f t="shared" si="1"/>
        <v>0</v>
      </c>
      <c r="N40" s="99">
        <f>+'P01 2023'!BE32</f>
        <v>3121.1</v>
      </c>
      <c r="O40" s="631">
        <f t="shared" si="2"/>
        <v>1</v>
      </c>
      <c r="P40" s="1519">
        <f>+'P01 2022'!AZ29</f>
        <v>754.36645399999998</v>
      </c>
      <c r="Q40" s="1121">
        <f ca="1">SUMIF(S$3:$AH30,"SI",S40:AH40)</f>
        <v>318.89999999999998</v>
      </c>
      <c r="R40" s="1308">
        <f t="shared" ca="1" si="8"/>
        <v>0.4227388403991782</v>
      </c>
      <c r="S40" s="1320">
        <f>+'P01 2023'!I32</f>
        <v>0</v>
      </c>
      <c r="T40" s="1186">
        <f>+'P01 2022'!F29</f>
        <v>318.89999999999998</v>
      </c>
      <c r="U40" s="1295">
        <v>0</v>
      </c>
      <c r="V40" s="1345">
        <v>0</v>
      </c>
      <c r="W40" s="578">
        <v>0</v>
      </c>
      <c r="X40" s="1345">
        <v>0</v>
      </c>
      <c r="Y40" s="1295">
        <v>0</v>
      </c>
      <c r="Z40" s="1187">
        <v>0</v>
      </c>
      <c r="AA40" s="219">
        <v>0</v>
      </c>
      <c r="AB40" s="19">
        <v>0</v>
      </c>
      <c r="AC40" s="19">
        <v>0</v>
      </c>
      <c r="AD40" s="19">
        <v>0</v>
      </c>
      <c r="AE40" s="1345">
        <v>0</v>
      </c>
      <c r="AF40" s="188">
        <v>0</v>
      </c>
      <c r="AG40" s="19">
        <v>0</v>
      </c>
      <c r="AH40" s="1186">
        <f>+'P01 2022'!GX29</f>
        <v>1885</v>
      </c>
      <c r="AI40" s="71"/>
      <c r="AJ40" s="1421"/>
      <c r="AK40" s="1421"/>
      <c r="AL40" s="1421"/>
      <c r="AM40" s="1421"/>
      <c r="AN40" s="71"/>
      <c r="AO40" s="1498"/>
      <c r="AP40" s="1498"/>
      <c r="AQ40" s="1498"/>
      <c r="AR40" s="1498"/>
      <c r="AS40" s="1480"/>
      <c r="AT40" s="417"/>
      <c r="AU40" s="803"/>
      <c r="AV40" s="803"/>
      <c r="AW40" s="803"/>
      <c r="AX40" s="803"/>
    </row>
    <row r="41" spans="1:50" s="184" customFormat="1" ht="15" customHeight="1" x14ac:dyDescent="0.25">
      <c r="A41" s="1508" t="s">
        <v>364</v>
      </c>
      <c r="B41" s="859"/>
      <c r="C41" s="130" t="s">
        <v>162</v>
      </c>
      <c r="D41" s="135"/>
      <c r="E41" s="135"/>
      <c r="F41" s="135"/>
      <c r="G41" s="1531" t="s">
        <v>39</v>
      </c>
      <c r="H41" s="1293">
        <f>+'P01 2023'!F33</f>
        <v>14824050.877</v>
      </c>
      <c r="I41" s="129">
        <f>+'P01 2023'!BB33</f>
        <v>14802801.223999999</v>
      </c>
      <c r="J41" s="129">
        <f ca="1">SUMIF(S$3:$AH30,"ok",S41:AH41)</f>
        <v>5074777.8209999995</v>
      </c>
      <c r="K41" s="844">
        <f t="shared" ca="1" si="5"/>
        <v>0.3428255060786865</v>
      </c>
      <c r="L41" s="129">
        <f>+'P01 2023'!BC33</f>
        <v>5074777.8210000005</v>
      </c>
      <c r="M41" s="844">
        <f t="shared" si="1"/>
        <v>0.34282550607868656</v>
      </c>
      <c r="N41" s="129">
        <f>+'P01 2023'!BE33</f>
        <v>9728023.4030000009</v>
      </c>
      <c r="O41" s="1294">
        <f t="shared" si="2"/>
        <v>0.65717449392131355</v>
      </c>
      <c r="P41" s="1207">
        <f>+'P01 2022'!AZ30</f>
        <v>14184350.135292998</v>
      </c>
      <c r="Q41" s="129">
        <f ca="1">SUMIF(S$3:$AH33,"SI",S41:AH41)</f>
        <v>4524590.454961</v>
      </c>
      <c r="R41" s="1306">
        <f t="shared" ca="1" si="8"/>
        <v>0.3189846846563012</v>
      </c>
      <c r="S41" s="1321">
        <f t="shared" ref="S41:AF41" si="20">+S42+S56+S59+S63+S68</f>
        <v>1046906.3829999999</v>
      </c>
      <c r="T41" s="1322">
        <f t="shared" si="20"/>
        <v>974562.94219899992</v>
      </c>
      <c r="U41" s="1321">
        <f>+'P01 2023'!N23</f>
        <v>1070462.6089999999</v>
      </c>
      <c r="V41" s="1347">
        <f t="shared" si="20"/>
        <v>953065.47543999995</v>
      </c>
      <c r="W41" s="1397">
        <f>+'P01 2023'!AD29</f>
        <v>1880957.31</v>
      </c>
      <c r="X41" s="1347">
        <f t="shared" si="20"/>
        <v>1672669.1804439998</v>
      </c>
      <c r="Y41" s="1488">
        <f>+Y42+Y56+Y59+Y63+Y68</f>
        <v>1076451.5189999999</v>
      </c>
      <c r="Z41" s="1210">
        <f>+Z42+Z56+Z59+Z63+Z68</f>
        <v>924292.85687799996</v>
      </c>
      <c r="AA41" s="1202">
        <f t="shared" si="20"/>
        <v>934236.69200000016</v>
      </c>
      <c r="AB41" s="189">
        <f t="shared" si="20"/>
        <v>1656304.31</v>
      </c>
      <c r="AC41" s="189">
        <f t="shared" si="20"/>
        <v>927975.076</v>
      </c>
      <c r="AD41" s="189">
        <f t="shared" si="20"/>
        <v>935000.63100000005</v>
      </c>
      <c r="AE41" s="1347">
        <f t="shared" si="20"/>
        <v>1657071.6840000001</v>
      </c>
      <c r="AF41" s="189">
        <f t="shared" si="20"/>
        <v>934348.56599999988</v>
      </c>
      <c r="AG41" s="189">
        <f>+'P01 2022'!GA27</f>
        <v>949342.005</v>
      </c>
      <c r="AH41" s="1185">
        <f>+'P01 2022'!GX30</f>
        <v>1873565.4509999999</v>
      </c>
      <c r="AI41" s="71"/>
      <c r="AJ41" s="1421"/>
      <c r="AK41" s="1421"/>
      <c r="AL41" s="1421"/>
      <c r="AM41" s="1421"/>
      <c r="AN41" s="71"/>
      <c r="AO41" s="1498"/>
      <c r="AP41" s="1498"/>
      <c r="AQ41" s="1498"/>
      <c r="AR41" s="1498"/>
      <c r="AS41" s="1480"/>
      <c r="AT41" s="417"/>
      <c r="AU41" s="803"/>
      <c r="AV41" s="803"/>
      <c r="AW41" s="803"/>
      <c r="AX41" s="803"/>
    </row>
    <row r="42" spans="1:50" s="184" customFormat="1" ht="15" customHeight="1" x14ac:dyDescent="0.25">
      <c r="A42" s="1508" t="s">
        <v>365</v>
      </c>
      <c r="B42" s="859"/>
      <c r="C42" s="130"/>
      <c r="D42" s="135" t="s">
        <v>156</v>
      </c>
      <c r="E42" s="135"/>
      <c r="F42" s="135"/>
      <c r="G42" s="1531" t="s">
        <v>18</v>
      </c>
      <c r="H42" s="1293">
        <f>+'P01 2023'!F34</f>
        <v>12418776.130000001</v>
      </c>
      <c r="I42" s="129">
        <f>+'P01 2023'!BB34</f>
        <v>12395344.130000001</v>
      </c>
      <c r="J42" s="129">
        <f ca="1">SUMIF(S$3:$AH31,"ok",S42:AH42)</f>
        <v>4403353.7760000005</v>
      </c>
      <c r="K42" s="844">
        <f t="shared" ca="1" si="5"/>
        <v>0.35524255961096907</v>
      </c>
      <c r="L42" s="129">
        <f>+'P01 2023'!BC34</f>
        <v>4403353.7759999996</v>
      </c>
      <c r="M42" s="844">
        <f t="shared" si="1"/>
        <v>0.35524255961096896</v>
      </c>
      <c r="N42" s="129">
        <f>+'P01 2023'!BE34</f>
        <v>7991990.3540000003</v>
      </c>
      <c r="O42" s="1294">
        <f t="shared" si="2"/>
        <v>0.64475744038903093</v>
      </c>
      <c r="P42" s="1207">
        <f>+'P01 2022'!AZ31</f>
        <v>12026236.002805999</v>
      </c>
      <c r="Q42" s="129">
        <f ca="1">SUM(Q43:Q55)</f>
        <v>3918522.3698530002</v>
      </c>
      <c r="R42" s="1306">
        <f t="shared" ca="1" si="8"/>
        <v>0.32583115522917716</v>
      </c>
      <c r="S42" s="1321">
        <f>SUM(S43:S55)</f>
        <v>984236.06599999988</v>
      </c>
      <c r="T42" s="1322">
        <f>SUM(T43:T55)</f>
        <v>894566.24152499996</v>
      </c>
      <c r="U42" s="1321">
        <f>+'P01 2023'!N24</f>
        <v>988181.99100000004</v>
      </c>
      <c r="V42" s="1347">
        <f t="shared" ref="V42:AE42" si="21">SUM(V43:V53)</f>
        <v>892938.27828499989</v>
      </c>
      <c r="W42" s="1397">
        <f>+'P01 2023'!AD30</f>
        <v>1432801.1680000001</v>
      </c>
      <c r="X42" s="1347">
        <f t="shared" si="21"/>
        <v>1277221.431105</v>
      </c>
      <c r="Y42" s="1488">
        <f>SUM(Y43:Y55)</f>
        <v>998134.55099999998</v>
      </c>
      <c r="Z42" s="1210">
        <f>SUM(Z43:Z55)</f>
        <v>853796.41893799999</v>
      </c>
      <c r="AA42" s="1202">
        <f t="shared" si="21"/>
        <v>864577.99600000004</v>
      </c>
      <c r="AB42" s="189">
        <f t="shared" si="21"/>
        <v>1274423.8470000001</v>
      </c>
      <c r="AC42" s="189">
        <f t="shared" si="21"/>
        <v>854272.35499999998</v>
      </c>
      <c r="AD42" s="189">
        <f t="shared" si="21"/>
        <v>862016.55100000009</v>
      </c>
      <c r="AE42" s="1347">
        <f t="shared" si="21"/>
        <v>1267708.6730000002</v>
      </c>
      <c r="AF42" s="189">
        <f>SUM(AF43:AF53)</f>
        <v>870184.90799999994</v>
      </c>
      <c r="AG42" s="189">
        <f>+'P01 2022'!GA28</f>
        <v>868598.14300000004</v>
      </c>
      <c r="AH42" s="1185">
        <f>+'P01 2022'!GX31</f>
        <v>1388275.041</v>
      </c>
      <c r="AI42" s="71"/>
      <c r="AJ42" s="1421"/>
      <c r="AK42" s="1421"/>
      <c r="AL42" s="1421"/>
      <c r="AM42" s="1421"/>
      <c r="AN42" s="71"/>
      <c r="AO42" s="1498"/>
      <c r="AP42" s="1498"/>
      <c r="AQ42" s="1498"/>
      <c r="AR42" s="1498"/>
      <c r="AS42" s="1480"/>
      <c r="AT42" s="417"/>
      <c r="AU42" s="803"/>
      <c r="AV42" s="803"/>
      <c r="AW42" s="803"/>
      <c r="AX42" s="803"/>
    </row>
    <row r="43" spans="1:50" ht="15" customHeight="1" x14ac:dyDescent="0.25">
      <c r="A43" s="1508" t="s">
        <v>366</v>
      </c>
      <c r="B43" s="861"/>
      <c r="C43" s="185"/>
      <c r="D43" s="18"/>
      <c r="E43" s="18">
        <v>1</v>
      </c>
      <c r="F43" s="18" t="str">
        <f t="shared" ref="F43:F48" si="22">+CONCATENATE($B$10,"",$C$41,"",$D$42,"00",E43)</f>
        <v>21.02.001.001</v>
      </c>
      <c r="G43" s="1532" t="s">
        <v>625</v>
      </c>
      <c r="H43" s="1295">
        <f>+'P01 2023'!F35</f>
        <v>2971337.7</v>
      </c>
      <c r="I43" s="99">
        <f>+'P01 2023'!BB35</f>
        <v>2804060.9</v>
      </c>
      <c r="J43" s="19">
        <f ca="1">SUMIF(S$3:$AH33,"ok",S43:AH43)</f>
        <v>941532.44699999993</v>
      </c>
      <c r="K43" s="740">
        <f t="shared" ca="1" si="5"/>
        <v>0.33577460710642909</v>
      </c>
      <c r="L43" s="99">
        <f>+'P01 2023'!BC35</f>
        <v>941532.44700000004</v>
      </c>
      <c r="M43" s="740">
        <f t="shared" si="1"/>
        <v>0.33577460710642915</v>
      </c>
      <c r="N43" s="99">
        <f>+'P01 2023'!BE35</f>
        <v>1862528.453</v>
      </c>
      <c r="O43" s="631">
        <f t="shared" si="2"/>
        <v>0.66422539289357085</v>
      </c>
      <c r="P43" s="1519">
        <f>+'P01 2022'!AZ32</f>
        <v>2898859.8434279999</v>
      </c>
      <c r="Q43" s="1121">
        <f ca="1">SUMIF(S$3:$AH35,"SI",S43:AH43)</f>
        <v>855078.11843199993</v>
      </c>
      <c r="R43" s="1308">
        <f t="shared" ca="1" si="8"/>
        <v>0.29497049344091125</v>
      </c>
      <c r="S43" s="1320">
        <f>+'P01 2023'!I35</f>
        <v>234118.86799999999</v>
      </c>
      <c r="T43" s="1186">
        <f>+'P01 2022'!F32</f>
        <v>216454.09146199998</v>
      </c>
      <c r="U43" s="1295">
        <f>+'P01 2023'!N25</f>
        <v>234821.625</v>
      </c>
      <c r="V43" s="1345">
        <f>+'P01 2022'!M23</f>
        <v>215905.22310499998</v>
      </c>
      <c r="W43" s="578">
        <f>+'P01 2023'!AD31</f>
        <v>235453.35699999999</v>
      </c>
      <c r="X43" s="1345">
        <f>+'P01 2022'!AB29</f>
        <v>214278.72042699999</v>
      </c>
      <c r="Y43" s="1295">
        <f>+'P01 2023'!AT30</f>
        <v>237138.59700000001</v>
      </c>
      <c r="Z43" s="1186">
        <f>+'P01 2022'!AQ29</f>
        <v>208440.08343799997</v>
      </c>
      <c r="AA43" s="219">
        <f>+'P01 2022'!BI23</f>
        <v>209204.948</v>
      </c>
      <c r="AB43" s="19">
        <f>+'P01 2022'!CC30</f>
        <v>215359.416</v>
      </c>
      <c r="AC43" s="19">
        <f>+'P01 2022'!CY29</f>
        <v>206515.253</v>
      </c>
      <c r="AD43" s="19">
        <f>+'P01 2022'!DR23</f>
        <v>208372.68</v>
      </c>
      <c r="AE43" s="1345">
        <f>+'P01 2022'!EJ28</f>
        <v>209514.663</v>
      </c>
      <c r="AF43" s="333">
        <f>+'P01 2022'!FC28</f>
        <v>209952.193</v>
      </c>
      <c r="AG43" s="19">
        <f>+'P01 2022'!GA29</f>
        <v>209554.28</v>
      </c>
      <c r="AH43" s="1186">
        <f>+'P01 2022'!GX32</f>
        <v>230627.83300000001</v>
      </c>
      <c r="AI43" s="71"/>
      <c r="AJ43" s="1421"/>
      <c r="AK43" s="1421"/>
      <c r="AL43" s="1421"/>
      <c r="AM43" s="1421"/>
      <c r="AN43" s="71"/>
      <c r="AO43" s="1498"/>
      <c r="AP43" s="1498"/>
      <c r="AQ43" s="1498"/>
      <c r="AR43" s="1498"/>
      <c r="AS43" s="1480"/>
      <c r="AT43" s="417"/>
      <c r="AU43" s="803"/>
      <c r="AV43" s="803"/>
      <c r="AW43" s="803"/>
      <c r="AX43" s="803"/>
    </row>
    <row r="44" spans="1:50" ht="15" customHeight="1" x14ac:dyDescent="0.25">
      <c r="A44" s="1508" t="s">
        <v>570</v>
      </c>
      <c r="B44" s="861"/>
      <c r="C44" s="185"/>
      <c r="D44" s="18"/>
      <c r="E44" s="18">
        <v>2</v>
      </c>
      <c r="F44" s="18" t="str">
        <f t="shared" si="22"/>
        <v>21.02.001.002</v>
      </c>
      <c r="G44" s="1532" t="s">
        <v>19</v>
      </c>
      <c r="H44" s="1295">
        <f>+'P01 2023'!F36</f>
        <v>126648.201</v>
      </c>
      <c r="I44" s="99">
        <f>+'P01 2023'!BB36</f>
        <v>126648.201</v>
      </c>
      <c r="J44" s="19">
        <f ca="1">SUMIF(S$3:$AH34,"ok",S44:AH44)</f>
        <v>40254.100999999995</v>
      </c>
      <c r="K44" s="740">
        <f t="shared" ca="1" si="5"/>
        <v>0.31784186970014677</v>
      </c>
      <c r="L44" s="99">
        <f>+'P01 2023'!BC36</f>
        <v>40254.101000000002</v>
      </c>
      <c r="M44" s="740">
        <f t="shared" ref="M44:M76" si="23">+IFERROR(L44/I44,0)</f>
        <v>0.31784186970014683</v>
      </c>
      <c r="N44" s="99">
        <f>+'P01 2023'!BE36</f>
        <v>86394.1</v>
      </c>
      <c r="O44" s="631">
        <f t="shared" ref="O44:O76" si="24">+IFERROR(N44/I44,0)</f>
        <v>0.68215813029985328</v>
      </c>
      <c r="P44" s="1519">
        <f>+'P01 2022'!AZ33</f>
        <v>100952.095898</v>
      </c>
      <c r="Q44" s="1121">
        <f ca="1">SUMIF(S$3:$AH36,"SI",S44:AH44)</f>
        <v>37146.166139000001</v>
      </c>
      <c r="R44" s="1308">
        <f t="shared" ca="1" si="8"/>
        <v>0.3679583450801433</v>
      </c>
      <c r="S44" s="1320">
        <f>+'P01 2023'!I36</f>
        <v>9785.93</v>
      </c>
      <c r="T44" s="1186">
        <f>+'P01 2022'!F33</f>
        <v>9235.7904600000002</v>
      </c>
      <c r="U44" s="1295">
        <f>+'P01 2023'!N26</f>
        <v>9990.5939999999991</v>
      </c>
      <c r="V44" s="1345">
        <f>+'P01 2022'!M24</f>
        <v>9336.5447889999996</v>
      </c>
      <c r="W44" s="578">
        <f>+'P01 2023'!AD32</f>
        <v>10184.384</v>
      </c>
      <c r="X44" s="1345">
        <f>+'P01 2022'!AB30</f>
        <v>9322.3324790000006</v>
      </c>
      <c r="Y44" s="1295">
        <f>+'P01 2023'!AT31</f>
        <v>10293.192999999999</v>
      </c>
      <c r="Z44" s="1186">
        <f>+'P01 2022'!AQ30</f>
        <v>9251.4984110000005</v>
      </c>
      <c r="AA44" s="219">
        <f>+'P01 2022'!BI24</f>
        <v>8995.3330000000005</v>
      </c>
      <c r="AB44" s="19">
        <f>+'P01 2022'!CC31</f>
        <v>9217.7080000000005</v>
      </c>
      <c r="AC44" s="19">
        <f>+'P01 2022'!CY30</f>
        <v>9094.4110000000001</v>
      </c>
      <c r="AD44" s="19">
        <f>+'P01 2022'!DR24</f>
        <v>8750.8580000000002</v>
      </c>
      <c r="AE44" s="1345">
        <f>+'P01 2022'!EJ29</f>
        <v>10302.86</v>
      </c>
      <c r="AF44" s="333">
        <f>+'P01 2022'!FC29</f>
        <v>9152.2350000000006</v>
      </c>
      <c r="AG44" s="19">
        <f>+'P01 2022'!GA30</f>
        <v>9247.3140000000003</v>
      </c>
      <c r="AH44" s="1186">
        <f>+'P01 2022'!GX33</f>
        <v>10238.334999999999</v>
      </c>
      <c r="AI44" s="71"/>
      <c r="AJ44" s="1421"/>
      <c r="AK44" s="1421"/>
      <c r="AL44" s="1421"/>
      <c r="AM44" s="1421"/>
      <c r="AN44" s="71"/>
      <c r="AO44" s="1498"/>
      <c r="AP44" s="1498"/>
      <c r="AQ44" s="1498"/>
      <c r="AR44" s="1498"/>
      <c r="AS44" s="1480"/>
      <c r="AT44" s="417"/>
      <c r="AU44" s="803"/>
      <c r="AV44" s="803"/>
      <c r="AW44" s="803"/>
      <c r="AX44" s="803"/>
    </row>
    <row r="45" spans="1:50" ht="15" customHeight="1" x14ac:dyDescent="0.25">
      <c r="A45" s="1508" t="s">
        <v>367</v>
      </c>
      <c r="B45" s="861"/>
      <c r="C45" s="185"/>
      <c r="D45" s="18"/>
      <c r="E45" s="18">
        <v>3</v>
      </c>
      <c r="F45" s="18" t="str">
        <f t="shared" si="22"/>
        <v>21.02.001.003</v>
      </c>
      <c r="G45" s="1532" t="s">
        <v>20</v>
      </c>
      <c r="H45" s="1295">
        <f>+'P01 2023'!F37</f>
        <v>1992107.1370000001</v>
      </c>
      <c r="I45" s="99">
        <f>+'P01 2023'!BB37</f>
        <v>1992107.1370000001</v>
      </c>
      <c r="J45" s="19">
        <f ca="1">SUMIF(S$3:$AH35,"ok",S45:AH45)</f>
        <v>660369.25899999996</v>
      </c>
      <c r="K45" s="740">
        <f t="shared" ca="1" si="5"/>
        <v>0.33149284329881901</v>
      </c>
      <c r="L45" s="99">
        <f>+'P01 2023'!BC37</f>
        <v>660369.25899999996</v>
      </c>
      <c r="M45" s="740">
        <f t="shared" si="23"/>
        <v>0.33149284329881901</v>
      </c>
      <c r="N45" s="99">
        <f>+'P01 2023'!BE37</f>
        <v>1331737.878</v>
      </c>
      <c r="O45" s="631">
        <f t="shared" si="24"/>
        <v>0.66850715670118099</v>
      </c>
      <c r="P45" s="1519">
        <f>+'P01 2022'!AZ34</f>
        <v>1656983.7639810001</v>
      </c>
      <c r="Q45" s="1121">
        <f ca="1">SUMIF(S$3:$AH37,"SI",S45:AH45)</f>
        <v>581956.86930299993</v>
      </c>
      <c r="R45" s="1308">
        <f t="shared" ca="1" si="8"/>
        <v>0.35121458758582802</v>
      </c>
      <c r="S45" s="1320">
        <f>+'P01 2023'!I37</f>
        <v>163949.74</v>
      </c>
      <c r="T45" s="1186">
        <f>+'P01 2022'!F34</f>
        <v>147115.43379099999</v>
      </c>
      <c r="U45" s="1295">
        <f>+'P01 2023'!N27</f>
        <v>164750.16899999999</v>
      </c>
      <c r="V45" s="1345">
        <f>+'P01 2022'!M25</f>
        <v>147030.169498</v>
      </c>
      <c r="W45" s="578">
        <f>+'P01 2023'!AD33</f>
        <v>165216.68599999999</v>
      </c>
      <c r="X45" s="1345">
        <f>+'P01 2022'!AB31</f>
        <v>145872.86439</v>
      </c>
      <c r="Y45" s="1295">
        <f>+'P01 2023'!AT32</f>
        <v>166452.66399999999</v>
      </c>
      <c r="Z45" s="1186">
        <f>+'P01 2022'!AQ31</f>
        <v>141938.40162399999</v>
      </c>
      <c r="AA45" s="219">
        <f>+'P01 2022'!BI25</f>
        <v>144738.85200000001</v>
      </c>
      <c r="AB45" s="19">
        <f>+'P01 2022'!CC32</f>
        <v>150034.57699999999</v>
      </c>
      <c r="AC45" s="19">
        <f>+'P01 2022'!CY31</f>
        <v>143036.34099999999</v>
      </c>
      <c r="AD45" s="19">
        <f>+'P01 2022'!DR25</f>
        <v>144769.92300000001</v>
      </c>
      <c r="AE45" s="1345">
        <f>+'P01 2022'!EJ30</f>
        <v>145675.90400000001</v>
      </c>
      <c r="AF45" s="333">
        <f>+'P01 2022'!FC30</f>
        <v>146439.21299999999</v>
      </c>
      <c r="AG45" s="19">
        <f>+'P01 2022'!GA31</f>
        <v>146167.24799999999</v>
      </c>
      <c r="AH45" s="1186">
        <f>+'P01 2022'!GX34</f>
        <v>160491.50899999999</v>
      </c>
      <c r="AI45" s="71"/>
      <c r="AJ45" s="1421"/>
      <c r="AK45" s="1421"/>
      <c r="AL45" s="1421"/>
      <c r="AM45" s="1421"/>
      <c r="AN45" s="71"/>
      <c r="AO45" s="1498"/>
      <c r="AP45" s="1498"/>
      <c r="AQ45" s="1498"/>
      <c r="AR45" s="1498"/>
      <c r="AS45" s="1480"/>
      <c r="AT45" s="417"/>
      <c r="AU45" s="803"/>
      <c r="AV45" s="803"/>
      <c r="AW45" s="803"/>
      <c r="AX45" s="803"/>
    </row>
    <row r="46" spans="1:50" ht="15" customHeight="1" x14ac:dyDescent="0.25">
      <c r="A46" s="1508" t="s">
        <v>368</v>
      </c>
      <c r="B46" s="861"/>
      <c r="C46" s="185"/>
      <c r="D46" s="18"/>
      <c r="E46" s="18">
        <v>4</v>
      </c>
      <c r="F46" s="18" t="str">
        <f t="shared" si="22"/>
        <v>21.02.001.004</v>
      </c>
      <c r="G46" s="1532" t="s">
        <v>21</v>
      </c>
      <c r="H46" s="1295">
        <f>+'P01 2023'!F38</f>
        <v>278309.69799999997</v>
      </c>
      <c r="I46" s="99">
        <f>+'P01 2023'!BB38</f>
        <v>278309.69799999997</v>
      </c>
      <c r="J46" s="19">
        <f ca="1">SUMIF(S$3:$AH37,"ok",S46:AH46)</f>
        <v>90436.581000000006</v>
      </c>
      <c r="K46" s="740">
        <f t="shared" ca="1" si="5"/>
        <v>0.32494944175463125</v>
      </c>
      <c r="L46" s="99">
        <f>+'P01 2023'!BC38</f>
        <v>90436.581000000006</v>
      </c>
      <c r="M46" s="740">
        <f t="shared" si="23"/>
        <v>0.32494944175463125</v>
      </c>
      <c r="N46" s="99">
        <f>+'P01 2023'!BE38</f>
        <v>187873.117</v>
      </c>
      <c r="O46" s="631">
        <f t="shared" si="24"/>
        <v>0.67505055824536886</v>
      </c>
      <c r="P46" s="1519">
        <f>+'P01 2022'!AZ35</f>
        <v>231712.34137499999</v>
      </c>
      <c r="Q46" s="1121">
        <f ca="1">SUMIF(S$3:$AH38,"SI",S46:AH46)</f>
        <v>80639.346891000008</v>
      </c>
      <c r="R46" s="1308">
        <f t="shared" ca="1" si="8"/>
        <v>0.34801489818142411</v>
      </c>
      <c r="S46" s="1320">
        <f>+'P01 2023'!I38</f>
        <v>22604.442999999999</v>
      </c>
      <c r="T46" s="1186">
        <f>+'P01 2022'!F35</f>
        <v>20984.364099999999</v>
      </c>
      <c r="U46" s="1295">
        <f>+'P01 2023'!N28</f>
        <v>22604.442999999999</v>
      </c>
      <c r="V46" s="1345">
        <f>+'P01 2022'!M26</f>
        <v>20915.455125</v>
      </c>
      <c r="W46" s="578">
        <f>+'P01 2023'!AD34</f>
        <v>22623.252</v>
      </c>
      <c r="X46" s="1345">
        <f>+'P01 2022'!AB32</f>
        <v>20684.617234000001</v>
      </c>
      <c r="Y46" s="1295">
        <f>+'P01 2023'!AT33</f>
        <v>22604.442999999999</v>
      </c>
      <c r="Z46" s="1186">
        <f>+'P01 2022'!AQ32</f>
        <v>18054.910432000001</v>
      </c>
      <c r="AA46" s="219">
        <f>+'P01 2022'!BI26</f>
        <v>20102.519</v>
      </c>
      <c r="AB46" s="19">
        <f>+'P01 2022'!CC33</f>
        <v>20025.715</v>
      </c>
      <c r="AC46" s="19">
        <f>+'P01 2022'!CY32</f>
        <v>20418.038</v>
      </c>
      <c r="AD46" s="19">
        <f>+'P01 2022'!DR26</f>
        <v>20542.686000000002</v>
      </c>
      <c r="AE46" s="1345">
        <f>+'P01 2022'!EJ31</f>
        <v>20418.038</v>
      </c>
      <c r="AF46" s="333">
        <f>+'P01 2022'!FC31</f>
        <v>20418.038</v>
      </c>
      <c r="AG46" s="19">
        <f>+'P01 2022'!GA32</f>
        <v>20418.038</v>
      </c>
      <c r="AH46" s="1186">
        <f>+'P01 2022'!GX35</f>
        <v>22776.024000000001</v>
      </c>
      <c r="AI46" s="71"/>
      <c r="AJ46" s="1421"/>
      <c r="AK46" s="1421"/>
      <c r="AL46" s="1421"/>
      <c r="AM46" s="1421"/>
      <c r="AN46" s="71"/>
      <c r="AO46" s="1498"/>
      <c r="AP46" s="1498"/>
      <c r="AQ46" s="1498"/>
      <c r="AR46" s="1498"/>
      <c r="AS46" s="1480"/>
      <c r="AT46" s="417"/>
      <c r="AU46" s="803"/>
      <c r="AV46" s="803"/>
      <c r="AW46" s="803"/>
      <c r="AX46" s="803"/>
    </row>
    <row r="47" spans="1:50" ht="15" customHeight="1" x14ac:dyDescent="0.25">
      <c r="A47" s="1508" t="s">
        <v>571</v>
      </c>
      <c r="B47" s="861"/>
      <c r="C47" s="185"/>
      <c r="D47" s="18"/>
      <c r="E47" s="18">
        <v>6</v>
      </c>
      <c r="F47" s="18" t="str">
        <f t="shared" si="22"/>
        <v>21.02.001.006</v>
      </c>
      <c r="G47" s="1532" t="s">
        <v>99</v>
      </c>
      <c r="H47" s="1295">
        <f>+'P01 2023'!F39</f>
        <v>24.742000000000001</v>
      </c>
      <c r="I47" s="99">
        <f>+'P01 2023'!BB39</f>
        <v>24.742000000000001</v>
      </c>
      <c r="J47" s="19">
        <f ca="1">SUMIF(S$3:$AH38,"ok",S47:AH47)</f>
        <v>0</v>
      </c>
      <c r="K47" s="740">
        <f t="shared" ca="1" si="5"/>
        <v>0</v>
      </c>
      <c r="L47" s="99">
        <f>+'P01 2023'!BC39</f>
        <v>0</v>
      </c>
      <c r="M47" s="740">
        <f t="shared" si="23"/>
        <v>0</v>
      </c>
      <c r="N47" s="99">
        <f>+'P01 2023'!BE39</f>
        <v>24.742000000000001</v>
      </c>
      <c r="O47" s="631">
        <f t="shared" si="24"/>
        <v>1</v>
      </c>
      <c r="P47" s="1541">
        <f>+'P01 2022'!AZ36</f>
        <v>22.83324</v>
      </c>
      <c r="Q47" s="1289">
        <f ca="1">SUMIF(S$3:$AH39,"SI",S47:AH47)</f>
        <v>22.833239999999996</v>
      </c>
      <c r="R47" s="1542">
        <f ca="1">IFERROR(Q47/P47,"0%")</f>
        <v>0.99999999999999989</v>
      </c>
      <c r="S47" s="1320">
        <f>+'P01 2023'!I39</f>
        <v>0</v>
      </c>
      <c r="T47" s="1186">
        <f>+'P01 2022'!F36</f>
        <v>7.6110799999999994</v>
      </c>
      <c r="U47" s="1295">
        <v>0</v>
      </c>
      <c r="V47" s="1345">
        <f>+'P01 2022'!M27</f>
        <v>7.6110799999999994</v>
      </c>
      <c r="W47" s="578">
        <v>0</v>
      </c>
      <c r="X47" s="1345">
        <f>+'P01 2022'!AB33</f>
        <v>7.6110799999999994</v>
      </c>
      <c r="Y47" s="1295">
        <v>0</v>
      </c>
      <c r="Z47" s="1186">
        <f>+'P01 2022'!AQ33</f>
        <v>0</v>
      </c>
      <c r="AA47" s="219">
        <v>0</v>
      </c>
      <c r="AB47" s="19">
        <f>+'P01 2022'!CC34</f>
        <v>0</v>
      </c>
      <c r="AC47" s="19">
        <v>0</v>
      </c>
      <c r="AD47" s="19">
        <v>0</v>
      </c>
      <c r="AE47" s="1345">
        <v>0</v>
      </c>
      <c r="AF47" s="188"/>
      <c r="AG47" s="19">
        <v>0</v>
      </c>
      <c r="AH47" s="1187">
        <v>0</v>
      </c>
      <c r="AI47" s="71"/>
      <c r="AJ47" s="1421"/>
      <c r="AK47" s="1421"/>
      <c r="AL47" s="1421"/>
      <c r="AM47" s="1421"/>
      <c r="AN47" s="71"/>
      <c r="AO47" s="1498"/>
      <c r="AP47" s="1498"/>
      <c r="AQ47" s="1498"/>
      <c r="AR47" s="1498"/>
      <c r="AS47" s="1480"/>
      <c r="AT47" s="417"/>
      <c r="AU47" s="803"/>
      <c r="AV47" s="803"/>
      <c r="AW47" s="803"/>
      <c r="AX47" s="803"/>
    </row>
    <row r="48" spans="1:50" ht="15" customHeight="1" x14ac:dyDescent="0.25">
      <c r="A48" s="1508" t="s">
        <v>572</v>
      </c>
      <c r="B48" s="861"/>
      <c r="C48" s="185"/>
      <c r="D48" s="18"/>
      <c r="E48" s="18">
        <v>7</v>
      </c>
      <c r="F48" s="18" t="str">
        <f t="shared" si="22"/>
        <v>21.02.001.007</v>
      </c>
      <c r="G48" s="1532" t="s">
        <v>100</v>
      </c>
      <c r="H48" s="1295">
        <f>+'P01 2023'!F40</f>
        <v>144924.04</v>
      </c>
      <c r="I48" s="99">
        <f>+'P01 2023'!BB40</f>
        <v>144924.04</v>
      </c>
      <c r="J48" s="19">
        <f ca="1">SUMIF(S$3:$AH39,"ok",S48:AH48)</f>
        <v>43345.576000000001</v>
      </c>
      <c r="K48" s="740">
        <f t="shared" ca="1" si="5"/>
        <v>0.29909168968792205</v>
      </c>
      <c r="L48" s="99">
        <f>+'P01 2023'!BC40</f>
        <v>43345.576000000001</v>
      </c>
      <c r="M48" s="740">
        <f t="shared" si="23"/>
        <v>0.29909168968792205</v>
      </c>
      <c r="N48" s="99">
        <f>+'P01 2023'!BE40</f>
        <v>101578.46400000001</v>
      </c>
      <c r="O48" s="631">
        <f t="shared" si="24"/>
        <v>0.70090831031207801</v>
      </c>
      <c r="P48" s="1519">
        <f>+'P01 2022'!AZ37</f>
        <v>133745.91164800001</v>
      </c>
      <c r="Q48" s="1121">
        <f ca="1">SUMIF(S$3:$AH40,"SI",S48:AH48)</f>
        <v>30892.934700999998</v>
      </c>
      <c r="R48" s="1308">
        <f t="shared" ref="R48:R76" ca="1" si="25">IFERROR(Q48/P48,"0%")</f>
        <v>0.23098227318010106</v>
      </c>
      <c r="S48" s="1320">
        <f>+'P01 2023'!I40</f>
        <v>10836.394</v>
      </c>
      <c r="T48" s="1186">
        <f>+'P01 2022'!F37</f>
        <v>7672.3226189999996</v>
      </c>
      <c r="U48" s="1295">
        <f>+'P01 2023'!N29</f>
        <v>10836.394</v>
      </c>
      <c r="V48" s="1345">
        <f>+'P01 2022'!M28</f>
        <v>7672.3226189999996</v>
      </c>
      <c r="W48" s="578">
        <f>+'P01 2023'!AD35</f>
        <v>10836.394</v>
      </c>
      <c r="X48" s="1345">
        <f>+'P01 2022'!AB34</f>
        <v>7790.1179009999996</v>
      </c>
      <c r="Y48" s="1295">
        <f>+'P01 2023'!AT34</f>
        <v>10836.394</v>
      </c>
      <c r="Z48" s="1186">
        <f>+'P01 2022'!AQ34</f>
        <v>7758.1715619999995</v>
      </c>
      <c r="AA48" s="219">
        <f>+'P01 2022'!BI27</f>
        <v>8363.1090000000004</v>
      </c>
      <c r="AB48" s="19">
        <f>+'P01 2022'!CC35</f>
        <v>9232.6710000000003</v>
      </c>
      <c r="AC48" s="667">
        <f>+'P01 2022'!CY33</f>
        <v>9022.2579999999998</v>
      </c>
      <c r="AD48" s="19">
        <f>+'P01 2022'!DR27</f>
        <v>9208.6550000000007</v>
      </c>
      <c r="AE48" s="1345">
        <f>+'P01 2022'!EJ32</f>
        <v>9333.3950000000004</v>
      </c>
      <c r="AF48" s="333">
        <f>+'P01 2022'!FC32</f>
        <v>10001.338</v>
      </c>
      <c r="AG48" s="19">
        <f>+'P01 2022'!GA33</f>
        <v>9391.0049999999992</v>
      </c>
      <c r="AH48" s="1186">
        <f>+'P01 2022'!GX36</f>
        <v>10059.638999999999</v>
      </c>
      <c r="AI48" s="71"/>
      <c r="AJ48" s="1421"/>
      <c r="AK48" s="1421"/>
      <c r="AL48" s="1421"/>
      <c r="AM48" s="1421"/>
      <c r="AN48" s="71"/>
      <c r="AO48" s="1498"/>
      <c r="AP48" s="1498"/>
      <c r="AQ48" s="1498"/>
      <c r="AR48" s="1498"/>
      <c r="AS48" s="1480"/>
      <c r="AT48" s="417"/>
      <c r="AU48" s="803"/>
      <c r="AV48" s="803"/>
      <c r="AW48" s="803"/>
      <c r="AX48" s="803"/>
    </row>
    <row r="49" spans="1:50" ht="15" customHeight="1" x14ac:dyDescent="0.25">
      <c r="A49" s="1508" t="s">
        <v>573</v>
      </c>
      <c r="B49" s="861"/>
      <c r="C49" s="185"/>
      <c r="D49" s="18"/>
      <c r="E49" s="18">
        <v>13</v>
      </c>
      <c r="F49" s="18" t="str">
        <f>+CONCATENATE($B$10,"",$C$41,"",$D$42,"0",E49)</f>
        <v>21.02.001.013</v>
      </c>
      <c r="G49" s="1532" t="s">
        <v>24</v>
      </c>
      <c r="H49" s="1295">
        <f>+'P01 2023'!F41</f>
        <v>2269566.5950000002</v>
      </c>
      <c r="I49" s="99">
        <f>+'P01 2023'!BB41</f>
        <v>2269566.5950000002</v>
      </c>
      <c r="J49" s="19">
        <f ca="1">SUMIF(S$3:$AH40,"ok",S49:AH49)</f>
        <v>709983.174</v>
      </c>
      <c r="K49" s="740">
        <f t="shared" ca="1" si="5"/>
        <v>0.31282764540337266</v>
      </c>
      <c r="L49" s="99">
        <f>+'P01 2023'!BC41</f>
        <v>709983.174</v>
      </c>
      <c r="M49" s="740">
        <f t="shared" si="23"/>
        <v>0.31282764540337266</v>
      </c>
      <c r="N49" s="99">
        <f>+'P01 2023'!BE41</f>
        <v>1559583.4210000001</v>
      </c>
      <c r="O49" s="631">
        <f t="shared" si="24"/>
        <v>0.68717235459662729</v>
      </c>
      <c r="P49" s="1519">
        <f>+'P01 2022'!AZ38</f>
        <v>1859589.7685739999</v>
      </c>
      <c r="Q49" s="1121">
        <f ca="1">SUMIF(S$3:$AH41,"SI",S49:AH49)</f>
        <v>635486.91093699995</v>
      </c>
      <c r="R49" s="1308">
        <f t="shared" ca="1" si="25"/>
        <v>0.34173500073853069</v>
      </c>
      <c r="S49" s="1320">
        <f>+'P01 2023'!I41</f>
        <v>157558.65</v>
      </c>
      <c r="T49" s="1186">
        <f>+'P01 2022'!F38</f>
        <v>143850.60787499999</v>
      </c>
      <c r="U49" s="1295">
        <f>+'P01 2023'!N30</f>
        <v>158198.913</v>
      </c>
      <c r="V49" s="1345">
        <f>+'P01 2022'!M29</f>
        <v>143607.59863399999</v>
      </c>
      <c r="W49" s="578">
        <f>+'P01 2023'!AD36</f>
        <v>234434.31700000001</v>
      </c>
      <c r="X49" s="1345">
        <f>+'P01 2022'!AB35</f>
        <v>208962.32789699998</v>
      </c>
      <c r="Y49" s="1295">
        <f>+'P01 2023'!AT35</f>
        <v>159791.29399999999</v>
      </c>
      <c r="Z49" s="1186">
        <f>+'P01 2022'!AQ35</f>
        <v>139066.37653099999</v>
      </c>
      <c r="AA49" s="219">
        <f>+'P01 2022'!BI28</f>
        <v>139935.99299999999</v>
      </c>
      <c r="AB49" s="19">
        <f>+'P01 2022'!CC36</f>
        <v>212418.14300000001</v>
      </c>
      <c r="AC49" s="667">
        <f>+'P01 2022'!CY34</f>
        <v>138236.196</v>
      </c>
      <c r="AD49" s="19">
        <f>+'P01 2022'!DR28</f>
        <v>139517.09899999999</v>
      </c>
      <c r="AE49" s="1345">
        <f>+'P01 2022'!EJ33</f>
        <v>218936.527</v>
      </c>
      <c r="AF49" s="333">
        <f>+'P01 2022'!FC33</f>
        <v>141042.652</v>
      </c>
      <c r="AG49" s="19">
        <f>+'P01 2022'!GA34</f>
        <v>140754.36600000001</v>
      </c>
      <c r="AH49" s="1186">
        <f>+'P01 2022'!GX37</f>
        <v>240157.541</v>
      </c>
      <c r="AI49" s="71"/>
      <c r="AJ49" s="1421"/>
      <c r="AK49" s="1421"/>
      <c r="AL49" s="1421"/>
      <c r="AM49" s="1421"/>
      <c r="AN49" s="71"/>
      <c r="AO49" s="1498"/>
      <c r="AP49" s="1498"/>
      <c r="AQ49" s="1498"/>
      <c r="AR49" s="1498"/>
      <c r="AS49" s="1480"/>
      <c r="AT49" s="417"/>
      <c r="AU49" s="803"/>
      <c r="AV49" s="803"/>
      <c r="AW49" s="803"/>
      <c r="AX49" s="803"/>
    </row>
    <row r="50" spans="1:50" ht="15" customHeight="1" x14ac:dyDescent="0.25">
      <c r="A50" s="1508" t="s">
        <v>574</v>
      </c>
      <c r="B50" s="861"/>
      <c r="C50" s="185"/>
      <c r="D50" s="18"/>
      <c r="E50" s="18">
        <v>14</v>
      </c>
      <c r="F50" s="18" t="str">
        <f>+CONCATENATE($B$10,"",$C$41,"",$D$42,"0",E50)</f>
        <v>21.02.001.014</v>
      </c>
      <c r="G50" s="1532" t="s">
        <v>25</v>
      </c>
      <c r="H50" s="1295">
        <f>+'P01 2023'!F42</f>
        <v>3085589.9109999998</v>
      </c>
      <c r="I50" s="99">
        <f>+'P01 2023'!BB42</f>
        <v>3085589.9109999998</v>
      </c>
      <c r="J50" s="19">
        <f ca="1">SUMIF(S$3:$AH41,"ok",S50:AH50)</f>
        <v>1499157.915</v>
      </c>
      <c r="K50" s="740">
        <f t="shared" ca="1" si="5"/>
        <v>0.48585779648020117</v>
      </c>
      <c r="L50" s="99">
        <f>+'P01 2023'!BC42</f>
        <v>1499157.915</v>
      </c>
      <c r="M50" s="740">
        <f t="shared" si="23"/>
        <v>0.48585779648020117</v>
      </c>
      <c r="N50" s="99">
        <f>+'P01 2023'!BE42</f>
        <v>1586431.996</v>
      </c>
      <c r="O50" s="631">
        <f t="shared" si="24"/>
        <v>0.51414220351979889</v>
      </c>
      <c r="P50" s="1519">
        <f>+'P01 2022'!AZ39</f>
        <v>3801761.2422849997</v>
      </c>
      <c r="Q50" s="1121">
        <f ca="1">SUMIF(S$3:$AH42,"SI",S50:AH50)</f>
        <v>1349132.2543249999</v>
      </c>
      <c r="R50" s="1308">
        <f t="shared" ca="1" si="25"/>
        <v>0.3548703267631087</v>
      </c>
      <c r="S50" s="1320">
        <f>+'P01 2023'!I42</f>
        <v>372446.04100000003</v>
      </c>
      <c r="T50" s="1186">
        <f>+'P01 2022'!F39</f>
        <v>341670.787687</v>
      </c>
      <c r="U50" s="1295">
        <f>+'P01 2023'!N31</f>
        <v>373903.05300000001</v>
      </c>
      <c r="V50" s="1345">
        <f>+'P01 2022'!M30</f>
        <v>340985.469461</v>
      </c>
      <c r="W50" s="578">
        <f>+'P01 2023'!AD37</f>
        <v>374990.85499999998</v>
      </c>
      <c r="X50" s="1345">
        <f>+'P01 2022'!AB36</f>
        <v>337964.23849900003</v>
      </c>
      <c r="Y50" s="1295">
        <f>+'P01 2023'!AT36</f>
        <v>377817.96600000001</v>
      </c>
      <c r="Z50" s="1186">
        <f>+'P01 2022'!AQ36</f>
        <v>328511.75867800001</v>
      </c>
      <c r="AA50" s="219">
        <f>+'P01 2022'!BI29</f>
        <v>332147.16800000001</v>
      </c>
      <c r="AB50" s="19">
        <f>+'P01 2022'!CC37</f>
        <v>342753.58100000001</v>
      </c>
      <c r="AC50" s="667">
        <f>+'P01 2022'!CY35</f>
        <v>327280.58100000001</v>
      </c>
      <c r="AD50" s="19">
        <f>+'P01 2022'!DR29</f>
        <v>330734.14799999999</v>
      </c>
      <c r="AE50" s="1345">
        <f>+'P01 2022'!EJ34</f>
        <v>332358.44199999998</v>
      </c>
      <c r="AF50" s="333">
        <f>+'P01 2022'!FC34</f>
        <v>333046.92599999998</v>
      </c>
      <c r="AG50" s="19">
        <f>+'P01 2022'!GA35</f>
        <v>333065.89199999999</v>
      </c>
      <c r="AH50" s="1186">
        <f>+'P01 2022'!GX38</f>
        <v>366425.88099999999</v>
      </c>
      <c r="AI50" s="71"/>
      <c r="AJ50" s="1421"/>
      <c r="AK50" s="1421"/>
      <c r="AL50" s="1421"/>
      <c r="AM50" s="1421"/>
      <c r="AN50" s="71"/>
      <c r="AO50" s="1498"/>
      <c r="AP50" s="1498"/>
      <c r="AQ50" s="1498"/>
      <c r="AR50" s="1498"/>
      <c r="AS50" s="1480"/>
      <c r="AT50" s="417"/>
      <c r="AU50" s="803"/>
      <c r="AV50" s="803"/>
      <c r="AW50" s="803"/>
      <c r="AX50" s="803"/>
    </row>
    <row r="51" spans="1:50" ht="15" customHeight="1" x14ac:dyDescent="0.25">
      <c r="A51" s="1508" t="s">
        <v>575</v>
      </c>
      <c r="B51" s="861"/>
      <c r="C51" s="185"/>
      <c r="D51" s="18"/>
      <c r="E51" s="18">
        <v>21</v>
      </c>
      <c r="F51" s="18" t="str">
        <f>+CONCATENATE($B$10,"",$C$41,"",$D$42,"0",E51)</f>
        <v>21.02.001.021</v>
      </c>
      <c r="G51" s="1532" t="s">
        <v>26</v>
      </c>
      <c r="H51" s="1295">
        <f>+'P01 2023'!F43</f>
        <v>1431430.2450000001</v>
      </c>
      <c r="I51" s="99">
        <f>+'P01 2023'!BB43</f>
        <v>1431430.2450000001</v>
      </c>
      <c r="J51" s="19">
        <f ca="1">SUMIF(S$3:$AH42,"ok",S51:AH51)</f>
        <v>353260.71600000001</v>
      </c>
      <c r="K51" s="740">
        <f t="shared" ca="1" si="5"/>
        <v>0.24678863481747934</v>
      </c>
      <c r="L51" s="99">
        <f>+'P01 2023'!BC43</f>
        <v>353260.71600000001</v>
      </c>
      <c r="M51" s="740">
        <f t="shared" si="23"/>
        <v>0.24678863481747934</v>
      </c>
      <c r="N51" s="99">
        <f>+'P01 2023'!BE43</f>
        <v>1078169.5290000001</v>
      </c>
      <c r="O51" s="631">
        <f t="shared" si="24"/>
        <v>0.75321136518252063</v>
      </c>
      <c r="P51" s="1519">
        <f>+'P01 2022'!AZ40</f>
        <v>1210960.398672</v>
      </c>
      <c r="Q51" s="1121">
        <f ca="1">SUMIF(S$3:$AH43,"SI",S51:AH51)</f>
        <v>321286.85594800004</v>
      </c>
      <c r="R51" s="1308">
        <f t="shared" ca="1" si="25"/>
        <v>0.26531574137382141</v>
      </c>
      <c r="S51" s="1320">
        <f>+'P01 2023'!I43</f>
        <v>0</v>
      </c>
      <c r="T51" s="1186">
        <f>+'P01 2022'!F40</f>
        <v>97.348476999999988</v>
      </c>
      <c r="U51" s="1295">
        <v>0</v>
      </c>
      <c r="V51" s="1345">
        <v>0</v>
      </c>
      <c r="W51" s="578">
        <f>+'P01 2023'!AD38</f>
        <v>353260.71600000001</v>
      </c>
      <c r="X51" s="1345">
        <f>+'P01 2022'!AB37</f>
        <v>320414.28920900001</v>
      </c>
      <c r="Y51" s="1295">
        <f>+'P01 2023'!AT37</f>
        <v>0</v>
      </c>
      <c r="Z51" s="1186">
        <f>+'P01 2022'!AQ37</f>
        <v>775.21826199999998</v>
      </c>
      <c r="AA51" s="219">
        <f>+'P01 2022'!BI30</f>
        <v>1090.0740000000001</v>
      </c>
      <c r="AB51" s="19">
        <f>+'P01 2022'!CC38</f>
        <v>304938.28899999999</v>
      </c>
      <c r="AC51" s="667">
        <f>+'P01 2022'!CY36</f>
        <v>465.61599999999999</v>
      </c>
      <c r="AD51" s="19">
        <f>+'P01 2022'!DR30</f>
        <v>120.502</v>
      </c>
      <c r="AE51" s="1345">
        <f>+'P01 2022'!EJ35</f>
        <v>309878.45299999998</v>
      </c>
      <c r="AF51" s="333">
        <f>+'P01 2022'!FC35</f>
        <v>132.31299999999999</v>
      </c>
      <c r="AG51" s="19">
        <f>+'P01 2022'!GA36</f>
        <v>0</v>
      </c>
      <c r="AH51" s="1186">
        <f>+'P01 2022'!GX39</f>
        <v>323576.97100000002</v>
      </c>
      <c r="AI51" s="71"/>
      <c r="AJ51" s="1421"/>
      <c r="AK51" s="1421"/>
      <c r="AL51" s="1421"/>
      <c r="AM51" s="1421"/>
      <c r="AN51" s="71"/>
      <c r="AO51" s="1498"/>
      <c r="AP51" s="1498"/>
      <c r="AQ51" s="1498"/>
      <c r="AR51" s="1498"/>
      <c r="AS51" s="1480"/>
      <c r="AT51" s="417"/>
      <c r="AU51" s="803"/>
      <c r="AV51" s="803"/>
      <c r="AW51" s="803"/>
      <c r="AX51" s="803"/>
    </row>
    <row r="52" spans="1:50" ht="15" customHeight="1" x14ac:dyDescent="0.25">
      <c r="A52" s="1508" t="s">
        <v>576</v>
      </c>
      <c r="B52" s="861"/>
      <c r="C52" s="185"/>
      <c r="D52" s="18"/>
      <c r="E52" s="18">
        <v>37</v>
      </c>
      <c r="F52" s="18" t="str">
        <f>+CONCATENATE($B$10,"",$C$41,"",$D$42,"0",E52)</f>
        <v>21.02.001.037</v>
      </c>
      <c r="G52" s="1532" t="s">
        <v>40</v>
      </c>
      <c r="H52" s="1295">
        <f>+'P01 2023'!F44</f>
        <v>50666.758999999998</v>
      </c>
      <c r="I52" s="99">
        <f>+'P01 2023'!BB44</f>
        <v>50666.758999999998</v>
      </c>
      <c r="J52" s="19">
        <f ca="1">SUMIF(S$3:$AH43,"ok",S52:AH52)</f>
        <v>12566.007</v>
      </c>
      <c r="K52" s="740">
        <f t="shared" ca="1" si="5"/>
        <v>0.2480128440818565</v>
      </c>
      <c r="L52" s="99">
        <f>+'P01 2023'!BC44</f>
        <v>12566.007</v>
      </c>
      <c r="M52" s="740">
        <f t="shared" si="23"/>
        <v>0.2480128440818565</v>
      </c>
      <c r="N52" s="99">
        <f>+'P01 2023'!BE44</f>
        <v>38100.752</v>
      </c>
      <c r="O52" s="631">
        <f t="shared" si="24"/>
        <v>0.75198715591814358</v>
      </c>
      <c r="P52" s="1519">
        <f>+'P01 2022'!AZ41</f>
        <v>41342.037613</v>
      </c>
      <c r="Q52" s="1121">
        <f ca="1">SUMIF(S$3:$AH44,"SI",S52:AH52)</f>
        <v>11621.548328999999</v>
      </c>
      <c r="R52" s="1308">
        <f t="shared" ca="1" si="25"/>
        <v>0.28110729417327035</v>
      </c>
      <c r="S52" s="1320">
        <f>+'P01 2023'!I44</f>
        <v>0</v>
      </c>
      <c r="T52" s="1186">
        <f>+'P01 2022'!F41</f>
        <v>0</v>
      </c>
      <c r="U52" s="1295">
        <v>0</v>
      </c>
      <c r="V52" s="1345">
        <v>0</v>
      </c>
      <c r="W52" s="578">
        <f>+'P01 2023'!AD39</f>
        <v>12566.007</v>
      </c>
      <c r="X52" s="1345">
        <f>+'P01 2022'!AB38</f>
        <v>11621.548328999999</v>
      </c>
      <c r="Y52" s="1295">
        <f>+'P01 2023'!AT38</f>
        <v>0</v>
      </c>
      <c r="Z52" s="1186">
        <f>+'P01 2022'!AQ38</f>
        <v>0</v>
      </c>
      <c r="AA52" s="219">
        <v>0</v>
      </c>
      <c r="AB52" s="19">
        <f>+'P01 2022'!CC39</f>
        <v>10443.746999999999</v>
      </c>
      <c r="AC52" s="667">
        <f>+'P01 2022'!CY37</f>
        <v>70.745000000000005</v>
      </c>
      <c r="AD52" s="19">
        <v>0</v>
      </c>
      <c r="AE52" s="1345">
        <f>+'P01 2022'!EJ36</f>
        <v>11290.391</v>
      </c>
      <c r="AF52" s="333">
        <f>+'P01 2022'!FC36</f>
        <v>0</v>
      </c>
      <c r="AG52" s="19">
        <f>+'P01 2022'!GA37</f>
        <v>0</v>
      </c>
      <c r="AH52" s="1186">
        <f>+'P01 2022'!GX40</f>
        <v>11249.308000000001</v>
      </c>
      <c r="AI52" s="71"/>
      <c r="AJ52" s="1421"/>
      <c r="AK52" s="1421"/>
      <c r="AL52" s="1421"/>
      <c r="AM52" s="1421"/>
      <c r="AN52" s="71"/>
      <c r="AO52" s="1498"/>
      <c r="AP52" s="1498"/>
      <c r="AQ52" s="1498"/>
      <c r="AR52" s="1498"/>
      <c r="AS52" s="1480"/>
      <c r="AT52" s="417"/>
      <c r="AU52" s="803"/>
      <c r="AV52" s="803"/>
      <c r="AW52" s="803"/>
      <c r="AX52" s="803"/>
    </row>
    <row r="53" spans="1:50" ht="15" customHeight="1" x14ac:dyDescent="0.25">
      <c r="A53" s="1508" t="s">
        <v>577</v>
      </c>
      <c r="B53" s="861"/>
      <c r="C53" s="185"/>
      <c r="D53" s="18"/>
      <c r="E53" s="18">
        <v>38</v>
      </c>
      <c r="F53" s="18" t="str">
        <f>+CONCATENATE($B$10,"",$C$41,"",$D$42,"0",E53)</f>
        <v>21.02.001.038</v>
      </c>
      <c r="G53" s="1532" t="s">
        <v>101</v>
      </c>
      <c r="H53" s="1295">
        <f>+'P01 2023'!F45</f>
        <v>55235.101999999999</v>
      </c>
      <c r="I53" s="99">
        <f>+'P01 2023'!BB45</f>
        <v>55235.101999999999</v>
      </c>
      <c r="J53" s="19">
        <f ca="1">SUMIF(S$3:$AH44,"ok",S53:AH53)</f>
        <v>0</v>
      </c>
      <c r="K53" s="740">
        <f t="shared" ca="1" si="5"/>
        <v>0</v>
      </c>
      <c r="L53" s="99">
        <f>+'P01 2023'!BC45</f>
        <v>0</v>
      </c>
      <c r="M53" s="740">
        <f t="shared" si="23"/>
        <v>0</v>
      </c>
      <c r="N53" s="99">
        <f>+'P01 2023'!BE45</f>
        <v>55235.101999999999</v>
      </c>
      <c r="O53" s="631">
        <f t="shared" si="24"/>
        <v>1</v>
      </c>
      <c r="P53" s="1519">
        <f>+'P01 2022'!AZ42</f>
        <v>90305.766091999991</v>
      </c>
      <c r="Q53" s="1121">
        <f ca="1">SUMIF(S$3:$AH45,"SI",S53:AH53)</f>
        <v>15258.531608000001</v>
      </c>
      <c r="R53" s="1308">
        <f t="shared" ca="1" si="25"/>
        <v>0.16896519755399897</v>
      </c>
      <c r="S53" s="1320">
        <f>+'P01 2023'!I45</f>
        <v>0</v>
      </c>
      <c r="T53" s="1186">
        <f>+'P01 2022'!F42</f>
        <v>7477.8839740000003</v>
      </c>
      <c r="U53" s="1295">
        <v>0</v>
      </c>
      <c r="V53" s="1345">
        <f>+'P01 2022'!M32</f>
        <v>7477.8839740000003</v>
      </c>
      <c r="W53" s="578">
        <v>0</v>
      </c>
      <c r="X53" s="1345">
        <f>+'P01 2022'!AB39</f>
        <v>302.76365999999996</v>
      </c>
      <c r="Y53" s="1295">
        <v>0</v>
      </c>
      <c r="Z53" s="1186">
        <f>+'P01 2022'!AQ39</f>
        <v>0</v>
      </c>
      <c r="AA53" s="219">
        <v>0</v>
      </c>
      <c r="AB53" s="19">
        <f>+'P01 2022'!CC40</f>
        <v>0</v>
      </c>
      <c r="AC53" s="667">
        <f>+'P01 2022'!CY38</f>
        <v>132.916</v>
      </c>
      <c r="AD53" s="19">
        <v>0</v>
      </c>
      <c r="AE53" s="1345">
        <f>+'P01 2022'!EJ37</f>
        <v>0</v>
      </c>
      <c r="AF53" s="188"/>
      <c r="AG53" s="19">
        <v>0</v>
      </c>
      <c r="AH53" s="1188">
        <v>0</v>
      </c>
      <c r="AI53" s="71"/>
      <c r="AJ53" s="1421"/>
      <c r="AK53" s="1421"/>
      <c r="AL53" s="1421"/>
      <c r="AM53" s="1421"/>
      <c r="AN53" s="71"/>
      <c r="AO53" s="1498"/>
      <c r="AP53" s="1498"/>
      <c r="AQ53" s="1498"/>
      <c r="AR53" s="1498"/>
      <c r="AS53" s="1480"/>
      <c r="AT53" s="417"/>
      <c r="AU53" s="803"/>
      <c r="AV53" s="803"/>
      <c r="AW53" s="803"/>
      <c r="AX53" s="803"/>
    </row>
    <row r="54" spans="1:50" ht="15" customHeight="1" x14ac:dyDescent="0.25">
      <c r="A54" s="1508" t="s">
        <v>992</v>
      </c>
      <c r="B54" s="861"/>
      <c r="C54" s="185"/>
      <c r="D54" s="18"/>
      <c r="E54" s="18"/>
      <c r="F54" s="18" t="s">
        <v>1001</v>
      </c>
      <c r="G54" s="1532" t="s">
        <v>998</v>
      </c>
      <c r="H54" s="1295">
        <f>+'P01 2023'!F46</f>
        <v>12936</v>
      </c>
      <c r="I54" s="99">
        <f>+'P01 2023'!BB46</f>
        <v>156780.79999999999</v>
      </c>
      <c r="J54" s="19">
        <f ca="1">SUMIF(S$3:$AH45,"ok",S54:AH54)</f>
        <v>52448</v>
      </c>
      <c r="K54" s="740">
        <f t="shared" ref="K54" ca="1" si="26">IFERROR(J54/I54,"0.00"%)</f>
        <v>0.33453075886843292</v>
      </c>
      <c r="L54" s="99">
        <f>+'P01 2023'!BC46</f>
        <v>52448</v>
      </c>
      <c r="M54" s="740">
        <f t="shared" ref="M54" si="27">+IFERROR(L54/I54,0)</f>
        <v>0.33453075886843292</v>
      </c>
      <c r="N54" s="99">
        <f>+'P01 2023'!BE46</f>
        <v>104332.8</v>
      </c>
      <c r="O54" s="631">
        <f t="shared" ref="O54" si="28">+IFERROR(N54/I54,0)</f>
        <v>0.66546924113156725</v>
      </c>
      <c r="P54" s="1519">
        <v>0</v>
      </c>
      <c r="Q54" s="1121">
        <f ca="1">SUMIF(S$3:$AH46,"SI",S54:AH54)</f>
        <v>0</v>
      </c>
      <c r="R54" s="1308" t="str">
        <f ca="1">IFERROR(Q54/P54,"0,00%")</f>
        <v>0,00%</v>
      </c>
      <c r="S54" s="1320">
        <f>+'P01 2023'!I46</f>
        <v>12936</v>
      </c>
      <c r="T54" s="1186">
        <v>0</v>
      </c>
      <c r="U54" s="1295">
        <f>+'P01 2023'!N32</f>
        <v>13076.8</v>
      </c>
      <c r="V54" s="1345">
        <v>0</v>
      </c>
      <c r="W54" s="578">
        <f>+'P01 2023'!AD40</f>
        <v>13235.2</v>
      </c>
      <c r="X54" s="1345">
        <v>0</v>
      </c>
      <c r="Y54" s="1295">
        <f>+'P01 2023'!AT39</f>
        <v>13200</v>
      </c>
      <c r="Z54" s="1186">
        <v>0</v>
      </c>
      <c r="AA54" s="219"/>
      <c r="AB54" s="19"/>
      <c r="AC54" s="667"/>
      <c r="AD54" s="19"/>
      <c r="AE54" s="1345"/>
      <c r="AF54" s="188"/>
      <c r="AG54" s="19"/>
      <c r="AH54" s="1188"/>
      <c r="AI54" s="71"/>
      <c r="AJ54" s="1421"/>
      <c r="AK54" s="1421"/>
      <c r="AL54" s="1421"/>
      <c r="AM54" s="1421"/>
      <c r="AN54" s="71"/>
      <c r="AO54" s="1498"/>
      <c r="AP54" s="1498"/>
      <c r="AQ54" s="1498"/>
      <c r="AR54" s="1498"/>
      <c r="AS54" s="1480"/>
      <c r="AT54" s="417"/>
      <c r="AU54" s="803"/>
      <c r="AV54" s="803"/>
      <c r="AW54" s="803"/>
      <c r="AX54" s="803"/>
    </row>
    <row r="55" spans="1:50" ht="15" customHeight="1" x14ac:dyDescent="0.25">
      <c r="A55" s="1508" t="s">
        <v>925</v>
      </c>
      <c r="B55" s="861"/>
      <c r="C55" s="185"/>
      <c r="D55" s="18"/>
      <c r="E55" s="18">
        <v>999</v>
      </c>
      <c r="F55" s="18" t="str">
        <f>+CONCATENATE($B$10,"",$C$41,"",$D$42,"0",E55)</f>
        <v>21.02.001.0999</v>
      </c>
      <c r="G55" s="1532" t="s">
        <v>930</v>
      </c>
      <c r="H55" s="1295">
        <f>+'P01 2023'!F47</f>
        <v>0</v>
      </c>
      <c r="I55" s="99">
        <f>+'P01 2023'!BB47</f>
        <v>0</v>
      </c>
      <c r="J55" s="19">
        <f ca="1">SUMIF(S$3:$AH46,"ok",S55:AH55)</f>
        <v>0</v>
      </c>
      <c r="K55" s="740">
        <f ca="1">IFERROR(J55/I55,"0,00"%)</f>
        <v>0</v>
      </c>
      <c r="L55" s="99">
        <f>+'P01 2023'!BC47</f>
        <v>0</v>
      </c>
      <c r="M55" s="740">
        <f t="shared" ref="M55:M61" si="29">+IFERROR(L55/I55,0)</f>
        <v>0</v>
      </c>
      <c r="N55" s="99">
        <f>+'P01 2023'!BE47</f>
        <v>0</v>
      </c>
      <c r="O55" s="631">
        <f t="shared" ref="O55:O61" si="30">+IFERROR(N55/I55,0)</f>
        <v>0</v>
      </c>
      <c r="P55" s="1519">
        <v>0</v>
      </c>
      <c r="Q55" s="1121">
        <f ca="1">SUMIF(S$3:$AH47,"SI",S55:AH55)</f>
        <v>0</v>
      </c>
      <c r="R55" s="1308" t="str">
        <f ca="1">IFERROR(Q55/P55,"0,00%")</f>
        <v>0,00%</v>
      </c>
      <c r="S55" s="1320">
        <f>+'P01 2023'!I47</f>
        <v>0</v>
      </c>
      <c r="T55" s="1186">
        <v>0</v>
      </c>
      <c r="U55" s="1295">
        <v>0</v>
      </c>
      <c r="V55" s="1345">
        <v>0</v>
      </c>
      <c r="W55" s="578">
        <v>0</v>
      </c>
      <c r="X55" s="1345">
        <v>0</v>
      </c>
      <c r="Y55" s="1295">
        <v>0</v>
      </c>
      <c r="Z55" s="1186">
        <v>0</v>
      </c>
      <c r="AA55" s="219">
        <v>0</v>
      </c>
      <c r="AB55" s="19">
        <v>0</v>
      </c>
      <c r="AC55" s="19">
        <v>0</v>
      </c>
      <c r="AD55" s="19">
        <v>0</v>
      </c>
      <c r="AE55" s="1345">
        <v>0</v>
      </c>
      <c r="AF55" s="19">
        <v>0</v>
      </c>
      <c r="AG55" s="19">
        <v>0</v>
      </c>
      <c r="AH55" s="1186">
        <f>+'P01 2022'!GX41</f>
        <v>12672</v>
      </c>
      <c r="AI55" s="71"/>
      <c r="AJ55" s="1421"/>
      <c r="AK55" s="1421"/>
      <c r="AL55" s="1421"/>
      <c r="AM55" s="1421"/>
      <c r="AN55" s="71"/>
      <c r="AO55" s="1498"/>
      <c r="AP55" s="1498"/>
      <c r="AQ55" s="1498"/>
      <c r="AR55" s="1498"/>
      <c r="AS55" s="1480"/>
      <c r="AT55" s="417"/>
      <c r="AU55" s="803"/>
      <c r="AV55" s="803"/>
      <c r="AW55" s="803"/>
      <c r="AX55" s="803"/>
    </row>
    <row r="56" spans="1:50" s="184" customFormat="1" ht="15" customHeight="1" x14ac:dyDescent="0.25">
      <c r="A56" s="1508" t="s">
        <v>369</v>
      </c>
      <c r="B56" s="862"/>
      <c r="C56" s="187"/>
      <c r="D56" s="139" t="s">
        <v>158</v>
      </c>
      <c r="E56" s="139"/>
      <c r="F56" s="139"/>
      <c r="G56" s="1533" t="s">
        <v>28</v>
      </c>
      <c r="H56" s="1293">
        <f>+'P01 2023'!F48</f>
        <v>584702.25399999996</v>
      </c>
      <c r="I56" s="129">
        <f>+'P01 2023'!BB48</f>
        <v>584702.25399999996</v>
      </c>
      <c r="J56" s="129">
        <f ca="1">SUMIF(S$3:$AH47,"ok",S56:AH56)</f>
        <v>172885.60399999999</v>
      </c>
      <c r="K56" s="844">
        <f t="shared" ref="K56:K61" ca="1" si="31">IFERROR(J56/I56,"0.00"%)</f>
        <v>0.29568143925780044</v>
      </c>
      <c r="L56" s="129">
        <f>+'P01 2023'!BC48</f>
        <v>172885.60399999999</v>
      </c>
      <c r="M56" s="844">
        <f t="shared" si="29"/>
        <v>0.29568143925780044</v>
      </c>
      <c r="N56" s="129">
        <f>+'P01 2023'!BE48</f>
        <v>411816.65</v>
      </c>
      <c r="O56" s="1294">
        <f t="shared" si="30"/>
        <v>0.70431856074219967</v>
      </c>
      <c r="P56" s="1207">
        <f>+'P01 2022'!AZ43</f>
        <v>517280.61360899999</v>
      </c>
      <c r="Q56" s="129">
        <f ca="1">SUMIF(S$3:$AH48,"SI",S56:AH56)</f>
        <v>165164.76772499998</v>
      </c>
      <c r="R56" s="1306">
        <f t="shared" ref="R56:R61" ca="1" si="32">IFERROR(Q56/P56,"0%")</f>
        <v>0.31929433150928804</v>
      </c>
      <c r="S56" s="1293">
        <f>+'P01 2023'!I48</f>
        <v>36536.023000000001</v>
      </c>
      <c r="T56" s="1213">
        <f t="shared" ref="T56:AE56" si="33">SUM(T57:T58)</f>
        <v>35160.051624</v>
      </c>
      <c r="U56" s="1325">
        <f>+'P01 2023'!N33</f>
        <v>40059.061000000002</v>
      </c>
      <c r="V56" s="1348">
        <f t="shared" si="33"/>
        <v>38758.772217999998</v>
      </c>
      <c r="W56" s="1397">
        <f>SUM(W57:W58)</f>
        <v>58556.413</v>
      </c>
      <c r="X56" s="1348">
        <f t="shared" si="33"/>
        <v>56818.155753999992</v>
      </c>
      <c r="Y56" s="1489">
        <f>SUM(Y57:Y58)</f>
        <v>37734.107000000004</v>
      </c>
      <c r="Z56" s="1211">
        <f>SUM(Z57:Z58)</f>
        <v>34427.788129</v>
      </c>
      <c r="AA56" s="1203">
        <f t="shared" si="33"/>
        <v>38126.443999999996</v>
      </c>
      <c r="AB56" s="190">
        <f t="shared" si="33"/>
        <v>54053.942000000003</v>
      </c>
      <c r="AC56" s="190">
        <f t="shared" si="33"/>
        <v>37651.098999999995</v>
      </c>
      <c r="AD56" s="190">
        <f t="shared" si="33"/>
        <v>38000.626000000004</v>
      </c>
      <c r="AE56" s="1348">
        <f t="shared" si="33"/>
        <v>51078.911999999997</v>
      </c>
      <c r="AF56" s="190">
        <f>SUM(AF57:AF58)</f>
        <v>32707.144</v>
      </c>
      <c r="AG56" s="189">
        <f>+'P01 2022'!GA38</f>
        <v>42778.239000000001</v>
      </c>
      <c r="AH56" s="1185">
        <f>+'P01 2022'!GX42</f>
        <v>57546.283000000003</v>
      </c>
      <c r="AI56" s="71"/>
      <c r="AJ56" s="1421"/>
      <c r="AK56" s="1421"/>
      <c r="AL56" s="1421"/>
      <c r="AM56" s="1421"/>
      <c r="AN56" s="71"/>
      <c r="AO56" s="1498"/>
      <c r="AP56" s="1498"/>
      <c r="AQ56" s="1498"/>
      <c r="AR56" s="1498"/>
      <c r="AS56" s="1480"/>
      <c r="AT56" s="417"/>
      <c r="AU56" s="803"/>
      <c r="AV56" s="803"/>
      <c r="AW56" s="803"/>
      <c r="AX56" s="803"/>
    </row>
    <row r="57" spans="1:50" ht="15" customHeight="1" x14ac:dyDescent="0.25">
      <c r="A57" s="1508" t="s">
        <v>578</v>
      </c>
      <c r="B57" s="861"/>
      <c r="C57" s="185"/>
      <c r="D57" s="18"/>
      <c r="E57" s="18">
        <v>1</v>
      </c>
      <c r="F57" s="18" t="str">
        <f>+CONCATENATE($B$10,"",$C$41,"",$D$56,"00",E57)</f>
        <v>21.02.002.001</v>
      </c>
      <c r="G57" s="1532" t="s">
        <v>29</v>
      </c>
      <c r="H57" s="1295">
        <f>+'P01 2023'!F49</f>
        <v>45733.139000000003</v>
      </c>
      <c r="I57" s="99">
        <f>+'P01 2023'!BB49</f>
        <v>45733.139000000003</v>
      </c>
      <c r="J57" s="19">
        <f ca="1">SUMIF(S$3:$AH48,"ok",S57:AH57)</f>
        <v>10024.950000000001</v>
      </c>
      <c r="K57" s="740">
        <f t="shared" ca="1" si="31"/>
        <v>0.21920537752722374</v>
      </c>
      <c r="L57" s="99">
        <f>+'P01 2023'!BC49</f>
        <v>10024.950000000001</v>
      </c>
      <c r="M57" s="740">
        <f t="shared" si="29"/>
        <v>0.21920537752722374</v>
      </c>
      <c r="N57" s="99">
        <f>+'P01 2023'!BE49</f>
        <v>35708.188999999998</v>
      </c>
      <c r="O57" s="631">
        <f t="shared" si="30"/>
        <v>0.7807946224727762</v>
      </c>
      <c r="P57" s="1519">
        <f>+'P01 2022'!AZ44</f>
        <v>42205.698537999997</v>
      </c>
      <c r="Q57" s="1121">
        <f ca="1">SUMIF(S$3:$AH49,"SI",S57:AH57)</f>
        <v>10884.39716</v>
      </c>
      <c r="R57" s="1308">
        <f t="shared" ca="1" si="32"/>
        <v>0.25788927886598556</v>
      </c>
      <c r="S57" s="1320">
        <f>+'P01 2023'!I49</f>
        <v>0</v>
      </c>
      <c r="T57" s="1186">
        <v>0</v>
      </c>
      <c r="U57" s="1295">
        <f>+'P01 2023'!N34</f>
        <v>3291.21</v>
      </c>
      <c r="V57" s="1345">
        <f>+'P01 2022'!M34</f>
        <v>3565.5783799999999</v>
      </c>
      <c r="W57" s="578">
        <f>+'P01 2023'!AD42</f>
        <v>6733.74</v>
      </c>
      <c r="X57" s="1345">
        <f>+'P01 2022'!AB41</f>
        <v>7318.8187799999996</v>
      </c>
      <c r="Y57" s="1295">
        <v>0</v>
      </c>
      <c r="Z57" s="1186">
        <f>+'P01 2022'!AQ41</f>
        <v>0</v>
      </c>
      <c r="AA57" s="219">
        <f>+'P01 2022'!BI32</f>
        <v>3404.7</v>
      </c>
      <c r="AB57" s="19">
        <f>+'P01 2022'!CC42</f>
        <v>3354.26</v>
      </c>
      <c r="AC57" s="19">
        <f>+'P01 2022'!CY40</f>
        <v>3404.7</v>
      </c>
      <c r="AD57" s="19">
        <f>+'P01 2022'!DR34</f>
        <v>3379.48</v>
      </c>
      <c r="AE57" s="1345">
        <v>0</v>
      </c>
      <c r="AF57" s="188">
        <v>0</v>
      </c>
      <c r="AG57" s="19">
        <f>+'P01 2022'!GA39</f>
        <v>10125.83</v>
      </c>
      <c r="AH57" s="1186">
        <f>+'P01 2022'!GX43</f>
        <v>6746.35</v>
      </c>
      <c r="AI57" s="71"/>
      <c r="AJ57" s="1421"/>
      <c r="AK57" s="1421"/>
      <c r="AL57" s="1421"/>
      <c r="AM57" s="1421"/>
      <c r="AN57" s="71"/>
      <c r="AO57" s="1498"/>
      <c r="AP57" s="1498"/>
      <c r="AQ57" s="1498"/>
      <c r="AR57" s="1498"/>
      <c r="AS57" s="1480"/>
      <c r="AT57" s="417"/>
      <c r="AU57" s="803"/>
      <c r="AV57" s="803"/>
      <c r="AW57" s="803"/>
      <c r="AX57" s="803"/>
    </row>
    <row r="58" spans="1:50" ht="15" customHeight="1" x14ac:dyDescent="0.25">
      <c r="A58" s="1508" t="s">
        <v>579</v>
      </c>
      <c r="B58" s="861"/>
      <c r="C58" s="185"/>
      <c r="D58" s="18"/>
      <c r="E58" s="18">
        <v>2</v>
      </c>
      <c r="F58" s="18" t="str">
        <f>+CONCATENATE($B$10,"",$C$41,"",$D$56,"00",E58)</f>
        <v>21.02.002.002</v>
      </c>
      <c r="G58" s="1532" t="s">
        <v>30</v>
      </c>
      <c r="H58" s="1295">
        <f>+'P01 2023'!F50</f>
        <v>538969.11499999999</v>
      </c>
      <c r="I58" s="99">
        <f>+'P01 2023'!BB50</f>
        <v>538969.11499999999</v>
      </c>
      <c r="J58" s="19">
        <f ca="1">SUMIF(S$3:$AH49,"ok",S58:AH58)</f>
        <v>162860.65400000004</v>
      </c>
      <c r="K58" s="740">
        <f t="shared" ca="1" si="31"/>
        <v>0.30217066148586275</v>
      </c>
      <c r="L58" s="99">
        <f>+'P01 2023'!BC50</f>
        <v>162860.65400000001</v>
      </c>
      <c r="M58" s="740">
        <f t="shared" si="29"/>
        <v>0.30217066148586269</v>
      </c>
      <c r="N58" s="99">
        <f>+'P01 2023'!BE50</f>
        <v>376108.46100000001</v>
      </c>
      <c r="O58" s="631">
        <f t="shared" si="30"/>
        <v>0.69782933851413731</v>
      </c>
      <c r="P58" s="1519">
        <f>+'P01 2022'!AZ45</f>
        <v>475074.915071</v>
      </c>
      <c r="Q58" s="1121">
        <f ca="1">SUMIF(S$3:$AH50,"SI",S58:AH58)</f>
        <v>154280.37056499999</v>
      </c>
      <c r="R58" s="1308">
        <f t="shared" ca="1" si="32"/>
        <v>0.32474956195475563</v>
      </c>
      <c r="S58" s="1320">
        <f>+'P01 2023'!I50</f>
        <v>36536.023000000001</v>
      </c>
      <c r="T58" s="1186">
        <f>+'P01 2022'!F45</f>
        <v>35160.051624</v>
      </c>
      <c r="U58" s="1295">
        <f>+'P01 2023'!N35</f>
        <v>36767.851000000002</v>
      </c>
      <c r="V58" s="1345">
        <f>+'P01 2022'!M35</f>
        <v>35193.193837999999</v>
      </c>
      <c r="W58" s="578">
        <f>+'P01 2023'!AD43</f>
        <v>51822.673000000003</v>
      </c>
      <c r="X58" s="1345">
        <f>+'P01 2022'!AB42</f>
        <v>49499.336973999991</v>
      </c>
      <c r="Y58" s="1295">
        <f>+'P01 2023'!AT41</f>
        <v>37734.107000000004</v>
      </c>
      <c r="Z58" s="1186">
        <f>+'P01 2022'!AQ42</f>
        <v>34427.788129</v>
      </c>
      <c r="AA58" s="219">
        <f>+'P01 2022'!BI33</f>
        <v>34721.743999999999</v>
      </c>
      <c r="AB58" s="19">
        <f>+'P01 2022'!CC43</f>
        <v>50699.682000000001</v>
      </c>
      <c r="AC58" s="19">
        <f>+'P01 2022'!CY41</f>
        <v>34246.398999999998</v>
      </c>
      <c r="AD58" s="19">
        <f>+'P01 2022'!DR35</f>
        <v>34621.146000000001</v>
      </c>
      <c r="AE58" s="1345">
        <f>+'P01 2022'!EJ39</f>
        <v>51078.911999999997</v>
      </c>
      <c r="AF58" s="333">
        <f>+'P01 2022'!FC38</f>
        <v>32707.144</v>
      </c>
      <c r="AG58" s="19">
        <f>+'P01 2022'!GA40</f>
        <v>32652.409</v>
      </c>
      <c r="AH58" s="1186">
        <f>+'P01 2022'!GX44</f>
        <v>50799.932999999997</v>
      </c>
      <c r="AI58" s="71"/>
      <c r="AJ58" s="1421"/>
      <c r="AK58" s="1421"/>
      <c r="AL58" s="1421"/>
      <c r="AM58" s="1421"/>
      <c r="AN58" s="71"/>
      <c r="AO58" s="1498"/>
      <c r="AP58" s="1498"/>
      <c r="AQ58" s="1498"/>
      <c r="AR58" s="1498"/>
      <c r="AS58" s="1480"/>
      <c r="AT58" s="417"/>
      <c r="AU58" s="803"/>
      <c r="AV58" s="803"/>
      <c r="AW58" s="803"/>
      <c r="AX58" s="803"/>
    </row>
    <row r="59" spans="1:50" s="184" customFormat="1" ht="15" customHeight="1" x14ac:dyDescent="0.25">
      <c r="A59" s="1508" t="s">
        <v>580</v>
      </c>
      <c r="B59" s="862"/>
      <c r="C59" s="187"/>
      <c r="D59" s="139" t="s">
        <v>159</v>
      </c>
      <c r="E59" s="139"/>
      <c r="F59" s="139"/>
      <c r="G59" s="1533" t="s">
        <v>31</v>
      </c>
      <c r="H59" s="1293">
        <f>+'P01 2023'!F51</f>
        <v>1366172.385</v>
      </c>
      <c r="I59" s="129">
        <f>+'P01 2023'!BB51</f>
        <v>1366172.385</v>
      </c>
      <c r="J59" s="129">
        <f ca="1">SUMIF(S$3:$AH50,"ok",S59:AH59)</f>
        <v>343288.25199999998</v>
      </c>
      <c r="K59" s="844">
        <f t="shared" ca="1" si="31"/>
        <v>0.25127740523023379</v>
      </c>
      <c r="L59" s="129">
        <f>+'P01 2023'!BC51</f>
        <v>343288.25199999998</v>
      </c>
      <c r="M59" s="844">
        <f t="shared" si="29"/>
        <v>0.25127740523023379</v>
      </c>
      <c r="N59" s="129">
        <f>+'P01 2023'!BE51</f>
        <v>1022884.133</v>
      </c>
      <c r="O59" s="1294">
        <f t="shared" si="30"/>
        <v>0.74872259476976621</v>
      </c>
      <c r="P59" s="1207">
        <f>+'P01 2022'!AZ46</f>
        <v>1202457.9357699999</v>
      </c>
      <c r="Q59" s="129">
        <f ca="1">SUMIF(S$3:$AH51,"SI",S59:AH59)</f>
        <v>317635.30425399996</v>
      </c>
      <c r="R59" s="1306">
        <f t="shared" ca="1" si="32"/>
        <v>0.2641550234774746</v>
      </c>
      <c r="S59" s="1293">
        <f>+'P01 2023'!I51</f>
        <v>0</v>
      </c>
      <c r="T59" s="379">
        <f>+T60</f>
        <v>49.323199999999993</v>
      </c>
      <c r="U59" s="1324">
        <v>0</v>
      </c>
      <c r="V59" s="247">
        <f t="shared" ref="V59:AA59" si="34">SUM(V60:V61)</f>
        <v>0</v>
      </c>
      <c r="W59" s="1397">
        <f>SUM(W60:W62)</f>
        <v>343288.25199999998</v>
      </c>
      <c r="X59" s="247">
        <f t="shared" si="34"/>
        <v>317193.20467999997</v>
      </c>
      <c r="Y59" s="1324">
        <f>SUM(Y60:Y62)</f>
        <v>0</v>
      </c>
      <c r="Z59" s="379">
        <f>SUM(Z60:Z62)</f>
        <v>392.77637399999998</v>
      </c>
      <c r="AA59" s="220">
        <f t="shared" si="34"/>
        <v>1133.675</v>
      </c>
      <c r="AB59" s="3">
        <f t="shared" ref="AB59:AE59" si="35">SUM(AB60:AB61)</f>
        <v>289211.16200000001</v>
      </c>
      <c r="AC59" s="3">
        <f t="shared" si="35"/>
        <v>439.72</v>
      </c>
      <c r="AD59" s="3">
        <f t="shared" si="35"/>
        <v>94.373999999999995</v>
      </c>
      <c r="AE59" s="1346">
        <f t="shared" si="35"/>
        <v>286488.69999999995</v>
      </c>
      <c r="AF59" s="3">
        <f>SUM(AF60:AF61)</f>
        <v>67.037999999999997</v>
      </c>
      <c r="AG59" s="189">
        <f>+'P01 2022'!GA41</f>
        <v>0</v>
      </c>
      <c r="AH59" s="1185">
        <f>+'P01 2022'!GX45</f>
        <v>294717.31199999998</v>
      </c>
      <c r="AI59" s="71"/>
      <c r="AJ59" s="1421"/>
      <c r="AK59" s="1421"/>
      <c r="AL59" s="1421"/>
      <c r="AM59" s="1421"/>
      <c r="AN59" s="71"/>
      <c r="AO59" s="1498"/>
      <c r="AP59" s="1498"/>
      <c r="AQ59" s="1498"/>
      <c r="AR59" s="1498"/>
      <c r="AS59" s="1480"/>
      <c r="AT59" s="417"/>
      <c r="AU59" s="803"/>
      <c r="AV59" s="803"/>
      <c r="AW59" s="803"/>
      <c r="AX59" s="803"/>
    </row>
    <row r="60" spans="1:50" ht="15" customHeight="1" x14ac:dyDescent="0.25">
      <c r="A60" s="1508" t="s">
        <v>581</v>
      </c>
      <c r="B60" s="861"/>
      <c r="C60" s="185"/>
      <c r="D60" s="18"/>
      <c r="E60" s="18">
        <v>1</v>
      </c>
      <c r="F60" s="18" t="str">
        <f>+CONCATENATE($B$10,"",$C$41,"",$D$59,"00",E60)</f>
        <v>21.02.003.001</v>
      </c>
      <c r="G60" s="1532" t="s">
        <v>32</v>
      </c>
      <c r="H60" s="1295">
        <f>+'P01 2023'!F52</f>
        <v>726222.69299999997</v>
      </c>
      <c r="I60" s="99">
        <f>+'P01 2023'!BB52</f>
        <v>726222.69299999997</v>
      </c>
      <c r="J60" s="99">
        <f ca="1">SUMIF(S$3:$AH51,"ok",S60:AH60)</f>
        <v>178985.28700000001</v>
      </c>
      <c r="K60" s="740">
        <f t="shared" ca="1" si="31"/>
        <v>0.2464606087433294</v>
      </c>
      <c r="L60" s="99">
        <f>+'P01 2023'!BC52</f>
        <v>178985.28700000001</v>
      </c>
      <c r="M60" s="740">
        <f t="shared" si="29"/>
        <v>0.2464606087433294</v>
      </c>
      <c r="N60" s="99">
        <f>+'P01 2023'!BE52</f>
        <v>547237.40599999996</v>
      </c>
      <c r="O60" s="631">
        <f t="shared" si="30"/>
        <v>0.75353939125667058</v>
      </c>
      <c r="P60" s="1519">
        <f>+'P01 2022'!AZ47</f>
        <v>611868.17133899988</v>
      </c>
      <c r="Q60" s="1121">
        <f ca="1">SUMIF(S$3:$AH52,"SI",S60:AH60)</f>
        <v>162785.41549400002</v>
      </c>
      <c r="R60" s="1308">
        <f t="shared" ca="1" si="32"/>
        <v>0.26604654910838671</v>
      </c>
      <c r="S60" s="1320">
        <f>+'P01 2023'!I52</f>
        <v>0</v>
      </c>
      <c r="T60" s="1186">
        <f>+'P01 2022'!F47</f>
        <v>49.323199999999993</v>
      </c>
      <c r="U60" s="1295">
        <v>0</v>
      </c>
      <c r="V60" s="1345">
        <v>0</v>
      </c>
      <c r="W60" s="578">
        <f>+'P01 2023'!AD45</f>
        <v>178985.28700000001</v>
      </c>
      <c r="X60" s="1345">
        <f>+'P01 2022'!AB44</f>
        <v>162343.31591999999</v>
      </c>
      <c r="Y60" s="1295">
        <v>0</v>
      </c>
      <c r="Z60" s="1186">
        <f>+'P01 2022'!AQ44</f>
        <v>392.77637399999998</v>
      </c>
      <c r="AA60" s="219">
        <f>+'P01 2022'!BI35</f>
        <v>552.303</v>
      </c>
      <c r="AB60" s="19">
        <f>+'P01 2022'!CC45</f>
        <v>154485.421</v>
      </c>
      <c r="AC60" s="19">
        <f>+'P01 2022'!CY43</f>
        <v>235.91200000000001</v>
      </c>
      <c r="AD60" s="19">
        <f>+'P01 2022'!DR37</f>
        <v>61.052999999999997</v>
      </c>
      <c r="AE60" s="1345">
        <f>+'P01 2022'!EJ41</f>
        <v>157005.13699999999</v>
      </c>
      <c r="AF60" s="1358">
        <f>+'P01 2022'!FC40</f>
        <v>67.037999999999997</v>
      </c>
      <c r="AG60" s="19">
        <f>+'P01 2022'!GA42</f>
        <v>0</v>
      </c>
      <c r="AH60" s="1186">
        <f>+'P01 2022'!GX46</f>
        <v>163891.94200000001</v>
      </c>
      <c r="AI60" s="71"/>
      <c r="AJ60" s="1421"/>
      <c r="AK60" s="1421"/>
      <c r="AL60" s="1421"/>
      <c r="AM60" s="1421"/>
      <c r="AN60" s="71"/>
      <c r="AO60" s="1498"/>
      <c r="AP60" s="1498"/>
      <c r="AQ60" s="1498"/>
      <c r="AR60" s="1498"/>
      <c r="AS60" s="1480"/>
      <c r="AT60" s="417"/>
      <c r="AU60" s="803"/>
      <c r="AV60" s="803"/>
      <c r="AW60" s="803"/>
      <c r="AX60" s="803"/>
    </row>
    <row r="61" spans="1:50" ht="15" customHeight="1" x14ac:dyDescent="0.25">
      <c r="A61" s="1508" t="s">
        <v>370</v>
      </c>
      <c r="B61" s="861"/>
      <c r="C61" s="185"/>
      <c r="D61" s="18"/>
      <c r="E61" s="18">
        <v>2</v>
      </c>
      <c r="F61" s="18" t="str">
        <f>+CONCATENATE($B$10,"",$C$41,"",$D$59,"00",E61)</f>
        <v>21.02.003.002</v>
      </c>
      <c r="G61" s="1532" t="s">
        <v>33</v>
      </c>
      <c r="H61" s="1295">
        <f>+'P01 2023'!F53</f>
        <v>639949.69200000004</v>
      </c>
      <c r="I61" s="99">
        <f>+'P01 2023'!BB53</f>
        <v>639949.69200000004</v>
      </c>
      <c r="J61" s="99">
        <f ca="1">SUMIF(S$3:$AH52,"ok",S61:AH61)</f>
        <v>164302.965</v>
      </c>
      <c r="K61" s="740">
        <f t="shared" ca="1" si="31"/>
        <v>0.25674356446131391</v>
      </c>
      <c r="L61" s="99">
        <f>+'P01 2023'!BC53</f>
        <v>164302.965</v>
      </c>
      <c r="M61" s="740">
        <f t="shared" si="29"/>
        <v>0.25674356446131391</v>
      </c>
      <c r="N61" s="99">
        <f>+'P01 2023'!BE53</f>
        <v>475646.72700000001</v>
      </c>
      <c r="O61" s="631">
        <f t="shared" si="30"/>
        <v>0.74325643553868603</v>
      </c>
      <c r="P61" s="1519">
        <f>+'P01 2022'!AZ48</f>
        <v>590589.76443099999</v>
      </c>
      <c r="Q61" s="1121">
        <f ca="1">SUMIF(S$3:$AH53,"SI",S61:AH61)</f>
        <v>154849.88875999997</v>
      </c>
      <c r="R61" s="1308">
        <f t="shared" ca="1" si="32"/>
        <v>0.26219534791495941</v>
      </c>
      <c r="S61" s="1320">
        <f>+'P01 2023'!I53</f>
        <v>0</v>
      </c>
      <c r="T61" s="1186">
        <v>0</v>
      </c>
      <c r="U61" s="1295">
        <v>0</v>
      </c>
      <c r="V61" s="1345">
        <v>0</v>
      </c>
      <c r="W61" s="578">
        <f>+'P01 2023'!AD46</f>
        <v>164302.965</v>
      </c>
      <c r="X61" s="1345">
        <f>+'P01 2022'!AB45</f>
        <v>154849.88875999997</v>
      </c>
      <c r="Y61" s="1295">
        <v>0</v>
      </c>
      <c r="Z61" s="1186">
        <f>+'P01 2022'!AQ45</f>
        <v>0</v>
      </c>
      <c r="AA61" s="219">
        <f>+'P01 2022'!BI36</f>
        <v>581.37199999999996</v>
      </c>
      <c r="AB61" s="19">
        <f>+'P01 2022'!CC46</f>
        <v>134725.74100000001</v>
      </c>
      <c r="AC61" s="19">
        <f>+'P01 2022'!CY44</f>
        <v>203.80799999999999</v>
      </c>
      <c r="AD61" s="19">
        <f>+'P01 2022'!DR38</f>
        <v>33.320999999999998</v>
      </c>
      <c r="AE61" s="1345">
        <f>+'P01 2022'!EJ42</f>
        <v>129483.56299999999</v>
      </c>
      <c r="AF61" s="1358">
        <f>+'P01 2022'!FC41</f>
        <v>0</v>
      </c>
      <c r="AG61" s="19">
        <f>+'P01 2022'!GA43</f>
        <v>0</v>
      </c>
      <c r="AH61" s="1186">
        <f>+'P01 2022'!GX47</f>
        <v>130807.217</v>
      </c>
      <c r="AI61" s="71"/>
      <c r="AJ61" s="1421"/>
      <c r="AK61" s="1421"/>
      <c r="AL61" s="1421"/>
      <c r="AM61" s="1421"/>
      <c r="AN61" s="71"/>
      <c r="AO61" s="1498"/>
      <c r="AP61" s="1498"/>
      <c r="AQ61" s="1498"/>
      <c r="AR61" s="1498"/>
      <c r="AS61" s="1480"/>
      <c r="AT61" s="417"/>
      <c r="AU61" s="803"/>
      <c r="AV61" s="803"/>
      <c r="AW61" s="803"/>
      <c r="AX61" s="803"/>
    </row>
    <row r="62" spans="1:50" ht="15" customHeight="1" x14ac:dyDescent="0.25">
      <c r="A62" s="1508" t="s">
        <v>926</v>
      </c>
      <c r="B62" s="861"/>
      <c r="C62" s="185"/>
      <c r="D62" s="18"/>
      <c r="E62" s="18">
        <v>3</v>
      </c>
      <c r="F62" s="18" t="str">
        <f>+CONCATENATE($B$10,"",$C$41,"",$D$59,"00",E62)</f>
        <v>21.02.003.003</v>
      </c>
      <c r="G62" s="1532" t="s">
        <v>931</v>
      </c>
      <c r="H62" s="1295">
        <v>0</v>
      </c>
      <c r="I62" s="99">
        <v>0</v>
      </c>
      <c r="J62" s="99">
        <f ca="1">SUMIF(S$3:$AH51,"ok",S62:AH62)</f>
        <v>0</v>
      </c>
      <c r="K62" s="740">
        <f ca="1">IFERROR(J62/I62,"0,00"%)</f>
        <v>0</v>
      </c>
      <c r="L62" s="99">
        <v>0</v>
      </c>
      <c r="M62" s="740">
        <f t="shared" si="23"/>
        <v>0</v>
      </c>
      <c r="N62" s="99">
        <v>0</v>
      </c>
      <c r="O62" s="631">
        <f t="shared" si="24"/>
        <v>0</v>
      </c>
      <c r="P62" s="1520">
        <v>0</v>
      </c>
      <c r="Q62" s="1121">
        <f ca="1">SUMIF(S$3:$AH52,"SI",S62:AH62)</f>
        <v>0</v>
      </c>
      <c r="R62" s="1308">
        <v>0</v>
      </c>
      <c r="S62" s="1323">
        <v>0</v>
      </c>
      <c r="T62" s="1186">
        <v>0</v>
      </c>
      <c r="U62" s="1295">
        <v>0</v>
      </c>
      <c r="V62" s="1345">
        <v>0</v>
      </c>
      <c r="W62" s="578">
        <v>0</v>
      </c>
      <c r="X62" s="1345">
        <v>0</v>
      </c>
      <c r="Y62" s="1295">
        <v>0</v>
      </c>
      <c r="Z62" s="1186">
        <v>0</v>
      </c>
      <c r="AA62" s="219"/>
      <c r="AB62" s="19"/>
      <c r="AC62" s="19"/>
      <c r="AD62" s="19"/>
      <c r="AE62" s="1345"/>
      <c r="AF62" s="1358"/>
      <c r="AG62" s="19"/>
      <c r="AH62" s="1186">
        <f>+'P01 2022'!GX48</f>
        <v>18.152999999999999</v>
      </c>
      <c r="AI62" s="71"/>
      <c r="AJ62" s="1421"/>
      <c r="AK62" s="1421"/>
      <c r="AL62" s="1421"/>
      <c r="AM62" s="1421"/>
      <c r="AN62" s="71"/>
      <c r="AO62" s="1498"/>
      <c r="AP62" s="1498"/>
      <c r="AQ62" s="1498"/>
      <c r="AR62" s="1498"/>
      <c r="AS62" s="1480"/>
      <c r="AT62" s="417"/>
      <c r="AU62" s="803"/>
      <c r="AV62" s="803"/>
      <c r="AW62" s="803"/>
      <c r="AX62" s="803"/>
    </row>
    <row r="63" spans="1:50" s="184" customFormat="1" ht="15" customHeight="1" x14ac:dyDescent="0.25">
      <c r="A63" s="1508" t="s">
        <v>371</v>
      </c>
      <c r="B63" s="862"/>
      <c r="C63" s="187"/>
      <c r="D63" s="139" t="s">
        <v>160</v>
      </c>
      <c r="E63" s="139"/>
      <c r="F63" s="139"/>
      <c r="G63" s="1533" t="s">
        <v>34</v>
      </c>
      <c r="H63" s="1293">
        <f>SUM(H64:H67)</f>
        <v>290726.53200000001</v>
      </c>
      <c r="I63" s="129">
        <f t="shared" ref="I63:R63" si="36">SUM(I64:I67)</f>
        <v>292908.87900000002</v>
      </c>
      <c r="J63" s="129">
        <f t="shared" ca="1" si="36"/>
        <v>147590.48699999999</v>
      </c>
      <c r="K63" s="844">
        <f ca="1">IFERROR(J63/I63,"0,00"%)</f>
        <v>0.50387850140930679</v>
      </c>
      <c r="L63" s="129">
        <f t="shared" si="36"/>
        <v>147590.48700000002</v>
      </c>
      <c r="M63" s="844">
        <f t="shared" si="23"/>
        <v>0.5038785014093069</v>
      </c>
      <c r="N63" s="17">
        <f t="shared" si="36"/>
        <v>145318.39199999999</v>
      </c>
      <c r="O63" s="1294">
        <f t="shared" si="24"/>
        <v>0.49612149859069304</v>
      </c>
      <c r="P63" s="222">
        <f>SUM(P64:P67)</f>
        <v>336443.64569999999</v>
      </c>
      <c r="Q63" s="17">
        <f t="shared" ca="1" si="36"/>
        <v>94730.265479999987</v>
      </c>
      <c r="R63" s="737">
        <f t="shared" ca="1" si="36"/>
        <v>0.76259229556481911</v>
      </c>
      <c r="S63" s="1324">
        <f t="shared" ref="S63:AE63" si="37">SUM(S64:S66)</f>
        <v>26134.294000000002</v>
      </c>
      <c r="T63" s="379">
        <f t="shared" si="37"/>
        <v>23846.225849999999</v>
      </c>
      <c r="U63" s="1324">
        <f>+'P01 2023'!N36</f>
        <v>42221.557000000001</v>
      </c>
      <c r="V63" s="1346">
        <f t="shared" si="37"/>
        <v>21368.424937</v>
      </c>
      <c r="W63" s="1397">
        <f>SUM(W64:W67)</f>
        <v>38651.775000000001</v>
      </c>
      <c r="X63" s="1346">
        <f t="shared" si="37"/>
        <v>13839.741255999999</v>
      </c>
      <c r="Y63" s="1324">
        <f>SUM(Y64:Y67)</f>
        <v>40582.860999999997</v>
      </c>
      <c r="Z63" s="379">
        <f>SUM(Z64:Z67)</f>
        <v>35675.873437000002</v>
      </c>
      <c r="AA63" s="220">
        <f t="shared" si="37"/>
        <v>30398.576999999997</v>
      </c>
      <c r="AB63" s="3">
        <f t="shared" si="37"/>
        <v>30205.48</v>
      </c>
      <c r="AC63" s="3">
        <f t="shared" si="37"/>
        <v>35611.902000000002</v>
      </c>
      <c r="AD63" s="3">
        <f t="shared" si="37"/>
        <v>34889.08</v>
      </c>
      <c r="AE63" s="1346">
        <f t="shared" si="37"/>
        <v>31094.518</v>
      </c>
      <c r="AF63" s="3">
        <f>+SUM(AF64:AF66)</f>
        <v>31389.476000000002</v>
      </c>
      <c r="AG63" s="189">
        <f>+'P01 2022'!GA44</f>
        <v>37965.623</v>
      </c>
      <c r="AH63" s="1185">
        <f>+'P01 2022'!GX49</f>
        <v>53058.711000000003</v>
      </c>
      <c r="AI63" s="71"/>
      <c r="AJ63" s="1421"/>
      <c r="AK63" s="1421"/>
      <c r="AL63" s="1421"/>
      <c r="AM63" s="1421"/>
      <c r="AN63" s="71"/>
      <c r="AO63" s="1498"/>
      <c r="AP63" s="1498"/>
      <c r="AQ63" s="1498"/>
      <c r="AR63" s="1498"/>
      <c r="AS63" s="1480"/>
      <c r="AT63" s="417"/>
      <c r="AU63" s="803"/>
      <c r="AV63" s="803"/>
      <c r="AW63" s="803"/>
      <c r="AX63" s="803"/>
    </row>
    <row r="64" spans="1:50" ht="15" customHeight="1" x14ac:dyDescent="0.25">
      <c r="A64" s="1508" t="s">
        <v>582</v>
      </c>
      <c r="B64" s="861"/>
      <c r="C64" s="185"/>
      <c r="D64" s="18"/>
      <c r="E64" s="18">
        <v>4</v>
      </c>
      <c r="F64" s="18" t="str">
        <f>+CONCATENATE($B$10,"",$C$41,"",$D$63,"00",E64)</f>
        <v>21.02.004.004</v>
      </c>
      <c r="G64" s="1532" t="s">
        <v>35</v>
      </c>
      <c r="H64" s="1295">
        <f>+'P01 2023'!F55</f>
        <v>187398.5</v>
      </c>
      <c r="I64" s="99">
        <f>+'P01 2023'!BB55</f>
        <v>187398.5</v>
      </c>
      <c r="J64" s="99">
        <f ca="1">SUMIF(S$3:$AH51,"ok",S64:AH64)</f>
        <v>82109.588999999993</v>
      </c>
      <c r="K64" s="740">
        <f t="shared" ca="1" si="5"/>
        <v>0.43815499590444956</v>
      </c>
      <c r="L64" s="99">
        <f>+'P01 2023'!BC55</f>
        <v>82109.589000000007</v>
      </c>
      <c r="M64" s="740">
        <f t="shared" si="23"/>
        <v>0.43815499590444967</v>
      </c>
      <c r="N64" s="99">
        <f>+'P01 2023'!BE55</f>
        <v>105288.91099999999</v>
      </c>
      <c r="O64" s="631">
        <f t="shared" si="24"/>
        <v>0.56184500409555038</v>
      </c>
      <c r="P64" s="1519">
        <f>+'P01 2022'!AZ50</f>
        <v>213899.30489999999</v>
      </c>
      <c r="Q64" s="1121">
        <f ca="1">SUMIF(S$3:$AH52,"SI",S64:AH64)</f>
        <v>66852.793902999983</v>
      </c>
      <c r="R64" s="1308">
        <f t="shared" ca="1" si="25"/>
        <v>0.31254329664256886</v>
      </c>
      <c r="S64" s="1320">
        <f>+'P01 2023'!I55</f>
        <v>20521.419000000002</v>
      </c>
      <c r="T64" s="1186">
        <f>+'P01 2022'!F50</f>
        <v>14179.781136999998</v>
      </c>
      <c r="U64" s="1295">
        <f>+'P01 2023'!N37</f>
        <v>20003.036</v>
      </c>
      <c r="V64" s="1345">
        <f>+'P01 2022'!M39</f>
        <v>14179.781136999998</v>
      </c>
      <c r="W64" s="578">
        <f>+'P01 2023'!AD48</f>
        <v>20792.566999999999</v>
      </c>
      <c r="X64" s="1345">
        <f>+'P01 2022'!AB47</f>
        <v>7876.2963739999996</v>
      </c>
      <c r="Y64" s="1295">
        <f>+'P01 2023'!AT46</f>
        <v>20792.566999999999</v>
      </c>
      <c r="Z64" s="1186">
        <f>+'P01 2022'!AQ47</f>
        <v>30616.935254999997</v>
      </c>
      <c r="AA64" s="219">
        <f>+'P01 2022'!BI38</f>
        <v>19906.419999999998</v>
      </c>
      <c r="AB64" s="19">
        <f>+'P01 2022'!CC48</f>
        <v>19906.419999999998</v>
      </c>
      <c r="AC64" s="19">
        <f>+'P01 2022'!CY46</f>
        <v>21015.858</v>
      </c>
      <c r="AD64" s="19">
        <f>+'P01 2022'!DR40</f>
        <v>19656.567999999999</v>
      </c>
      <c r="AE64" s="1345">
        <f>+'P01 2022'!EJ44</f>
        <v>18967.206999999999</v>
      </c>
      <c r="AF64" s="333">
        <f>+'P01 2022'!FC43</f>
        <v>19537.288</v>
      </c>
      <c r="AG64" s="19">
        <f>+'P01 2022'!GA45</f>
        <v>20990.792000000001</v>
      </c>
      <c r="AH64" s="1186">
        <f>+'P01 2022'!GX50</f>
        <v>24045.931</v>
      </c>
      <c r="AI64" s="71"/>
      <c r="AJ64" s="1421"/>
      <c r="AK64" s="1421"/>
      <c r="AL64" s="1421"/>
      <c r="AM64" s="1421"/>
      <c r="AN64" s="71"/>
      <c r="AO64" s="1498"/>
      <c r="AP64" s="1498"/>
      <c r="AQ64" s="1498"/>
      <c r="AR64" s="1498"/>
      <c r="AS64" s="1480"/>
      <c r="AT64" s="417"/>
      <c r="AU64" s="803"/>
      <c r="AV64" s="803"/>
      <c r="AW64" s="803"/>
      <c r="AX64" s="803"/>
    </row>
    <row r="65" spans="1:50" s="180" customFormat="1" ht="15" customHeight="1" x14ac:dyDescent="0.25">
      <c r="A65" s="1508" t="s">
        <v>583</v>
      </c>
      <c r="B65" s="861"/>
      <c r="C65" s="185"/>
      <c r="D65" s="18"/>
      <c r="E65" s="18">
        <v>5</v>
      </c>
      <c r="F65" s="18" t="str">
        <f>+CONCATENATE($B$10,"",$C$41,"",$D$63,"00",E65)</f>
        <v>21.02.004.005</v>
      </c>
      <c r="G65" s="1532" t="s">
        <v>805</v>
      </c>
      <c r="H65" s="1295">
        <f>+'P01 2023'!F56</f>
        <v>50000</v>
      </c>
      <c r="I65" s="99">
        <f>+'P01 2023'!BB56</f>
        <v>50000</v>
      </c>
      <c r="J65" s="99">
        <f ca="1">SUMIF(S$3:$AH52,"ok",S65:AH65)</f>
        <v>22133.842000000001</v>
      </c>
      <c r="K65" s="740">
        <f t="shared" ca="1" si="5"/>
        <v>0.44267684000000002</v>
      </c>
      <c r="L65" s="99">
        <f>+'P01 2023'!BC56</f>
        <v>22133.842000000001</v>
      </c>
      <c r="M65" s="740">
        <f t="shared" si="23"/>
        <v>0.44267684000000002</v>
      </c>
      <c r="N65" s="99">
        <f>+'P01 2023'!BE56</f>
        <v>27866.157999999999</v>
      </c>
      <c r="O65" s="631">
        <f t="shared" si="24"/>
        <v>0.55732316000000004</v>
      </c>
      <c r="P65" s="1519">
        <f>+'P01 2022'!AZ51</f>
        <v>59193.792799999996</v>
      </c>
      <c r="Q65" s="1121">
        <f ca="1">SUMIF(S$3:$AH53,"SI",S65:AH65)</f>
        <v>9019.5624409999982</v>
      </c>
      <c r="R65" s="1308">
        <f t="shared" ca="1" si="25"/>
        <v>0.15237345022770696</v>
      </c>
      <c r="S65" s="1320">
        <f>+'P01 2023'!I56</f>
        <v>695.79399999999998</v>
      </c>
      <c r="T65" s="1186">
        <f>+'P01 2022'!F51</f>
        <v>1906.282152</v>
      </c>
      <c r="U65" s="1295">
        <f>+'P01 2023'!N38</f>
        <v>8433.027</v>
      </c>
      <c r="V65" s="1345">
        <f>+'P01 2022'!M40</f>
        <v>3289.6937379999999</v>
      </c>
      <c r="W65" s="578">
        <f>+'P01 2023'!AD49</f>
        <v>5680.9340000000002</v>
      </c>
      <c r="X65" s="1345">
        <f>+'P01 2022'!AB48</f>
        <v>1239.3187469999998</v>
      </c>
      <c r="Y65" s="1295">
        <f>+'P01 2023'!AT47</f>
        <v>7324.0870000000004</v>
      </c>
      <c r="Z65" s="1186">
        <f>+'P01 2022'!AQ48</f>
        <v>2584.2678040000001</v>
      </c>
      <c r="AA65" s="219">
        <f>+'P01 2022'!BI39</f>
        <v>1633.6010000000001</v>
      </c>
      <c r="AB65" s="19">
        <f>+'P01 2022'!CC49</f>
        <v>2409.788</v>
      </c>
      <c r="AC65" s="19">
        <f>+'P01 2022'!CY47</f>
        <v>3786.768</v>
      </c>
      <c r="AD65" s="19">
        <f>+'P01 2022'!DR41</f>
        <v>5811.77</v>
      </c>
      <c r="AE65" s="1345">
        <f>+'P01 2022'!EJ45</f>
        <v>5081.7690000000002</v>
      </c>
      <c r="AF65" s="333">
        <f>+'P01 2022'!FC44</f>
        <v>4512.7510000000002</v>
      </c>
      <c r="AG65" s="19">
        <f>+'P01 2022'!GA46</f>
        <v>4791.3860000000004</v>
      </c>
      <c r="AH65" s="1186">
        <f>+'P01 2022'!GX51</f>
        <v>17887.877</v>
      </c>
      <c r="AI65" s="71"/>
      <c r="AJ65" s="1421"/>
      <c r="AK65" s="1421"/>
      <c r="AL65" s="1421"/>
      <c r="AM65" s="1421"/>
      <c r="AN65" s="71"/>
      <c r="AO65" s="1498"/>
      <c r="AP65" s="1498"/>
      <c r="AQ65" s="1498"/>
      <c r="AR65" s="1498"/>
      <c r="AS65" s="1480"/>
      <c r="AT65" s="417"/>
      <c r="AU65" s="803"/>
      <c r="AV65" s="803"/>
      <c r="AW65" s="803"/>
      <c r="AX65" s="803"/>
    </row>
    <row r="66" spans="1:50" s="180" customFormat="1" ht="15" customHeight="1" x14ac:dyDescent="0.25">
      <c r="A66" s="1508" t="s">
        <v>624</v>
      </c>
      <c r="B66" s="861"/>
      <c r="C66" s="185"/>
      <c r="D66" s="18"/>
      <c r="E66" s="18">
        <v>6</v>
      </c>
      <c r="F66" s="18" t="str">
        <f>+CONCATENATE($B$10,"",$C$41,"",$D$63,"00",E66)</f>
        <v>21.02.004.006</v>
      </c>
      <c r="G66" s="1532" t="s">
        <v>37</v>
      </c>
      <c r="H66" s="1295">
        <f>+'P01 2023'!F57</f>
        <v>52828.031999999999</v>
      </c>
      <c r="I66" s="99">
        <f>+'P01 2023'!BB57</f>
        <v>55010.379000000001</v>
      </c>
      <c r="J66" s="99">
        <f ca="1">SUMIF(S$3:$AH53,"ok",S66:AH66)</f>
        <v>43347.056000000004</v>
      </c>
      <c r="K66" s="740">
        <f t="shared" ca="1" si="5"/>
        <v>0.78797959199663037</v>
      </c>
      <c r="L66" s="99">
        <f>+'P01 2023'!BC57</f>
        <v>43347.055999999997</v>
      </c>
      <c r="M66" s="740">
        <f t="shared" si="23"/>
        <v>0.78797959199663026</v>
      </c>
      <c r="N66" s="99">
        <f>+'P01 2023'!BE57</f>
        <v>11663.323</v>
      </c>
      <c r="O66" s="631">
        <f t="shared" si="24"/>
        <v>0.21202040800336969</v>
      </c>
      <c r="P66" s="1519">
        <f>+'P01 2022'!AZ52</f>
        <v>63350.547999999995</v>
      </c>
      <c r="Q66" s="1121">
        <f ca="1">SUMIF(S$3:$AH55,"SI",S66:AH66)</f>
        <v>18857.909135999998</v>
      </c>
      <c r="R66" s="1308">
        <f t="shared" ca="1" si="25"/>
        <v>0.29767554869454327</v>
      </c>
      <c r="S66" s="1320">
        <f>+'P01 2023'!I57</f>
        <v>4917.0810000000001</v>
      </c>
      <c r="T66" s="1186">
        <f>+'P01 2022'!F52</f>
        <v>7760.1625610000001</v>
      </c>
      <c r="U66" s="1295">
        <f>+'P01 2023'!N39</f>
        <v>13785.494000000001</v>
      </c>
      <c r="V66" s="1345">
        <f>+'P01 2022'!M41</f>
        <v>3898.9500619999994</v>
      </c>
      <c r="W66" s="578">
        <f>+'P01 2023'!AD50</f>
        <v>12178.273999999999</v>
      </c>
      <c r="X66" s="1345">
        <f>+'P01 2022'!AB49</f>
        <v>4724.1261350000004</v>
      </c>
      <c r="Y66" s="1295">
        <f>+'P01 2023'!AT48</f>
        <v>12466.207</v>
      </c>
      <c r="Z66" s="1186">
        <f>+'P01 2022'!AQ49</f>
        <v>2474.6703779999998</v>
      </c>
      <c r="AA66" s="219">
        <f>+'P01 2022'!BI40</f>
        <v>8858.5560000000005</v>
      </c>
      <c r="AB66" s="19">
        <f>+'P01 2022'!CC50</f>
        <v>7889.2719999999999</v>
      </c>
      <c r="AC66" s="19">
        <f>+'P01 2022'!CY48</f>
        <v>10809.276</v>
      </c>
      <c r="AD66" s="19">
        <f>+'P01 2022'!DR42</f>
        <v>9420.7420000000002</v>
      </c>
      <c r="AE66" s="1345">
        <f>+'P01 2022'!EJ46</f>
        <v>7045.5420000000004</v>
      </c>
      <c r="AF66" s="333">
        <f>+'P01 2022'!FC45</f>
        <v>7339.4369999999999</v>
      </c>
      <c r="AG66" s="19">
        <f>+'P01 2022'!GA47</f>
        <v>12183.445</v>
      </c>
      <c r="AH66" s="1186">
        <f>+'P01 2022'!GX52</f>
        <v>11124.903</v>
      </c>
      <c r="AI66" s="71"/>
      <c r="AJ66" s="1421"/>
      <c r="AK66" s="1421"/>
      <c r="AL66" s="1421"/>
      <c r="AM66" s="1421"/>
      <c r="AN66" s="71"/>
      <c r="AO66" s="1498"/>
      <c r="AP66" s="1498"/>
      <c r="AQ66" s="1498"/>
      <c r="AR66" s="1498"/>
      <c r="AS66" s="1480"/>
      <c r="AT66" s="417"/>
      <c r="AU66" s="803"/>
      <c r="AV66" s="803"/>
      <c r="AW66" s="803"/>
      <c r="AX66" s="803"/>
    </row>
    <row r="67" spans="1:50" s="180" customFormat="1" ht="15" customHeight="1" x14ac:dyDescent="0.25">
      <c r="A67" s="1508" t="s">
        <v>993</v>
      </c>
      <c r="B67" s="861"/>
      <c r="C67" s="185"/>
      <c r="D67" s="18"/>
      <c r="E67" s="18">
        <v>7</v>
      </c>
      <c r="F67" s="1178" t="s">
        <v>1002</v>
      </c>
      <c r="G67" s="1532" t="s">
        <v>38</v>
      </c>
      <c r="H67" s="1295">
        <f>+'P01 2023'!F58</f>
        <v>500</v>
      </c>
      <c r="I67" s="99">
        <f>+'P01 2023'!BB58</f>
        <v>500</v>
      </c>
      <c r="J67" s="99">
        <v>0</v>
      </c>
      <c r="K67" s="740">
        <v>0</v>
      </c>
      <c r="L67" s="99">
        <f>+'P01 2023'!BC58</f>
        <v>0</v>
      </c>
      <c r="M67" s="740">
        <v>0</v>
      </c>
      <c r="N67" s="99">
        <f>+'P01 2023'!BE58</f>
        <v>500</v>
      </c>
      <c r="O67" s="631">
        <v>0</v>
      </c>
      <c r="P67" s="1519">
        <v>0</v>
      </c>
      <c r="Q67" s="1121">
        <v>0</v>
      </c>
      <c r="R67" s="1308">
        <v>0</v>
      </c>
      <c r="S67" s="1320">
        <f>+'P01 2023'!I58</f>
        <v>0</v>
      </c>
      <c r="T67" s="1186">
        <v>0</v>
      </c>
      <c r="U67" s="1295">
        <v>0</v>
      </c>
      <c r="V67" s="1345">
        <v>0</v>
      </c>
      <c r="W67" s="578">
        <v>0</v>
      </c>
      <c r="X67" s="1345">
        <v>0</v>
      </c>
      <c r="Y67" s="1295">
        <v>0</v>
      </c>
      <c r="Z67" s="1186">
        <v>0</v>
      </c>
      <c r="AA67" s="219"/>
      <c r="AB67" s="19"/>
      <c r="AC67" s="19"/>
      <c r="AD67" s="19"/>
      <c r="AE67" s="1345"/>
      <c r="AF67" s="333"/>
      <c r="AG67" s="19"/>
      <c r="AH67" s="1186"/>
      <c r="AI67" s="71"/>
      <c r="AJ67" s="1421"/>
      <c r="AK67" s="1421"/>
      <c r="AL67" s="1421"/>
      <c r="AM67" s="1421"/>
      <c r="AN67" s="71"/>
      <c r="AO67" s="1498"/>
      <c r="AP67" s="1498"/>
      <c r="AQ67" s="1498"/>
      <c r="AR67" s="1498"/>
      <c r="AS67" s="1480"/>
      <c r="AT67" s="417"/>
      <c r="AU67" s="803"/>
      <c r="AV67" s="803"/>
      <c r="AW67" s="803"/>
      <c r="AX67" s="803"/>
    </row>
    <row r="68" spans="1:50" s="1149" customFormat="1" ht="15" customHeight="1" x14ac:dyDescent="0.25">
      <c r="A68" s="1508" t="s">
        <v>372</v>
      </c>
      <c r="B68" s="862"/>
      <c r="C68" s="187"/>
      <c r="D68" s="139" t="s">
        <v>161</v>
      </c>
      <c r="E68" s="139"/>
      <c r="F68" s="139"/>
      <c r="G68" s="1533" t="s">
        <v>34</v>
      </c>
      <c r="H68" s="1293">
        <f>+'P01 2023'!F59</f>
        <v>163673.576</v>
      </c>
      <c r="I68" s="129">
        <f>+'P01 2023'!BB59</f>
        <v>163673.576</v>
      </c>
      <c r="J68" s="129">
        <f ca="1">+J69+J70+J71</f>
        <v>7659.7020000000002</v>
      </c>
      <c r="K68" s="844">
        <f t="shared" ca="1" si="5"/>
        <v>4.6798647571554254E-2</v>
      </c>
      <c r="L68" s="129">
        <f>+'P01 2023'!BC59</f>
        <v>7659.7020000000002</v>
      </c>
      <c r="M68" s="844">
        <f t="shared" si="23"/>
        <v>4.6798647571554254E-2</v>
      </c>
      <c r="N68" s="129">
        <f>+'P01 2023'!BE59</f>
        <v>156013.87400000001</v>
      </c>
      <c r="O68" s="1526">
        <f t="shared" si="24"/>
        <v>0.95320135242844584</v>
      </c>
      <c r="P68" s="222">
        <f>+'P01 2022'!AZ53</f>
        <v>101931.937408</v>
      </c>
      <c r="Q68" s="17">
        <f ca="1">SUM(Q69:Q71)</f>
        <v>28537.747648999997</v>
      </c>
      <c r="R68" s="737">
        <f t="shared" ca="1" si="25"/>
        <v>0.27996865726953452</v>
      </c>
      <c r="S68" s="1324">
        <f>+S71</f>
        <v>0</v>
      </c>
      <c r="T68" s="379">
        <f>+T71</f>
        <v>20941.099999999999</v>
      </c>
      <c r="U68" s="1324">
        <v>0</v>
      </c>
      <c r="V68" s="1346">
        <v>0</v>
      </c>
      <c r="W68" s="1397">
        <f t="shared" ref="W68:AB68" si="38">SUM(W69:W71)</f>
        <v>7659.7020000000002</v>
      </c>
      <c r="X68" s="1346">
        <f t="shared" si="38"/>
        <v>7596.6476489999995</v>
      </c>
      <c r="Y68" s="1324">
        <f t="shared" si="38"/>
        <v>0</v>
      </c>
      <c r="Z68" s="379">
        <f t="shared" si="38"/>
        <v>0</v>
      </c>
      <c r="AA68" s="220">
        <f t="shared" si="38"/>
        <v>0</v>
      </c>
      <c r="AB68" s="3">
        <f t="shared" si="38"/>
        <v>8409.8790000000008</v>
      </c>
      <c r="AC68" s="3">
        <f>+AC69+AC70+AC71</f>
        <v>0</v>
      </c>
      <c r="AD68" s="3">
        <v>0</v>
      </c>
      <c r="AE68" s="1346">
        <f>SUM(AE69:AE71)</f>
        <v>20700.881000000001</v>
      </c>
      <c r="AF68" s="3">
        <f>+AF69</f>
        <v>0</v>
      </c>
      <c r="AG68" s="189">
        <f>+'P01 2022'!GA48</f>
        <v>0</v>
      </c>
      <c r="AH68" s="1185">
        <f>+'P01 2022'!GX53</f>
        <v>79968.104000000007</v>
      </c>
      <c r="AI68" s="71"/>
      <c r="AJ68" s="1421"/>
      <c r="AK68" s="1421"/>
      <c r="AL68" s="1421"/>
      <c r="AM68" s="1421"/>
      <c r="AN68" s="71"/>
      <c r="AO68" s="1498"/>
      <c r="AP68" s="1498"/>
      <c r="AQ68" s="1498"/>
      <c r="AR68" s="1498"/>
      <c r="AS68" s="1480"/>
      <c r="AT68" s="417"/>
      <c r="AU68" s="803"/>
      <c r="AV68" s="803"/>
      <c r="AW68" s="803"/>
      <c r="AX68" s="803"/>
    </row>
    <row r="69" spans="1:50" s="180" customFormat="1" ht="15" customHeight="1" x14ac:dyDescent="0.25">
      <c r="A69" s="1508" t="s">
        <v>373</v>
      </c>
      <c r="B69" s="861"/>
      <c r="C69" s="185"/>
      <c r="D69" s="18"/>
      <c r="E69" s="18">
        <v>1</v>
      </c>
      <c r="F69" s="18" t="str">
        <f>+CONCATENATE($B$10,"",$C$41,"",$D$68,"00",E69)</f>
        <v>21.02.005.001</v>
      </c>
      <c r="G69" s="1532" t="s">
        <v>95</v>
      </c>
      <c r="H69" s="1295">
        <f>+'P01 2023'!F60</f>
        <v>47688.317999999999</v>
      </c>
      <c r="I69" s="99">
        <f>+'P01 2023'!BB60</f>
        <v>47688.317999999999</v>
      </c>
      <c r="J69" s="99">
        <f ca="1">SUMIF(S$3:$AH58,"ok",S69:AH69)</f>
        <v>0</v>
      </c>
      <c r="K69" s="740">
        <f t="shared" ca="1" si="5"/>
        <v>0</v>
      </c>
      <c r="L69" s="99">
        <f>+'P01 2023'!BC60</f>
        <v>0</v>
      </c>
      <c r="M69" s="740">
        <f t="shared" si="23"/>
        <v>0</v>
      </c>
      <c r="N69" s="99">
        <f>+'P01 2023'!BE60</f>
        <v>47688.317999999999</v>
      </c>
      <c r="O69" s="631">
        <f t="shared" si="24"/>
        <v>1</v>
      </c>
      <c r="P69" s="1519">
        <f>+'P01 2022'!AZ54</f>
        <v>34828.592278999997</v>
      </c>
      <c r="Q69" s="1121">
        <f ca="1">SUMIF(S$3:$AH59,"SI",S69:AH69)</f>
        <v>0</v>
      </c>
      <c r="R69" s="1308">
        <f t="shared" ca="1" si="25"/>
        <v>0</v>
      </c>
      <c r="S69" s="1320">
        <f>+'P01 2023'!I60</f>
        <v>0</v>
      </c>
      <c r="T69" s="1186">
        <v>0</v>
      </c>
      <c r="U69" s="1295">
        <v>0</v>
      </c>
      <c r="V69" s="1345">
        <v>0</v>
      </c>
      <c r="W69" s="578">
        <v>0</v>
      </c>
      <c r="X69" s="1345">
        <v>0</v>
      </c>
      <c r="Y69" s="1295">
        <v>0</v>
      </c>
      <c r="Z69" s="1186">
        <f>+'P01 2022'!AQ51</f>
        <v>0</v>
      </c>
      <c r="AA69" s="219">
        <v>0</v>
      </c>
      <c r="AB69" s="19">
        <v>0</v>
      </c>
      <c r="AC69" s="19">
        <v>0</v>
      </c>
      <c r="AD69" s="19">
        <v>0</v>
      </c>
      <c r="AE69" s="1345">
        <f>+'P01 2022'!EJ48</f>
        <v>20700.881000000001</v>
      </c>
      <c r="AF69" s="1358">
        <f>+'P01 2022'!FC47</f>
        <v>0</v>
      </c>
      <c r="AG69" s="19">
        <f>+'P01 2022'!GA49</f>
        <v>0</v>
      </c>
      <c r="AH69" s="1186">
        <f>+'P01 2022'!GX54</f>
        <v>14858.103999999999</v>
      </c>
      <c r="AI69" s="71"/>
      <c r="AJ69" s="1421"/>
      <c r="AK69" s="1421"/>
      <c r="AL69" s="1421"/>
      <c r="AM69" s="1421"/>
      <c r="AN69" s="71"/>
      <c r="AO69" s="1498"/>
      <c r="AP69" s="1498"/>
      <c r="AQ69" s="1498"/>
      <c r="AR69" s="1498"/>
      <c r="AS69" s="1480"/>
      <c r="AT69" s="417"/>
      <c r="AU69" s="803"/>
      <c r="AV69" s="803"/>
      <c r="AW69" s="803"/>
      <c r="AX69" s="803"/>
    </row>
    <row r="70" spans="1:50" s="180" customFormat="1" ht="15" customHeight="1" x14ac:dyDescent="0.25">
      <c r="A70" s="1508" t="s">
        <v>482</v>
      </c>
      <c r="B70" s="861"/>
      <c r="C70" s="185"/>
      <c r="D70" s="18"/>
      <c r="E70" s="18">
        <v>2</v>
      </c>
      <c r="F70" s="18" t="str">
        <f>+CONCATENATE($B$10,"",$C$41,"",$D$68,"00",E70)</f>
        <v>21.02.005.002</v>
      </c>
      <c r="G70" s="1532" t="s">
        <v>96</v>
      </c>
      <c r="H70" s="1295">
        <f>+'P01 2023'!F61</f>
        <v>17918.413</v>
      </c>
      <c r="I70" s="99">
        <f>+'P01 2023'!BB61</f>
        <v>17918.413</v>
      </c>
      <c r="J70" s="19">
        <f ca="1">SUMIF(S$3:$AH59,"ok",S70:AH70)</f>
        <v>7659.7020000000002</v>
      </c>
      <c r="K70" s="740">
        <f t="shared" ca="1" si="5"/>
        <v>0.42747658511945225</v>
      </c>
      <c r="L70" s="99">
        <f>+'P01 2023'!BC61</f>
        <v>7659.7020000000002</v>
      </c>
      <c r="M70" s="740">
        <f t="shared" si="23"/>
        <v>0.42747658511945225</v>
      </c>
      <c r="N70" s="99">
        <f>+'P01 2023'!BE61</f>
        <v>10258.710999999999</v>
      </c>
      <c r="O70" s="631">
        <f t="shared" si="24"/>
        <v>0.5725234148805477</v>
      </c>
      <c r="P70" s="1519">
        <f>+'P01 2022'!AZ55</f>
        <v>15931.48927</v>
      </c>
      <c r="Q70" s="1121">
        <f ca="1">SUMIF(S$3:$AH60,"SI",S70:AH70)</f>
        <v>7596.6476489999995</v>
      </c>
      <c r="R70" s="1308">
        <f t="shared" ca="1" si="25"/>
        <v>0.47683223584784173</v>
      </c>
      <c r="S70" s="1320">
        <f>+'P01 2023'!I61</f>
        <v>0</v>
      </c>
      <c r="T70" s="1186">
        <v>0</v>
      </c>
      <c r="U70" s="1295">
        <v>0</v>
      </c>
      <c r="V70" s="1345">
        <v>0</v>
      </c>
      <c r="W70" s="578">
        <f>+'P01 2023'!AD52</f>
        <v>7659.7020000000002</v>
      </c>
      <c r="X70" s="1345">
        <f>+'P01 2022'!AB51</f>
        <v>7596.6476489999995</v>
      </c>
      <c r="Y70" s="1295">
        <f>+'P01 2023'!AT50</f>
        <v>0</v>
      </c>
      <c r="Z70" s="1187">
        <v>0</v>
      </c>
      <c r="AA70" s="219">
        <v>0</v>
      </c>
      <c r="AB70" s="19">
        <f>+'P01 2022'!CC52</f>
        <v>8409.8790000000008</v>
      </c>
      <c r="AC70" s="19">
        <v>0</v>
      </c>
      <c r="AD70" s="19">
        <v>0</v>
      </c>
      <c r="AE70" s="1345">
        <v>0</v>
      </c>
      <c r="AF70" s="188"/>
      <c r="AG70" s="19">
        <v>0</v>
      </c>
      <c r="AH70" s="1188">
        <v>0</v>
      </c>
      <c r="AI70" s="71"/>
      <c r="AJ70" s="1421"/>
      <c r="AK70" s="1421"/>
      <c r="AL70" s="1421"/>
      <c r="AM70" s="1421"/>
      <c r="AN70" s="71"/>
      <c r="AO70" s="1498"/>
      <c r="AP70" s="1498"/>
      <c r="AQ70" s="1498"/>
      <c r="AR70" s="1498"/>
      <c r="AS70" s="1480"/>
      <c r="AT70" s="417"/>
      <c r="AU70" s="803"/>
      <c r="AV70" s="803"/>
      <c r="AW70" s="803"/>
      <c r="AX70" s="803"/>
    </row>
    <row r="71" spans="1:50" s="180" customFormat="1" ht="15" customHeight="1" x14ac:dyDescent="0.25">
      <c r="A71" s="1508" t="s">
        <v>374</v>
      </c>
      <c r="B71" s="861"/>
      <c r="C71" s="185"/>
      <c r="D71" s="18"/>
      <c r="E71" s="18">
        <v>3</v>
      </c>
      <c r="F71" s="18" t="str">
        <f>+CONCATENATE($B$10,"",$C$41,"",$D$68,"00",E71)</f>
        <v>21.02.005.003</v>
      </c>
      <c r="G71" s="1532" t="s">
        <v>97</v>
      </c>
      <c r="H71" s="1295">
        <f>+'P01 2023'!F62</f>
        <v>98066.845000000001</v>
      </c>
      <c r="I71" s="99">
        <f>+'P01 2023'!BB62</f>
        <v>98066.845000000001</v>
      </c>
      <c r="J71" s="19">
        <f ca="1">SUMIF(S$3:$AH60,"ok",S71:AH71)</f>
        <v>0</v>
      </c>
      <c r="K71" s="740">
        <f t="shared" ca="1" si="5"/>
        <v>0</v>
      </c>
      <c r="L71" s="99">
        <f>+'P01 2023'!BC62</f>
        <v>0</v>
      </c>
      <c r="M71" s="740">
        <f t="shared" si="23"/>
        <v>0</v>
      </c>
      <c r="N71" s="99">
        <f>+'P01 2023'!BE62</f>
        <v>98066.845000000001</v>
      </c>
      <c r="O71" s="631">
        <f t="shared" si="24"/>
        <v>1</v>
      </c>
      <c r="P71" s="1519">
        <f>+'P01 2022'!AZ56</f>
        <v>51171.855858999996</v>
      </c>
      <c r="Q71" s="1121">
        <f ca="1">SUMIF(S$3:$AH61,"SI",S71:AH71)</f>
        <v>20941.099999999999</v>
      </c>
      <c r="R71" s="1308">
        <f t="shared" ca="1" si="25"/>
        <v>0.40923080956261476</v>
      </c>
      <c r="S71" s="1320">
        <f>+'P01 2023'!I62</f>
        <v>0</v>
      </c>
      <c r="T71" s="1186">
        <f>+'P01 2022'!F56</f>
        <v>20941.099999999999</v>
      </c>
      <c r="U71" s="1295">
        <v>0</v>
      </c>
      <c r="V71" s="1345">
        <v>0</v>
      </c>
      <c r="W71" s="578">
        <v>0</v>
      </c>
      <c r="X71" s="1345">
        <v>0</v>
      </c>
      <c r="Y71" s="1295">
        <v>0</v>
      </c>
      <c r="Z71" s="1187">
        <v>0</v>
      </c>
      <c r="AA71" s="219">
        <v>0</v>
      </c>
      <c r="AB71" s="19">
        <v>0</v>
      </c>
      <c r="AC71" s="19">
        <v>0</v>
      </c>
      <c r="AD71" s="19">
        <v>0</v>
      </c>
      <c r="AE71" s="1345">
        <v>0</v>
      </c>
      <c r="AF71" s="188"/>
      <c r="AG71" s="19">
        <v>0</v>
      </c>
      <c r="AH71" s="1186">
        <f>+'P01 2022'!GX55</f>
        <v>65110</v>
      </c>
      <c r="AI71" s="71"/>
      <c r="AJ71" s="1421"/>
      <c r="AK71" s="1421"/>
      <c r="AL71" s="1421"/>
      <c r="AM71" s="1421"/>
      <c r="AN71" s="71"/>
      <c r="AO71" s="1498"/>
      <c r="AP71" s="1498"/>
      <c r="AQ71" s="1498"/>
      <c r="AR71" s="1498"/>
      <c r="AS71" s="1480"/>
      <c r="AT71" s="417"/>
      <c r="AU71" s="803"/>
      <c r="AV71" s="803"/>
      <c r="AW71" s="803"/>
      <c r="AX71" s="803"/>
    </row>
    <row r="72" spans="1:50" s="1149" customFormat="1" ht="15" customHeight="1" x14ac:dyDescent="0.25">
      <c r="A72" s="1508" t="s">
        <v>375</v>
      </c>
      <c r="B72" s="862"/>
      <c r="C72" s="187" t="s">
        <v>163</v>
      </c>
      <c r="D72" s="139"/>
      <c r="E72" s="139"/>
      <c r="F72" s="139"/>
      <c r="G72" s="1533" t="s">
        <v>102</v>
      </c>
      <c r="H72" s="1293">
        <f>+'P01 2023'!F63</f>
        <v>1509478.3430000001</v>
      </c>
      <c r="I72" s="129">
        <f>+'P01 2023'!BB63</f>
        <v>1509478.3430000001</v>
      </c>
      <c r="J72" s="129">
        <f ca="1">+J73+J76+J77</f>
        <v>379127.99600000004</v>
      </c>
      <c r="K72" s="844">
        <f t="shared" ca="1" si="5"/>
        <v>0.25116491253958984</v>
      </c>
      <c r="L72" s="129">
        <f>+'P01 2023'!BC63</f>
        <v>379127.99599999998</v>
      </c>
      <c r="M72" s="844">
        <f t="shared" si="23"/>
        <v>0.25116491253958984</v>
      </c>
      <c r="N72" s="129">
        <f>+'P01 2023'!BE63</f>
        <v>1130350.3470000001</v>
      </c>
      <c r="O72" s="1526">
        <f t="shared" si="24"/>
        <v>0.74883508746041016</v>
      </c>
      <c r="P72" s="222">
        <f>+'P01 2022'!AZ57</f>
        <v>1278747.8704039999</v>
      </c>
      <c r="Q72" s="17">
        <f ca="1">+Q73+Q76</f>
        <v>426090.82163799996</v>
      </c>
      <c r="R72" s="737">
        <f t="shared" ca="1" si="25"/>
        <v>0.33320940859387971</v>
      </c>
      <c r="S72" s="1325">
        <f t="shared" ref="S72:AB72" si="39">+S73+S76</f>
        <v>87758.681000000011</v>
      </c>
      <c r="T72" s="1213">
        <f t="shared" si="39"/>
        <v>112910.15388500001</v>
      </c>
      <c r="U72" s="1325">
        <f>+'P01 2023'!N40</f>
        <v>95423.414999999994</v>
      </c>
      <c r="V72" s="1348">
        <f t="shared" si="39"/>
        <v>110549.99411899998</v>
      </c>
      <c r="W72" s="1397">
        <f>+W73+W76+W77</f>
        <v>98238.778999999995</v>
      </c>
      <c r="X72" s="1348">
        <f t="shared" si="39"/>
        <v>112532.33923599999</v>
      </c>
      <c r="Y72" s="1489">
        <f>+Y73+Y76</f>
        <v>97707.120999999999</v>
      </c>
      <c r="Z72" s="1211">
        <f>+Z73+Z76</f>
        <v>90098.334397999992</v>
      </c>
      <c r="AA72" s="1203">
        <f t="shared" si="39"/>
        <v>102492.003</v>
      </c>
      <c r="AB72" s="190">
        <f t="shared" si="39"/>
        <v>88048.152000000002</v>
      </c>
      <c r="AC72" s="190">
        <f>+AC73</f>
        <v>81304.138000000006</v>
      </c>
      <c r="AD72" s="190">
        <f>+AD73</f>
        <v>76785.903999999995</v>
      </c>
      <c r="AE72" s="1348">
        <f>+AE73+AE77+AE76</f>
        <v>93557.739000000001</v>
      </c>
      <c r="AF72" s="190">
        <f>+AF73+AF76</f>
        <v>96157.797000000006</v>
      </c>
      <c r="AG72" s="190">
        <f>+'P01 2022'!GA50</f>
        <v>91311.725000000006</v>
      </c>
      <c r="AH72" s="1185">
        <f>+'P01 2022'!GX56</f>
        <v>103677.69100000001</v>
      </c>
      <c r="AI72" s="71"/>
      <c r="AJ72" s="1421"/>
      <c r="AK72" s="1421"/>
      <c r="AL72" s="1421"/>
      <c r="AM72" s="1421"/>
      <c r="AN72" s="71"/>
      <c r="AO72" s="1498"/>
      <c r="AP72" s="1498"/>
      <c r="AQ72" s="1498"/>
      <c r="AR72" s="1498"/>
      <c r="AS72" s="1480"/>
      <c r="AT72" s="417"/>
      <c r="AU72" s="803"/>
      <c r="AV72" s="803"/>
      <c r="AW72" s="803"/>
      <c r="AX72" s="803"/>
    </row>
    <row r="73" spans="1:50" s="1149" customFormat="1" ht="15" customHeight="1" x14ac:dyDescent="0.25">
      <c r="A73" s="1508" t="s">
        <v>584</v>
      </c>
      <c r="B73" s="862"/>
      <c r="C73" s="187"/>
      <c r="D73" s="139" t="s">
        <v>156</v>
      </c>
      <c r="E73" s="139"/>
      <c r="F73" s="139"/>
      <c r="G73" s="1533" t="s">
        <v>41</v>
      </c>
      <c r="H73" s="1293">
        <f>+'P01 2023'!F64</f>
        <v>1472012</v>
      </c>
      <c r="I73" s="129">
        <f>+'P01 2023'!BB64</f>
        <v>1472012</v>
      </c>
      <c r="J73" s="129">
        <f ca="1">+J74+J75</f>
        <v>373033.54000000004</v>
      </c>
      <c r="K73" s="844">
        <f t="shared" ca="1" si="5"/>
        <v>0.25341745855332704</v>
      </c>
      <c r="L73" s="129">
        <f>+'P01 2023'!BC64</f>
        <v>373033.54</v>
      </c>
      <c r="M73" s="844">
        <f t="shared" si="23"/>
        <v>0.25341745855332698</v>
      </c>
      <c r="N73" s="129">
        <f>+'P01 2023'!BE64</f>
        <v>1098978.46</v>
      </c>
      <c r="O73" s="1526">
        <f t="shared" si="24"/>
        <v>0.74658254144667291</v>
      </c>
      <c r="P73" s="222">
        <f>+'P01 2022'!AZ58</f>
        <v>1244171.3419999999</v>
      </c>
      <c r="Q73" s="17">
        <f ca="1">SUM(Q74:Q75)</f>
        <v>413399.74542599998</v>
      </c>
      <c r="R73" s="737">
        <f t="shared" ca="1" si="25"/>
        <v>0.33226914289912973</v>
      </c>
      <c r="S73" s="1297">
        <f t="shared" ref="S73:AB73" si="40">SUM(S74:S75)</f>
        <v>84479.577000000005</v>
      </c>
      <c r="T73" s="1326">
        <f t="shared" si="40"/>
        <v>108586.914814</v>
      </c>
      <c r="U73" s="1325">
        <f>+'P01 2023'!N41</f>
        <v>93783.862999999998</v>
      </c>
      <c r="V73" s="1349">
        <f t="shared" si="40"/>
        <v>107148.24848799998</v>
      </c>
      <c r="W73" s="1397">
        <f>SUM(W74:W75)</f>
        <v>97062.978999999992</v>
      </c>
      <c r="X73" s="1349">
        <f t="shared" si="40"/>
        <v>107566.24772599999</v>
      </c>
      <c r="Y73" s="1490">
        <f>SUM(Y74:Y75)</f>
        <v>97707.120999999999</v>
      </c>
      <c r="Z73" s="1212">
        <f>SUM(Z74:Z75)</f>
        <v>90098.334397999992</v>
      </c>
      <c r="AA73" s="1204">
        <f t="shared" si="40"/>
        <v>102492.003</v>
      </c>
      <c r="AB73" s="1181">
        <f t="shared" si="40"/>
        <v>88048.152000000002</v>
      </c>
      <c r="AC73" s="1181">
        <f>SUM(AC74:AC76)</f>
        <v>81304.138000000006</v>
      </c>
      <c r="AD73" s="1181">
        <f>SUM(AD74:AD76)</f>
        <v>76785.903999999995</v>
      </c>
      <c r="AE73" s="1349">
        <f>SUM(AE74:AE75)</f>
        <v>88771.481</v>
      </c>
      <c r="AF73" s="1181">
        <f>SUM(AF74:AF75)</f>
        <v>93156.014999999999</v>
      </c>
      <c r="AG73" s="190">
        <f>+'P01 2022'!GA51</f>
        <v>89027.694000000003</v>
      </c>
      <c r="AH73" s="1185">
        <f>+'P01 2022'!GX57</f>
        <v>98881.232999999993</v>
      </c>
      <c r="AI73" s="71"/>
      <c r="AJ73" s="1421"/>
      <c r="AK73" s="1421"/>
      <c r="AL73" s="1421"/>
      <c r="AM73" s="1421"/>
      <c r="AN73" s="71"/>
      <c r="AO73" s="1498"/>
      <c r="AP73" s="1498"/>
      <c r="AQ73" s="1498"/>
      <c r="AR73" s="1498"/>
      <c r="AS73" s="1480"/>
      <c r="AT73" s="417"/>
      <c r="AU73" s="803"/>
      <c r="AV73" s="803"/>
      <c r="AW73" s="803"/>
      <c r="AX73" s="803"/>
    </row>
    <row r="74" spans="1:50" s="180" customFormat="1" ht="15" customHeight="1" x14ac:dyDescent="0.25">
      <c r="A74" s="1508" t="s">
        <v>585</v>
      </c>
      <c r="B74" s="861"/>
      <c r="C74" s="185"/>
      <c r="D74" s="18"/>
      <c r="E74" s="18">
        <v>1</v>
      </c>
      <c r="F74" s="18" t="str">
        <f>+CONCATENATE($B$10,"",$C$72,"",$D$73,"00",E74)</f>
        <v>21.03.001.001</v>
      </c>
      <c r="G74" s="1532" t="s">
        <v>42</v>
      </c>
      <c r="H74" s="1295">
        <f>+'P01 2023'!F65</f>
        <v>1461411.9890000001</v>
      </c>
      <c r="I74" s="99">
        <f>+'P01 2023'!BB65</f>
        <v>1458358.9920000001</v>
      </c>
      <c r="J74" s="19">
        <f ca="1">SUMIF(S$3:$AH65,"ok",S74:AH74)</f>
        <v>364742.98800000001</v>
      </c>
      <c r="K74" s="740">
        <f t="shared" ca="1" si="5"/>
        <v>0.25010507700836393</v>
      </c>
      <c r="L74" s="99">
        <f>+'P01 2023'!BC65</f>
        <v>364742.98800000001</v>
      </c>
      <c r="M74" s="740">
        <f t="shared" si="23"/>
        <v>0.25010507700836393</v>
      </c>
      <c r="N74" s="99">
        <f>+'P01 2023'!BE65</f>
        <v>1093616.004</v>
      </c>
      <c r="O74" s="631">
        <f t="shared" si="24"/>
        <v>0.74989492299163596</v>
      </c>
      <c r="P74" s="1519">
        <f>+'P01 2022'!AZ59</f>
        <v>1238856.3419999999</v>
      </c>
      <c r="Q74" s="1121">
        <f ca="1">SUMIF(S$3:$AH66,"SI",S74:AH74)</f>
        <v>411950.883867</v>
      </c>
      <c r="R74" s="1308">
        <f t="shared" ca="1" si="25"/>
        <v>0.33252514428101465</v>
      </c>
      <c r="S74" s="1320">
        <f>+'P01 2023'!I65</f>
        <v>83834.885999999999</v>
      </c>
      <c r="T74" s="1186">
        <f>+'P01 2022'!F59</f>
        <v>108058.67503500001</v>
      </c>
      <c r="U74" s="1295">
        <f>+'P01 2023'!N42</f>
        <v>90134.706999999995</v>
      </c>
      <c r="V74" s="1345">
        <f>+'P01 2022'!M44</f>
        <v>107125.96588199999</v>
      </c>
      <c r="W74" s="578">
        <f>+'P01 2023'!AD55</f>
        <v>95274.380999999994</v>
      </c>
      <c r="X74" s="1345">
        <f>+'P01 2022'!AB54</f>
        <v>107517.88335199999</v>
      </c>
      <c r="Y74" s="1295">
        <f>+'P01 2023'!AT53</f>
        <v>95499.013999999996</v>
      </c>
      <c r="Z74" s="1186">
        <f>+'P01 2022'!AQ54</f>
        <v>89248.359597999995</v>
      </c>
      <c r="AA74" s="219">
        <f>+'P01 2022'!BI43</f>
        <v>100960.182</v>
      </c>
      <c r="AB74" s="19">
        <f>+'P01 2022'!CC55</f>
        <v>86852.638999999996</v>
      </c>
      <c r="AC74" s="19">
        <f>+'P01 2022'!CY53</f>
        <v>79427.247000000003</v>
      </c>
      <c r="AD74" s="19">
        <f>+'P01 2022'!DR45</f>
        <v>74797.108999999997</v>
      </c>
      <c r="AE74" s="1345">
        <f>+'P01 2022'!EJ51</f>
        <v>87746.687000000005</v>
      </c>
      <c r="AF74" s="333">
        <f>+'P01 2022'!FC50</f>
        <v>92094.542000000001</v>
      </c>
      <c r="AG74" s="19">
        <f>+'P01 2022'!GA52</f>
        <v>87610.634000000005</v>
      </c>
      <c r="AH74" s="1186">
        <f>+'P01 2022'!GX58</f>
        <v>97442.441999999995</v>
      </c>
      <c r="AI74" s="71"/>
      <c r="AJ74" s="1421"/>
      <c r="AK74" s="1421"/>
      <c r="AL74" s="1421"/>
      <c r="AM74" s="1421"/>
      <c r="AN74" s="71"/>
      <c r="AO74" s="1498"/>
      <c r="AP74" s="1498"/>
      <c r="AQ74" s="1498"/>
      <c r="AR74" s="1498"/>
      <c r="AS74" s="1480"/>
      <c r="AT74" s="417"/>
      <c r="AU74" s="803"/>
      <c r="AV74" s="803"/>
      <c r="AW74" s="803"/>
      <c r="AX74" s="803"/>
    </row>
    <row r="75" spans="1:50" s="180" customFormat="1" ht="15" customHeight="1" x14ac:dyDescent="0.25">
      <c r="A75" s="1508" t="s">
        <v>586</v>
      </c>
      <c r="B75" s="861"/>
      <c r="C75" s="185"/>
      <c r="D75" s="18"/>
      <c r="E75" s="18">
        <v>2</v>
      </c>
      <c r="F75" s="18" t="str">
        <f>+CONCATENATE($B$10,"",$C$72,"",$D$73,"00",E75)</f>
        <v>21.03.001.002</v>
      </c>
      <c r="G75" s="1532" t="s">
        <v>43</v>
      </c>
      <c r="H75" s="1295">
        <f>+'P01 2023'!F66</f>
        <v>10600.011</v>
      </c>
      <c r="I75" s="99">
        <f>+'P01 2023'!BB66</f>
        <v>13653.008</v>
      </c>
      <c r="J75" s="19">
        <f ca="1">SUMIF(S$3:$AH66,"ok",S75:AH75)</f>
        <v>8290.5519999999997</v>
      </c>
      <c r="K75" s="740">
        <f t="shared" ca="1" si="5"/>
        <v>0.60723263327758981</v>
      </c>
      <c r="L75" s="99">
        <f>+'P01 2023'!BC66</f>
        <v>8290.5519999999997</v>
      </c>
      <c r="M75" s="740">
        <f t="shared" si="23"/>
        <v>0.60723263327758981</v>
      </c>
      <c r="N75" s="99">
        <f>+'P01 2023'!BE66</f>
        <v>5362.4560000000001</v>
      </c>
      <c r="O75" s="631">
        <f t="shared" si="24"/>
        <v>0.39276736672241019</v>
      </c>
      <c r="P75" s="1519">
        <f>+'P01 2022'!AZ60</f>
        <v>5315</v>
      </c>
      <c r="Q75" s="1121">
        <f ca="1">SUMIF(S$3:$AH68,"SI",S75:AH75)</f>
        <v>1448.8615589999999</v>
      </c>
      <c r="R75" s="1308">
        <f t="shared" ca="1" si="25"/>
        <v>0.27259859999999997</v>
      </c>
      <c r="S75" s="1320">
        <f>+'P01 2023'!I66</f>
        <v>644.69100000000003</v>
      </c>
      <c r="T75" s="1186">
        <f>+'P01 2022'!F60</f>
        <v>528.239779</v>
      </c>
      <c r="U75" s="1295">
        <f>+'P01 2023'!N43</f>
        <v>3649.1559999999999</v>
      </c>
      <c r="V75" s="1345">
        <f>+'P01 2022'!M45</f>
        <v>22.282605999999998</v>
      </c>
      <c r="W75" s="578">
        <f>+'P01 2023'!AD56</f>
        <v>1788.598</v>
      </c>
      <c r="X75" s="1345">
        <f>+'P01 2022'!AB55</f>
        <v>48.364373999999998</v>
      </c>
      <c r="Y75" s="1295">
        <f>+'P01 2023'!AT54</f>
        <v>2208.107</v>
      </c>
      <c r="Z75" s="1186">
        <f>+'P01 2022'!AQ55</f>
        <v>849.97479999999996</v>
      </c>
      <c r="AA75" s="219">
        <f>+'P01 2022'!BI44</f>
        <v>1531.8209999999999</v>
      </c>
      <c r="AB75" s="19">
        <f>+'P01 2022'!CC56</f>
        <v>1195.5129999999999</v>
      </c>
      <c r="AC75" s="19">
        <f>+'P01 2022'!CY54</f>
        <v>1876.8910000000001</v>
      </c>
      <c r="AD75" s="19">
        <f>+'P01 2022'!DR46</f>
        <v>1988.7950000000001</v>
      </c>
      <c r="AE75" s="1345">
        <f>+'P01 2022'!EJ52</f>
        <v>1024.7940000000001</v>
      </c>
      <c r="AF75" s="333">
        <f>+'P01 2022'!FC51</f>
        <v>1061.473</v>
      </c>
      <c r="AG75" s="19">
        <f>+'P01 2022'!GA53</f>
        <v>1417.06</v>
      </c>
      <c r="AH75" s="1186">
        <f>+'P01 2022'!GX59</f>
        <v>1438.7909999999999</v>
      </c>
      <c r="AI75" s="71"/>
      <c r="AJ75" s="1421"/>
      <c r="AK75" s="1421"/>
      <c r="AL75" s="1421"/>
      <c r="AM75" s="1421"/>
      <c r="AN75" s="71"/>
      <c r="AO75" s="1498"/>
      <c r="AP75" s="1498"/>
      <c r="AQ75" s="1498"/>
      <c r="AR75" s="1498"/>
      <c r="AS75" s="1480"/>
      <c r="AT75" s="417"/>
      <c r="AU75" s="803"/>
      <c r="AV75" s="803"/>
      <c r="AW75" s="803"/>
      <c r="AX75" s="803"/>
    </row>
    <row r="76" spans="1:50" s="180" customFormat="1" ht="15" customHeight="1" x14ac:dyDescent="0.25">
      <c r="A76" s="1508" t="s">
        <v>376</v>
      </c>
      <c r="B76" s="861"/>
      <c r="C76" s="185"/>
      <c r="E76" s="18">
        <v>5</v>
      </c>
      <c r="F76" s="18" t="str">
        <f>+CONCATENATE($B$10,"",$C$72,"","00",E76)</f>
        <v>21.03.005</v>
      </c>
      <c r="G76" s="1532" t="s">
        <v>332</v>
      </c>
      <c r="H76" s="1295">
        <f>+'P01 2023'!F67</f>
        <v>37466.343000000001</v>
      </c>
      <c r="I76" s="99">
        <f>+'P01 2023'!BB67</f>
        <v>37466.343000000001</v>
      </c>
      <c r="J76" s="19">
        <f ca="1">SUMIF(S$3:$AH66,"ok",S76:AH76)</f>
        <v>6094.4560000000001</v>
      </c>
      <c r="K76" s="740">
        <f t="shared" ca="1" si="5"/>
        <v>0.16266482159734671</v>
      </c>
      <c r="L76" s="99">
        <f>+'P01 2023'!BC67</f>
        <v>6094.4560000000001</v>
      </c>
      <c r="M76" s="740">
        <f t="shared" si="23"/>
        <v>0.16266482159734671</v>
      </c>
      <c r="N76" s="99">
        <f>+'P01 2023'!BE67</f>
        <v>31371.886999999999</v>
      </c>
      <c r="O76" s="631">
        <f t="shared" si="24"/>
        <v>0.83733517840265326</v>
      </c>
      <c r="P76" s="1519">
        <f>+'P01 2022'!AZ61</f>
        <v>34576.528403999997</v>
      </c>
      <c r="Q76" s="1121">
        <f ca="1">SUMIF(S$3:$AH69,"SI",S76:AH76)</f>
        <v>12691.076212</v>
      </c>
      <c r="R76" s="1308">
        <f t="shared" ca="1" si="25"/>
        <v>0.36704310113828054</v>
      </c>
      <c r="S76" s="1320">
        <f>+'P01 2023'!I67</f>
        <v>3279.1039999999998</v>
      </c>
      <c r="T76" s="1186">
        <f>+'P01 2022'!F61</f>
        <v>4323.239071</v>
      </c>
      <c r="U76" s="1295">
        <f>+'P01 2023'!N44</f>
        <v>1639.5519999999999</v>
      </c>
      <c r="V76" s="1345">
        <f>+'P01 2022'!M46</f>
        <v>3401.7456310000002</v>
      </c>
      <c r="W76" s="578">
        <f>+'P01 2023'!AD57</f>
        <v>1175.8</v>
      </c>
      <c r="X76" s="1345">
        <f>+'P01 2022'!AB56</f>
        <v>4966.0915100000002</v>
      </c>
      <c r="Y76" s="1295">
        <f>+'P01 2023'!AT55</f>
        <v>0</v>
      </c>
      <c r="Z76" s="1186">
        <f>+'P01 2022'!AQ56</f>
        <v>0</v>
      </c>
      <c r="AA76" s="219">
        <v>0</v>
      </c>
      <c r="AB76" s="19">
        <f>+'P01 2022'!CC57</f>
        <v>0</v>
      </c>
      <c r="AC76" s="19">
        <v>0</v>
      </c>
      <c r="AD76" s="19">
        <v>0</v>
      </c>
      <c r="AE76" s="1345">
        <f>+'P01 2022'!EJ53</f>
        <v>4390.2579999999998</v>
      </c>
      <c r="AF76" s="333">
        <f>+'P01 2022'!FC52</f>
        <v>3001.7820000000002</v>
      </c>
      <c r="AG76" s="19">
        <f>+'P01 2022'!GA54</f>
        <v>2284.0309999999999</v>
      </c>
      <c r="AH76" s="1186">
        <f>+'P01 2022'!GX60</f>
        <v>4796.4579999999996</v>
      </c>
      <c r="AI76" s="71"/>
      <c r="AJ76" s="1421"/>
      <c r="AK76" s="1421"/>
      <c r="AL76" s="1421"/>
      <c r="AM76" s="1421"/>
      <c r="AN76" s="71"/>
      <c r="AO76" s="1498"/>
      <c r="AP76" s="1498"/>
      <c r="AQ76" s="1498"/>
      <c r="AR76" s="1498"/>
      <c r="AS76" s="1480"/>
      <c r="AT76" s="417"/>
      <c r="AU76" s="803"/>
      <c r="AV76" s="803"/>
      <c r="AW76" s="803"/>
      <c r="AX76" s="803"/>
    </row>
    <row r="77" spans="1:50" s="180" customFormat="1" ht="15" customHeight="1" x14ac:dyDescent="0.25">
      <c r="A77" s="1510" t="s">
        <v>377</v>
      </c>
      <c r="B77" s="861"/>
      <c r="C77" s="185"/>
      <c r="D77" s="18"/>
      <c r="E77" s="18"/>
      <c r="F77" s="18" t="s">
        <v>885</v>
      </c>
      <c r="G77" s="1532" t="s">
        <v>318</v>
      </c>
      <c r="H77" s="1295">
        <v>0</v>
      </c>
      <c r="I77" s="99">
        <v>0</v>
      </c>
      <c r="J77" s="19">
        <v>0</v>
      </c>
      <c r="K77" s="740">
        <f>IFERROR(J77/I77,"0,00"%)</f>
        <v>0</v>
      </c>
      <c r="L77" s="99">
        <v>0</v>
      </c>
      <c r="M77" s="740">
        <v>0</v>
      </c>
      <c r="N77" s="99">
        <v>0</v>
      </c>
      <c r="O77" s="631">
        <v>0</v>
      </c>
      <c r="P77" s="1519">
        <v>0</v>
      </c>
      <c r="Q77" s="1121">
        <f ca="1">SUMIF(S$3:$AH70,"SI",S77:AH77)</f>
        <v>0</v>
      </c>
      <c r="R77" s="1308">
        <v>0</v>
      </c>
      <c r="S77" s="1323">
        <v>0</v>
      </c>
      <c r="T77" s="1186">
        <v>0</v>
      </c>
      <c r="U77" s="1295">
        <v>0</v>
      </c>
      <c r="V77" s="1345">
        <v>0</v>
      </c>
      <c r="W77" s="578">
        <v>0</v>
      </c>
      <c r="X77" s="1345">
        <v>0</v>
      </c>
      <c r="Y77" s="1295">
        <v>0</v>
      </c>
      <c r="Z77" s="1186">
        <v>0</v>
      </c>
      <c r="AA77" s="219">
        <v>0</v>
      </c>
      <c r="AB77" s="19">
        <v>0</v>
      </c>
      <c r="AC77" s="19">
        <v>0</v>
      </c>
      <c r="AD77" s="19">
        <v>0</v>
      </c>
      <c r="AE77" s="1345">
        <f>+'P01 2022'!EJ54</f>
        <v>396</v>
      </c>
      <c r="AF77" s="333">
        <f>+'P01 2022'!FC53</f>
        <v>0</v>
      </c>
      <c r="AG77" s="19">
        <v>0</v>
      </c>
      <c r="AH77" s="1188">
        <v>0</v>
      </c>
      <c r="AI77" s="71"/>
      <c r="AJ77" s="1421"/>
      <c r="AK77" s="1421"/>
      <c r="AL77" s="1421"/>
      <c r="AM77" s="1421"/>
      <c r="AN77" s="71"/>
      <c r="AO77" s="1498"/>
      <c r="AP77" s="1498"/>
      <c r="AQ77" s="1498"/>
      <c r="AR77" s="1498"/>
      <c r="AS77" s="1480"/>
      <c r="AT77" s="417"/>
      <c r="AU77" s="803"/>
      <c r="AV77" s="803"/>
      <c r="AW77" s="803"/>
      <c r="AX77" s="803"/>
    </row>
    <row r="78" spans="1:50" s="180" customFormat="1" ht="15" customHeight="1" x14ac:dyDescent="0.25">
      <c r="A78" s="1508" t="s">
        <v>378</v>
      </c>
      <c r="B78" s="862">
        <v>22</v>
      </c>
      <c r="C78" s="187"/>
      <c r="D78" s="139"/>
      <c r="E78" s="139"/>
      <c r="F78" s="139"/>
      <c r="G78" s="1533" t="s">
        <v>15</v>
      </c>
      <c r="H78" s="1296">
        <f>+H79+H83+H85+H98+H107+H115+H118+H125+H130+H133+H138</f>
        <v>2322767.9980000001</v>
      </c>
      <c r="I78" s="129">
        <f>+'P01 2023'!BB68</f>
        <v>2702641</v>
      </c>
      <c r="J78" s="129">
        <f ca="1">SUMIF(S$3:$AH69,"ok",S78:AH78)</f>
        <v>632164.82999999996</v>
      </c>
      <c r="K78" s="844">
        <f t="shared" ref="K78:K141" ca="1" si="41">IFERROR(J78/I78,"0.00"%)</f>
        <v>0.23390632718144955</v>
      </c>
      <c r="L78" s="129">
        <f>+'P01 2023'!BC68</f>
        <v>1952226.0959999999</v>
      </c>
      <c r="M78" s="844">
        <f t="shared" ref="M78:M87" si="42">+IFERROR(L78/I78,0)</f>
        <v>0.72234014654554557</v>
      </c>
      <c r="N78" s="129">
        <f>+'P01 2023'!BE68</f>
        <v>750414.90399999998</v>
      </c>
      <c r="O78" s="1294">
        <f t="shared" ref="O78:O87" si="43">+IFERROR(N78/I78,0)</f>
        <v>0.27765985345445438</v>
      </c>
      <c r="P78" s="1518">
        <f>+'P01 2022'!AZ62</f>
        <v>2252797.8289999999</v>
      </c>
      <c r="Q78" s="1153">
        <f ca="1">+Q79+Q83+Q85+Q98+Q107+Q115+Q118+Q125+Q130+Q133+Q138</f>
        <v>489538.80846999999</v>
      </c>
      <c r="R78" s="1304" t="str">
        <f ca="1">IFERROR(Q78/#REF!,"0,00%")</f>
        <v>0,00%</v>
      </c>
      <c r="S78" s="1324">
        <f t="shared" ref="S78:AE78" si="44">+S79+S83+S85+S98+S107+S115+S118+S125+S130+S133+S138</f>
        <v>117051.287</v>
      </c>
      <c r="T78" s="379">
        <f t="shared" si="44"/>
        <v>42243.261769000004</v>
      </c>
      <c r="U78" s="1324">
        <f>+'P01 2023'!N45</f>
        <v>81155.466</v>
      </c>
      <c r="V78" s="1346">
        <f t="shared" si="44"/>
        <v>56774.177317999987</v>
      </c>
      <c r="W78" s="1398">
        <f>+'P01 2023'!AD58</f>
        <v>291068.60399999999</v>
      </c>
      <c r="X78" s="1346">
        <f t="shared" si="44"/>
        <v>158890.32093299998</v>
      </c>
      <c r="Y78" s="1324">
        <f>+Y79+Y83+Y85+Y98+Y107+Y115+Y118+Y125+Y130+Y133+Y138</f>
        <v>142889.473</v>
      </c>
      <c r="Z78" s="379">
        <f>+Z79+Z83+Z85+Z98+Z107+Z115+Z118+Z125+Z130+Z133+Z138</f>
        <v>231631.04845</v>
      </c>
      <c r="AA78" s="220">
        <f t="shared" si="44"/>
        <v>224847.921</v>
      </c>
      <c r="AB78" s="3">
        <f t="shared" si="44"/>
        <v>162206.43300000002</v>
      </c>
      <c r="AC78" s="3">
        <f t="shared" si="44"/>
        <v>329361.83799999999</v>
      </c>
      <c r="AD78" s="3">
        <f t="shared" si="44"/>
        <v>203262.435</v>
      </c>
      <c r="AE78" s="1346">
        <f t="shared" si="44"/>
        <v>281324.61599999998</v>
      </c>
      <c r="AF78" s="3">
        <f>+AF79+AF83+AF85+AF98+AF107+AF115+AF118+AF125+AF130+AF133+AF138</f>
        <v>214264.17299999998</v>
      </c>
      <c r="AG78" s="189">
        <f>+'P01 2022'!GA55</f>
        <v>229214.02600000001</v>
      </c>
      <c r="AH78" s="1185">
        <f>+'P01 2022'!GX61</f>
        <v>539148.86699999997</v>
      </c>
      <c r="AI78" s="71"/>
      <c r="AJ78" s="1421"/>
      <c r="AK78" s="1421"/>
      <c r="AL78" s="1421"/>
      <c r="AM78" s="1421"/>
      <c r="AN78" s="71"/>
      <c r="AO78" s="1498"/>
      <c r="AP78" s="1498"/>
      <c r="AQ78" s="1498"/>
      <c r="AR78" s="1498"/>
      <c r="AS78" s="1480"/>
      <c r="AT78" s="417"/>
      <c r="AU78" s="803"/>
      <c r="AV78" s="803"/>
      <c r="AW78" s="803"/>
      <c r="AX78" s="803"/>
    </row>
    <row r="79" spans="1:50" s="1149" customFormat="1" ht="15" customHeight="1" x14ac:dyDescent="0.25">
      <c r="A79" s="1511" t="s">
        <v>379</v>
      </c>
      <c r="B79" s="1189" t="s">
        <v>337</v>
      </c>
      <c r="C79" s="1159" t="s">
        <v>164</v>
      </c>
      <c r="D79" s="1228"/>
      <c r="E79" s="1160"/>
      <c r="F79" s="1160"/>
      <c r="G79" s="1534" t="s">
        <v>44</v>
      </c>
      <c r="H79" s="1297">
        <f>+H81+H82</f>
        <v>21440</v>
      </c>
      <c r="I79" s="129">
        <f>+'P01 2023'!BB69</f>
        <v>29533.501</v>
      </c>
      <c r="J79" s="129">
        <f ca="1">+J80+J81+J82</f>
        <v>14587.614999999998</v>
      </c>
      <c r="K79" s="844">
        <f t="shared" ca="1" si="41"/>
        <v>0.49393449831769004</v>
      </c>
      <c r="L79" s="129">
        <f>+'P01 2023'!BC69</f>
        <v>26729.491000000002</v>
      </c>
      <c r="M79" s="844">
        <f t="shared" si="42"/>
        <v>0.90505663382069068</v>
      </c>
      <c r="N79" s="129">
        <f>+'P01 2023'!BE69</f>
        <v>2804.01</v>
      </c>
      <c r="O79" s="1294">
        <f t="shared" si="43"/>
        <v>9.4943366179309402E-2</v>
      </c>
      <c r="P79" s="1521">
        <f>+SUM(P81:P82)</f>
        <v>10768.254842999999</v>
      </c>
      <c r="Q79" s="1154">
        <f ca="1">+SUM(Q81:Q82)</f>
        <v>0</v>
      </c>
      <c r="R79" s="1304">
        <f t="shared" ref="R79:R86" ca="1" si="45">IFERROR(Q79/P79,"0%")</f>
        <v>0</v>
      </c>
      <c r="S79" s="1327">
        <f>SUM(S80:S82)</f>
        <v>0</v>
      </c>
      <c r="T79" s="1213">
        <v>0</v>
      </c>
      <c r="U79" s="1324">
        <f>+'P01 2023'!N46</f>
        <v>7043.3850000000002</v>
      </c>
      <c r="V79" s="1350">
        <v>0</v>
      </c>
      <c r="W79" s="1398">
        <f>+'P01 2023'!AD59</f>
        <v>0</v>
      </c>
      <c r="X79" s="1350">
        <f>+SUM(X81:X82)</f>
        <v>0</v>
      </c>
      <c r="Y79" s="1325">
        <f>SUM(Y80:Y82)</f>
        <v>7544.23</v>
      </c>
      <c r="Z79" s="1213">
        <f>SUM(Z80:Z82)</f>
        <v>0</v>
      </c>
      <c r="AA79" s="1205">
        <f>SUM(AA80:AA82)</f>
        <v>0</v>
      </c>
      <c r="AB79" s="170">
        <f>SUM(AB80:AB82)</f>
        <v>8504.8919999999998</v>
      </c>
      <c r="AC79" s="170">
        <f>+AC81+AC82</f>
        <v>0</v>
      </c>
      <c r="AD79" s="170">
        <f>+SUM(AD81:AD82)</f>
        <v>0</v>
      </c>
      <c r="AE79" s="1350">
        <f>+SUM(AE81:AE82)</f>
        <v>0</v>
      </c>
      <c r="AF79" s="170">
        <f>+AF81+AF82+AF80</f>
        <v>359.38</v>
      </c>
      <c r="AG79" s="189">
        <f>+'P01 2022'!GA56</f>
        <v>1319.73</v>
      </c>
      <c r="AH79" s="1185">
        <f>+'P01 2022'!GX62</f>
        <v>8922.1440000000002</v>
      </c>
      <c r="AI79" s="71"/>
      <c r="AJ79" s="1421"/>
      <c r="AK79" s="1421"/>
      <c r="AL79" s="1421"/>
      <c r="AM79" s="1421"/>
      <c r="AN79" s="71"/>
      <c r="AO79" s="1498"/>
      <c r="AP79" s="1498"/>
      <c r="AQ79" s="1498"/>
      <c r="AR79" s="1498"/>
      <c r="AS79" s="1480"/>
      <c r="AT79" s="417"/>
      <c r="AU79" s="803"/>
      <c r="AV79" s="803"/>
      <c r="AW79" s="803"/>
      <c r="AX79" s="803"/>
    </row>
    <row r="80" spans="1:50" s="180" customFormat="1" ht="15" customHeight="1" x14ac:dyDescent="0.25">
      <c r="A80" s="1511" t="s">
        <v>587</v>
      </c>
      <c r="B80" s="1190" t="s">
        <v>337</v>
      </c>
      <c r="C80" s="1161"/>
      <c r="D80" s="1229" t="s">
        <v>169</v>
      </c>
      <c r="E80" s="1162"/>
      <c r="F80" s="1162" t="s">
        <v>819</v>
      </c>
      <c r="G80" s="1535" t="s">
        <v>475</v>
      </c>
      <c r="H80" s="1295">
        <v>0</v>
      </c>
      <c r="I80" s="99">
        <v>0</v>
      </c>
      <c r="J80" s="1155">
        <f ca="1">SUMIF(S$3:$AH69,"ok",S80:AH80)</f>
        <v>0</v>
      </c>
      <c r="K80" s="740">
        <f ca="1">IFERROR(J80/I80,"0,00"%)</f>
        <v>0</v>
      </c>
      <c r="L80" s="99">
        <v>0</v>
      </c>
      <c r="M80" s="740">
        <f t="shared" si="42"/>
        <v>0</v>
      </c>
      <c r="N80" s="99">
        <v>0</v>
      </c>
      <c r="O80" s="631">
        <f t="shared" si="43"/>
        <v>0</v>
      </c>
      <c r="P80" s="1520">
        <v>0</v>
      </c>
      <c r="Q80" s="1121">
        <f ca="1">SUMIF(S$3:$AH72,"SI",S80:AH80)</f>
        <v>0</v>
      </c>
      <c r="R80" s="1308" t="str">
        <f ca="1">IFERROR(Q80/P80,"0,00%")</f>
        <v>0,00%</v>
      </c>
      <c r="S80" s="1323">
        <v>0</v>
      </c>
      <c r="T80" s="1214">
        <v>0</v>
      </c>
      <c r="U80" s="1332">
        <v>0</v>
      </c>
      <c r="V80" s="1351">
        <v>0</v>
      </c>
      <c r="W80" s="1399">
        <v>0</v>
      </c>
      <c r="X80" s="1351">
        <v>0</v>
      </c>
      <c r="Y80" s="1332">
        <v>0</v>
      </c>
      <c r="Z80" s="1214">
        <v>0</v>
      </c>
      <c r="AA80" s="1312">
        <v>0</v>
      </c>
      <c r="AB80" s="1157">
        <v>0</v>
      </c>
      <c r="AC80" s="1157">
        <v>0</v>
      </c>
      <c r="AD80" s="1157">
        <v>0</v>
      </c>
      <c r="AE80" s="1351">
        <v>0</v>
      </c>
      <c r="AF80" s="333">
        <f>+'P01 2022'!FC56</f>
        <v>359.38</v>
      </c>
      <c r="AG80" s="19">
        <f>+'P01 2022'!GA57</f>
        <v>0</v>
      </c>
      <c r="AH80" s="1191">
        <v>0</v>
      </c>
      <c r="AI80" s="71"/>
      <c r="AJ80" s="1421"/>
      <c r="AK80" s="1421"/>
      <c r="AL80" s="1421"/>
      <c r="AM80" s="1421"/>
      <c r="AN80" s="71"/>
      <c r="AO80" s="1498"/>
      <c r="AP80" s="1498"/>
      <c r="AQ80" s="1498"/>
      <c r="AR80" s="1498"/>
      <c r="AS80" s="1480"/>
      <c r="AT80" s="417"/>
      <c r="AU80" s="803"/>
      <c r="AV80" s="803"/>
      <c r="AW80" s="803"/>
      <c r="AX80" s="803"/>
    </row>
    <row r="81" spans="1:50" s="180" customFormat="1" ht="15" customHeight="1" x14ac:dyDescent="0.25">
      <c r="A81" s="1508" t="s">
        <v>588</v>
      </c>
      <c r="B81" s="861"/>
      <c r="C81" s="185"/>
      <c r="D81" s="18" t="s">
        <v>165</v>
      </c>
      <c r="E81" s="18"/>
      <c r="F81" s="18" t="str">
        <f>+CONCATENATE($B$78,"",$C$79,"",$D$81)</f>
        <v>22.02.002</v>
      </c>
      <c r="G81" s="1532" t="s">
        <v>45</v>
      </c>
      <c r="H81" s="1295">
        <f>+'P01 2023'!F70</f>
        <v>18040</v>
      </c>
      <c r="I81" s="99">
        <f>+'P01 2023'!BB70</f>
        <v>19840.396000000001</v>
      </c>
      <c r="J81" s="1155">
        <f ca="1">SUMIF(S$3:$AH70,"ok",S81:AH81)</f>
        <v>6864.73</v>
      </c>
      <c r="K81" s="740">
        <f t="shared" ca="1" si="41"/>
        <v>0.34599763028923414</v>
      </c>
      <c r="L81" s="99">
        <f>+'P01 2023'!BC70</f>
        <v>19006.606</v>
      </c>
      <c r="M81" s="740">
        <f t="shared" si="42"/>
        <v>0.95797513315762439</v>
      </c>
      <c r="N81" s="99">
        <f>+'P01 2023'!BE70</f>
        <v>833.79</v>
      </c>
      <c r="O81" s="631">
        <f t="shared" si="43"/>
        <v>4.2024866842375525E-2</v>
      </c>
      <c r="P81" s="1520">
        <f>+'P01 2022'!AZ64</f>
        <v>7285.8668429999989</v>
      </c>
      <c r="Q81" s="1121">
        <f ca="1">SUMIF(S$3:$AH73,"SI",S81:AH81)</f>
        <v>0</v>
      </c>
      <c r="R81" s="1308">
        <f t="shared" ca="1" si="45"/>
        <v>0</v>
      </c>
      <c r="S81" s="1323">
        <v>0</v>
      </c>
      <c r="T81" s="1186">
        <v>0</v>
      </c>
      <c r="U81" s="1295">
        <f>+'P01 2023'!N47</f>
        <v>750.28</v>
      </c>
      <c r="V81" s="1345">
        <v>0</v>
      </c>
      <c r="W81" s="578">
        <v>0</v>
      </c>
      <c r="X81" s="1345">
        <v>0</v>
      </c>
      <c r="Y81" s="1295">
        <f>+'P01 2023'!AT58</f>
        <v>6114.45</v>
      </c>
      <c r="Z81" s="1186">
        <f>+'P01 2022'!AQ59</f>
        <v>0</v>
      </c>
      <c r="AA81" s="1312">
        <f>+'P01 2022'!BI48</f>
        <v>0</v>
      </c>
      <c r="AB81" s="19">
        <f>+'P01 2022'!CC60</f>
        <v>6960.4920000000002</v>
      </c>
      <c r="AC81" s="1157">
        <f>+'P01 2022'!CY57</f>
        <v>0</v>
      </c>
      <c r="AD81" s="19">
        <v>0</v>
      </c>
      <c r="AE81" s="1345">
        <v>0</v>
      </c>
      <c r="AF81" s="1359">
        <v>0</v>
      </c>
      <c r="AG81" s="19">
        <f>+'P01 2022'!GA58</f>
        <v>0</v>
      </c>
      <c r="AH81" s="1186">
        <f>+'P01 2022'!GX63</f>
        <v>8922.1440000000002</v>
      </c>
      <c r="AI81" s="71"/>
      <c r="AJ81" s="1421"/>
      <c r="AK81" s="1421"/>
      <c r="AL81" s="1421"/>
      <c r="AM81" s="1421"/>
      <c r="AN81" s="71"/>
      <c r="AO81" s="1498"/>
      <c r="AP81" s="1498"/>
      <c r="AQ81" s="1498"/>
      <c r="AR81" s="1498"/>
      <c r="AS81" s="1480"/>
      <c r="AT81" s="417"/>
      <c r="AU81" s="803"/>
      <c r="AV81" s="803"/>
      <c r="AW81" s="803"/>
      <c r="AX81" s="803"/>
    </row>
    <row r="82" spans="1:50" s="180" customFormat="1" ht="15" customHeight="1" x14ac:dyDescent="0.25">
      <c r="A82" s="1508" t="s">
        <v>380</v>
      </c>
      <c r="B82" s="861"/>
      <c r="C82" s="185"/>
      <c r="D82" s="18" t="s">
        <v>166</v>
      </c>
      <c r="E82" s="18"/>
      <c r="F82" s="18" t="str">
        <f>+CONCATENATE($B$78,"",$C$79,"",D82)</f>
        <v>22.02.003</v>
      </c>
      <c r="G82" s="1532" t="s">
        <v>126</v>
      </c>
      <c r="H82" s="1295">
        <f>+'P01 2023'!F71</f>
        <v>3400</v>
      </c>
      <c r="I82" s="99">
        <f>+'P01 2023'!BB71</f>
        <v>9693.1049999999996</v>
      </c>
      <c r="J82" s="1155">
        <f ca="1">SUMIF(S$3:$AH71,"ok",S82:AH82)</f>
        <v>7722.8849999999993</v>
      </c>
      <c r="K82" s="740">
        <f t="shared" ca="1" si="41"/>
        <v>0.79674005388366265</v>
      </c>
      <c r="L82" s="99">
        <f>+'P01 2023'!BC71</f>
        <v>7722.8850000000002</v>
      </c>
      <c r="M82" s="740">
        <f t="shared" si="42"/>
        <v>0.79674005388366276</v>
      </c>
      <c r="N82" s="99">
        <f>+'P01 2023'!BE71</f>
        <v>1970.22</v>
      </c>
      <c r="O82" s="631">
        <f t="shared" si="43"/>
        <v>0.20325994611633735</v>
      </c>
      <c r="P82" s="1520">
        <f>+'P01 2022'!AZ65</f>
        <v>3482.3879999999999</v>
      </c>
      <c r="Q82" s="1121">
        <f ca="1">SUMIF(S$3:$AH74,"SI",S82:AH82)</f>
        <v>0</v>
      </c>
      <c r="R82" s="1308">
        <f t="shared" ca="1" si="45"/>
        <v>0</v>
      </c>
      <c r="S82" s="1323">
        <v>0</v>
      </c>
      <c r="T82" s="1186">
        <v>0</v>
      </c>
      <c r="U82" s="1295">
        <f>+'P01 2023'!N48</f>
        <v>6293.1049999999996</v>
      </c>
      <c r="V82" s="1345">
        <v>0</v>
      </c>
      <c r="W82" s="578">
        <v>0</v>
      </c>
      <c r="X82" s="1345">
        <v>0</v>
      </c>
      <c r="Y82" s="1295">
        <f>+'P01 2023'!AT59</f>
        <v>1429.78</v>
      </c>
      <c r="Z82" s="1187">
        <v>0</v>
      </c>
      <c r="AA82" s="1395">
        <v>0</v>
      </c>
      <c r="AB82" s="19">
        <f>+'P01 2022'!CC61</f>
        <v>1544.4</v>
      </c>
      <c r="AC82" s="1157">
        <f>+'P01 2022'!CY58</f>
        <v>0</v>
      </c>
      <c r="AD82" s="19">
        <v>0</v>
      </c>
      <c r="AE82" s="1345">
        <v>0</v>
      </c>
      <c r="AF82" s="1359">
        <v>0</v>
      </c>
      <c r="AG82" s="19">
        <f>+'P01 2022'!GA59</f>
        <v>1319.73</v>
      </c>
      <c r="AH82" s="1191">
        <v>0</v>
      </c>
      <c r="AI82" s="71"/>
      <c r="AJ82" s="1421"/>
      <c r="AK82" s="1421"/>
      <c r="AL82" s="1421"/>
      <c r="AM82" s="1421"/>
      <c r="AN82" s="71"/>
      <c r="AO82" s="1498"/>
      <c r="AP82" s="1498"/>
      <c r="AQ82" s="1498"/>
      <c r="AR82" s="1498"/>
      <c r="AS82" s="1480"/>
      <c r="AT82" s="417"/>
      <c r="AU82" s="803"/>
      <c r="AV82" s="803"/>
      <c r="AW82" s="803"/>
      <c r="AX82" s="803"/>
    </row>
    <row r="83" spans="1:50" s="1149" customFormat="1" ht="15" customHeight="1" x14ac:dyDescent="0.25">
      <c r="A83" s="1508" t="s">
        <v>502</v>
      </c>
      <c r="B83" s="862"/>
      <c r="C83" s="187" t="s">
        <v>167</v>
      </c>
      <c r="D83" s="139"/>
      <c r="E83" s="139"/>
      <c r="F83" s="139"/>
      <c r="G83" s="1536" t="s">
        <v>46</v>
      </c>
      <c r="H83" s="1296">
        <v>0</v>
      </c>
      <c r="I83" s="129">
        <v>0</v>
      </c>
      <c r="J83" s="129">
        <f ca="1">SUMIF(S$3:$AH74,"ok",S83:AH83)</f>
        <v>0</v>
      </c>
      <c r="K83" s="844">
        <f ca="1">IFERROR(J83/I83,"0,00"%)</f>
        <v>0</v>
      </c>
      <c r="L83" s="129">
        <v>0</v>
      </c>
      <c r="M83" s="844">
        <f t="shared" si="42"/>
        <v>0</v>
      </c>
      <c r="N83" s="129">
        <v>0</v>
      </c>
      <c r="O83" s="1294">
        <f t="shared" si="43"/>
        <v>0</v>
      </c>
      <c r="P83" s="1522">
        <f>+P84</f>
        <v>0</v>
      </c>
      <c r="Q83" s="1153">
        <f ca="1">SUMIF(S$3:$AH75,"SI",S83:AH83)</f>
        <v>0</v>
      </c>
      <c r="R83" s="1304" t="str">
        <f ca="1">IFERROR(Q83/P83,"0,00%")</f>
        <v>0,00%</v>
      </c>
      <c r="S83" s="1327">
        <v>0</v>
      </c>
      <c r="T83" s="379">
        <v>0</v>
      </c>
      <c r="U83" s="1324">
        <v>0</v>
      </c>
      <c r="V83" s="247">
        <v>0</v>
      </c>
      <c r="W83" s="385">
        <v>0</v>
      </c>
      <c r="X83" s="247">
        <v>0</v>
      </c>
      <c r="Y83" s="1324">
        <f>SUM(Y84)</f>
        <v>0</v>
      </c>
      <c r="Z83" s="379">
        <f>SUM(Z84)</f>
        <v>0</v>
      </c>
      <c r="AA83" s="220">
        <v>0</v>
      </c>
      <c r="AB83" s="3">
        <v>0</v>
      </c>
      <c r="AC83" s="3">
        <v>0</v>
      </c>
      <c r="AD83" s="3">
        <f>+AD84</f>
        <v>0</v>
      </c>
      <c r="AE83" s="1346">
        <f>+AE84</f>
        <v>30000</v>
      </c>
      <c r="AF83" s="17">
        <v>0</v>
      </c>
      <c r="AG83" s="189">
        <f>+'P01 2022'!GA60</f>
        <v>30000</v>
      </c>
      <c r="AH83" s="1185">
        <v>0</v>
      </c>
      <c r="AI83" s="71"/>
      <c r="AJ83" s="1421"/>
      <c r="AK83" s="1421"/>
      <c r="AL83" s="1421"/>
      <c r="AM83" s="1421"/>
      <c r="AN83" s="71"/>
      <c r="AO83" s="1498"/>
      <c r="AP83" s="1498"/>
      <c r="AQ83" s="1498"/>
      <c r="AR83" s="1498"/>
      <c r="AS83" s="1480"/>
      <c r="AT83" s="417"/>
      <c r="AU83" s="803"/>
      <c r="AV83" s="803"/>
      <c r="AW83" s="803"/>
      <c r="AX83" s="803"/>
    </row>
    <row r="84" spans="1:50" s="180" customFormat="1" ht="15" customHeight="1" x14ac:dyDescent="0.25">
      <c r="A84" s="1508" t="s">
        <v>503</v>
      </c>
      <c r="B84" s="861"/>
      <c r="C84" s="185"/>
      <c r="D84" s="18" t="s">
        <v>169</v>
      </c>
      <c r="E84" s="18"/>
      <c r="F84" s="18" t="str">
        <f>+CONCATENATE($B$78,"",$C$83,"",D84)</f>
        <v>22.03.001</v>
      </c>
      <c r="G84" s="1532" t="s">
        <v>103</v>
      </c>
      <c r="H84" s="1295">
        <v>0</v>
      </c>
      <c r="I84" s="99">
        <v>0</v>
      </c>
      <c r="J84" s="19">
        <v>0</v>
      </c>
      <c r="K84" s="740">
        <f>IFERROR(J84/I84,"0,00"%)</f>
        <v>0</v>
      </c>
      <c r="L84" s="99">
        <v>0</v>
      </c>
      <c r="M84" s="740">
        <f t="shared" si="42"/>
        <v>0</v>
      </c>
      <c r="N84" s="99">
        <v>0</v>
      </c>
      <c r="O84" s="631">
        <f t="shared" si="43"/>
        <v>0</v>
      </c>
      <c r="P84" s="1520">
        <v>0</v>
      </c>
      <c r="Q84" s="1121">
        <f ca="1">SUMIF(S$3:$AH76,"SI",S84:AH84)</f>
        <v>0</v>
      </c>
      <c r="R84" s="1308" t="str">
        <f ca="1">IFERROR(Q84/P84,"0,00%")</f>
        <v>0,00%</v>
      </c>
      <c r="S84" s="1323">
        <v>0</v>
      </c>
      <c r="T84" s="1186">
        <v>0</v>
      </c>
      <c r="U84" s="1295">
        <v>0</v>
      </c>
      <c r="V84" s="1345">
        <v>0</v>
      </c>
      <c r="W84" s="578">
        <v>0</v>
      </c>
      <c r="X84" s="1345">
        <v>0</v>
      </c>
      <c r="Y84" s="1295">
        <v>0</v>
      </c>
      <c r="Z84" s="1187">
        <v>0</v>
      </c>
      <c r="AA84" s="219">
        <v>0</v>
      </c>
      <c r="AB84" s="19"/>
      <c r="AC84" s="19">
        <v>0</v>
      </c>
      <c r="AD84" s="19">
        <v>0</v>
      </c>
      <c r="AE84" s="1345">
        <f>+'P01 2022'!EJ59</f>
        <v>30000</v>
      </c>
      <c r="AF84" s="1359">
        <v>0</v>
      </c>
      <c r="AG84" s="19">
        <f>+'P01 2022'!GA61</f>
        <v>30000</v>
      </c>
      <c r="AH84" s="1191">
        <v>0</v>
      </c>
      <c r="AI84" s="71"/>
      <c r="AJ84" s="1421"/>
      <c r="AK84" s="1421"/>
      <c r="AL84" s="1421"/>
      <c r="AM84" s="1421"/>
      <c r="AN84" s="71"/>
      <c r="AO84" s="1498"/>
      <c r="AP84" s="1498"/>
      <c r="AQ84" s="1498"/>
      <c r="AR84" s="1498"/>
      <c r="AS84" s="1480"/>
      <c r="AT84" s="417"/>
      <c r="AU84" s="803"/>
      <c r="AV84" s="803"/>
      <c r="AW84" s="803"/>
      <c r="AX84" s="803"/>
    </row>
    <row r="85" spans="1:50" s="1149" customFormat="1" ht="15" customHeight="1" x14ac:dyDescent="0.25">
      <c r="A85" s="1508" t="s">
        <v>381</v>
      </c>
      <c r="B85" s="862"/>
      <c r="C85" s="187" t="s">
        <v>168</v>
      </c>
      <c r="D85" s="139"/>
      <c r="E85" s="139"/>
      <c r="F85" s="139"/>
      <c r="G85" s="1536" t="s">
        <v>47</v>
      </c>
      <c r="H85" s="1296">
        <f>SUM(H86:H97)</f>
        <v>17964.188000000002</v>
      </c>
      <c r="I85" s="17">
        <f t="shared" ref="I85:N85" si="46">SUM(I86:I97)</f>
        <v>29523.749999999996</v>
      </c>
      <c r="J85" s="17">
        <f t="shared" ca="1" si="46"/>
        <v>16607.809000000001</v>
      </c>
      <c r="K85" s="844">
        <f t="shared" ca="1" si="41"/>
        <v>0.56252369702358285</v>
      </c>
      <c r="L85" s="17">
        <f>SUM(L86:L97)</f>
        <v>26055.214</v>
      </c>
      <c r="M85" s="844">
        <f t="shared" si="42"/>
        <v>0.88251709217155694</v>
      </c>
      <c r="N85" s="17">
        <f t="shared" si="46"/>
        <v>3468.5370000000003</v>
      </c>
      <c r="O85" s="1294">
        <f t="shared" si="43"/>
        <v>0.11748294169947926</v>
      </c>
      <c r="P85" s="1522">
        <f>+SUM(P86:P97)</f>
        <v>34000.671539999996</v>
      </c>
      <c r="Q85" s="1153">
        <f ca="1">+SUM(Q86:Q97)</f>
        <v>13609.596440999998</v>
      </c>
      <c r="R85" s="1304">
        <f t="shared" ca="1" si="45"/>
        <v>0.40027434237553294</v>
      </c>
      <c r="S85" s="1324">
        <f t="shared" ref="S85:AD85" si="47">SUM(S86:S97)</f>
        <v>748.69</v>
      </c>
      <c r="T85" s="379">
        <f t="shared" si="47"/>
        <v>433.67317300000002</v>
      </c>
      <c r="U85" s="1324">
        <f>+'P01 2023'!N49</f>
        <v>4658.933</v>
      </c>
      <c r="V85" s="1346">
        <f t="shared" si="47"/>
        <v>2787.13285</v>
      </c>
      <c r="W85" s="1398">
        <f>SUM(W86:W97)</f>
        <v>5586.9179999999997</v>
      </c>
      <c r="X85" s="1346">
        <f t="shared" si="47"/>
        <v>4141.918909</v>
      </c>
      <c r="Y85" s="1324">
        <f>SUM(Y86:Y97)</f>
        <v>5613.268</v>
      </c>
      <c r="Z85" s="379">
        <f>SUM(Z86:Z97)</f>
        <v>6246.8715089999996</v>
      </c>
      <c r="AA85" s="220">
        <f t="shared" si="47"/>
        <v>8283.7750000000015</v>
      </c>
      <c r="AB85" s="3">
        <f t="shared" si="47"/>
        <v>5848.6459999999997</v>
      </c>
      <c r="AC85" s="3">
        <f t="shared" si="47"/>
        <v>1318.5229999999999</v>
      </c>
      <c r="AD85" s="3">
        <f t="shared" si="47"/>
        <v>4891.3889999999992</v>
      </c>
      <c r="AE85" s="1346">
        <f>+AE86+AE87+AE88+AE90+AE92+AE94+AE95+AE96</f>
        <v>12020.491</v>
      </c>
      <c r="AF85" s="17">
        <f>SUM(AF86:AF97)</f>
        <v>4119.9880000000003</v>
      </c>
      <c r="AG85" s="189">
        <f>+'P01 2022'!GA62</f>
        <v>2792.7370000000001</v>
      </c>
      <c r="AH85" s="1185">
        <f>+'P01 2022'!GX64</f>
        <v>18032.29</v>
      </c>
      <c r="AI85" s="71"/>
      <c r="AJ85" s="1421"/>
      <c r="AK85" s="1421"/>
      <c r="AL85" s="1421"/>
      <c r="AM85" s="1421"/>
      <c r="AN85" s="71"/>
      <c r="AO85" s="1498"/>
      <c r="AP85" s="1498"/>
      <c r="AQ85" s="1498"/>
      <c r="AR85" s="1498"/>
      <c r="AS85" s="1480"/>
      <c r="AT85" s="417"/>
      <c r="AU85" s="803"/>
      <c r="AV85" s="803"/>
      <c r="AW85" s="803"/>
      <c r="AX85" s="803"/>
    </row>
    <row r="86" spans="1:50" s="180" customFormat="1" ht="15" customHeight="1" x14ac:dyDescent="0.25">
      <c r="A86" s="1508" t="s">
        <v>382</v>
      </c>
      <c r="B86" s="861"/>
      <c r="C86" s="185"/>
      <c r="D86" s="18" t="s">
        <v>169</v>
      </c>
      <c r="E86" s="18"/>
      <c r="F86" s="18" t="str">
        <f>+CONCATENATE($B$78,"",$C$85,"",D86)</f>
        <v>22.04.001</v>
      </c>
      <c r="G86" s="1532" t="s">
        <v>104</v>
      </c>
      <c r="H86" s="1295">
        <f>+'P01 2023'!F73</f>
        <v>3403.8980000000001</v>
      </c>
      <c r="I86" s="99">
        <f>+'P01 2023'!BB73</f>
        <v>2427.6410000000001</v>
      </c>
      <c r="J86" s="19">
        <f ca="1">SUMIF(S$3:$AH76,"ok",S86:AH86)</f>
        <v>852.73</v>
      </c>
      <c r="K86" s="740">
        <f t="shared" ca="1" si="41"/>
        <v>0.35125869105028296</v>
      </c>
      <c r="L86" s="99">
        <f>+'P01 2023'!BC73</f>
        <v>1134.76</v>
      </c>
      <c r="M86" s="740">
        <f t="shared" si="42"/>
        <v>0.46743319955462936</v>
      </c>
      <c r="N86" s="99">
        <f>+'P01 2023'!BE73</f>
        <v>1292.8810000000001</v>
      </c>
      <c r="O86" s="631">
        <f t="shared" si="43"/>
        <v>0.53256680044537064</v>
      </c>
      <c r="P86" s="1520">
        <f>+'P01 2022'!AZ67</f>
        <v>3374.0300319999997</v>
      </c>
      <c r="Q86" s="1121">
        <f ca="1">SUMIF(S$3:$AH76,"SI",S86:AH86)</f>
        <v>445.49373299999996</v>
      </c>
      <c r="R86" s="1308">
        <f t="shared" ca="1" si="45"/>
        <v>0.13203609000952721</v>
      </c>
      <c r="S86" s="1328">
        <f>+'P01 2023'!I73</f>
        <v>6.99</v>
      </c>
      <c r="T86" s="1186">
        <f>+'P01 2022'!F67</f>
        <v>26.13917</v>
      </c>
      <c r="U86" s="1295">
        <f>+'P01 2023'!N50</f>
        <v>290.36</v>
      </c>
      <c r="V86" s="1345">
        <v>0</v>
      </c>
      <c r="W86" s="578">
        <f>+'P01 2023'!AD63</f>
        <v>100</v>
      </c>
      <c r="X86" s="1345">
        <f>+'P01 2022'!AB59</f>
        <v>251.46328</v>
      </c>
      <c r="Y86" s="1295">
        <f>+'P01 2023'!AT61</f>
        <v>455.38</v>
      </c>
      <c r="Z86" s="1186">
        <f>+'P01 2022'!AQ61</f>
        <v>167.89128299999999</v>
      </c>
      <c r="AA86" s="1312">
        <f>+'P01 2022'!BI50</f>
        <v>237.048</v>
      </c>
      <c r="AB86" s="19">
        <f>+'P01 2022'!CC63</f>
        <v>1197.4870000000001</v>
      </c>
      <c r="AC86" s="19">
        <f>+'P01 2022'!CY60</f>
        <v>149.25</v>
      </c>
      <c r="AD86" s="19">
        <f>+'P01 2022'!DR53</f>
        <v>2472.1819999999998</v>
      </c>
      <c r="AE86" s="1345">
        <v>0</v>
      </c>
      <c r="AF86" s="333">
        <f>+'P01 2022'!FC58</f>
        <v>249.54300000000001</v>
      </c>
      <c r="AG86" s="19">
        <f>+'P01 2022'!GA63</f>
        <v>680.96</v>
      </c>
      <c r="AH86" s="1186">
        <f>+'P01 2022'!GX65</f>
        <v>6399.67</v>
      </c>
      <c r="AI86" s="71"/>
      <c r="AJ86" s="1421"/>
      <c r="AK86" s="1421"/>
      <c r="AL86" s="1421"/>
      <c r="AM86" s="1421"/>
      <c r="AN86" s="71"/>
      <c r="AO86" s="1498"/>
      <c r="AP86" s="1498"/>
      <c r="AQ86" s="1498"/>
      <c r="AR86" s="1498"/>
      <c r="AS86" s="1480"/>
      <c r="AT86" s="417"/>
      <c r="AU86" s="803"/>
      <c r="AV86" s="803"/>
      <c r="AW86" s="803"/>
      <c r="AX86" s="803"/>
    </row>
    <row r="87" spans="1:50" s="180" customFormat="1" ht="15" customHeight="1" x14ac:dyDescent="0.25">
      <c r="A87" s="1508" t="s">
        <v>383</v>
      </c>
      <c r="B87" s="861"/>
      <c r="C87" s="185"/>
      <c r="D87" s="18" t="s">
        <v>166</v>
      </c>
      <c r="E87" s="18"/>
      <c r="F87" s="18" t="str">
        <f>+CONCATENATE($B$78,"",$C$85,"",D87)</f>
        <v>22.04.003</v>
      </c>
      <c r="G87" s="1532" t="s">
        <v>207</v>
      </c>
      <c r="H87" s="1295">
        <v>0</v>
      </c>
      <c r="I87" s="99">
        <v>0</v>
      </c>
      <c r="J87" s="19">
        <f ca="1">SUMIF(S$3:$AH78,"ok",S87:AH87)</f>
        <v>0</v>
      </c>
      <c r="K87" s="740">
        <f ca="1">IFERROR(J87/I87,"0,00"%)</f>
        <v>0</v>
      </c>
      <c r="L87" s="99">
        <v>0</v>
      </c>
      <c r="M87" s="740">
        <f t="shared" si="42"/>
        <v>0</v>
      </c>
      <c r="N87" s="99">
        <f>+'P01 2023'!BE74</f>
        <v>1E-3</v>
      </c>
      <c r="O87" s="631">
        <f t="shared" si="43"/>
        <v>0</v>
      </c>
      <c r="P87" s="1523">
        <f>+'P01 2022'!AZ68</f>
        <v>121.43711999999999</v>
      </c>
      <c r="Q87" s="1121">
        <f ca="1">SUMIF(S$3:$AH77,"SI",S87:AH87)</f>
        <v>121.43711999999999</v>
      </c>
      <c r="R87" s="1308" t="str">
        <f ca="1">IFERROR(Q87/#REF!,"0,00%")</f>
        <v>0,00%</v>
      </c>
      <c r="S87" s="1323">
        <v>0</v>
      </c>
      <c r="T87" s="1186">
        <v>0</v>
      </c>
      <c r="U87" s="1295">
        <v>0</v>
      </c>
      <c r="V87" s="1345">
        <v>0</v>
      </c>
      <c r="W87" s="578">
        <v>0</v>
      </c>
      <c r="X87" s="1345">
        <f>+'P01 2022'!AB60</f>
        <v>0</v>
      </c>
      <c r="Y87" s="1295">
        <v>0</v>
      </c>
      <c r="Z87" s="1186">
        <f>+'P01 2022'!AQ62</f>
        <v>121.43711999999999</v>
      </c>
      <c r="AA87" s="1312">
        <f>+'P01 2022'!BI51</f>
        <v>12</v>
      </c>
      <c r="AB87" s="19">
        <v>0</v>
      </c>
      <c r="AC87" s="19">
        <f>+'P01 2022'!CY61</f>
        <v>0</v>
      </c>
      <c r="AD87" s="19">
        <f>+'P01 2022'!DR54</f>
        <v>0</v>
      </c>
      <c r="AE87" s="1345">
        <f>+'P01 2022'!EJ62</f>
        <v>89.84</v>
      </c>
      <c r="AF87" s="333">
        <f>+'P01 2022'!FC59</f>
        <v>0</v>
      </c>
      <c r="AG87" s="19">
        <f>+'P01 2022'!GA64</f>
        <v>0</v>
      </c>
      <c r="AH87" s="1191">
        <v>0</v>
      </c>
      <c r="AI87" s="71"/>
      <c r="AJ87" s="1421"/>
      <c r="AK87" s="1421"/>
      <c r="AL87" s="1421"/>
      <c r="AM87" s="1421"/>
      <c r="AN87" s="71"/>
      <c r="AO87" s="1498"/>
      <c r="AP87" s="1498"/>
      <c r="AQ87" s="1498"/>
      <c r="AR87" s="1498"/>
      <c r="AS87" s="1480"/>
      <c r="AT87" s="417"/>
      <c r="AU87" s="803"/>
      <c r="AV87" s="803"/>
      <c r="AW87" s="803"/>
      <c r="AX87" s="803"/>
    </row>
    <row r="88" spans="1:50" s="180" customFormat="1" ht="15" customHeight="1" x14ac:dyDescent="0.25">
      <c r="A88" s="1508" t="s">
        <v>882</v>
      </c>
      <c r="B88" s="861"/>
      <c r="C88" s="185"/>
      <c r="D88" s="18" t="s">
        <v>179</v>
      </c>
      <c r="E88" s="18"/>
      <c r="F88" s="18" t="s">
        <v>883</v>
      </c>
      <c r="G88" s="1532" t="s">
        <v>884</v>
      </c>
      <c r="H88" s="1295">
        <v>0</v>
      </c>
      <c r="I88" s="99">
        <v>0</v>
      </c>
      <c r="J88" s="19">
        <f ca="1">SUMIF(S$3:$AH79,"ok",S88:AH88)</f>
        <v>0</v>
      </c>
      <c r="K88" s="740">
        <f ca="1">IFERROR(J88/I88,"0,00"%)</f>
        <v>0</v>
      </c>
      <c r="L88" s="99">
        <v>0</v>
      </c>
      <c r="M88" s="740">
        <v>0</v>
      </c>
      <c r="N88" s="99">
        <v>0</v>
      </c>
      <c r="O88" s="631">
        <v>0</v>
      </c>
      <c r="P88" s="1520">
        <v>0</v>
      </c>
      <c r="Q88" s="1121">
        <f ca="1">SUMIF(S$3:$AH78,"SI",S88:AH88)</f>
        <v>0</v>
      </c>
      <c r="R88" s="1308">
        <v>0</v>
      </c>
      <c r="S88" s="1323">
        <v>0</v>
      </c>
      <c r="T88" s="1186">
        <v>0</v>
      </c>
      <c r="U88" s="1295">
        <v>0</v>
      </c>
      <c r="V88" s="1345">
        <v>0</v>
      </c>
      <c r="W88" s="578">
        <v>0</v>
      </c>
      <c r="X88" s="1345">
        <v>0</v>
      </c>
      <c r="Y88" s="1295">
        <v>0</v>
      </c>
      <c r="Z88" s="1186">
        <v>0</v>
      </c>
      <c r="AA88" s="219">
        <v>0</v>
      </c>
      <c r="AB88" s="19">
        <v>0</v>
      </c>
      <c r="AC88" s="19">
        <v>0</v>
      </c>
      <c r="AD88" s="19">
        <v>0</v>
      </c>
      <c r="AE88" s="1345">
        <f>+'P01 2022'!EJ63</f>
        <v>9.35</v>
      </c>
      <c r="AF88" s="333">
        <f>+'P01 2022'!FC60</f>
        <v>0</v>
      </c>
      <c r="AG88" s="19">
        <f>+'P01 2022'!GA65</f>
        <v>0</v>
      </c>
      <c r="AH88" s="1186">
        <f>+'P01 2022'!GX66</f>
        <v>504.56</v>
      </c>
      <c r="AI88" s="71"/>
      <c r="AJ88" s="1421"/>
      <c r="AK88" s="1421"/>
      <c r="AL88" s="1421"/>
      <c r="AM88" s="1421"/>
      <c r="AN88" s="71"/>
      <c r="AO88" s="1498"/>
      <c r="AP88" s="1498"/>
      <c r="AQ88" s="1498"/>
      <c r="AR88" s="1498"/>
      <c r="AS88" s="1480"/>
      <c r="AT88" s="417"/>
      <c r="AU88" s="803"/>
      <c r="AV88" s="803"/>
      <c r="AW88" s="803"/>
      <c r="AX88" s="803"/>
    </row>
    <row r="89" spans="1:50" s="180" customFormat="1" ht="15" customHeight="1" x14ac:dyDescent="0.25">
      <c r="A89" s="1508" t="s">
        <v>589</v>
      </c>
      <c r="B89" s="861"/>
      <c r="C89" s="185"/>
      <c r="D89" s="1336" t="s">
        <v>180</v>
      </c>
      <c r="E89" s="1337"/>
      <c r="F89" s="1337" t="str">
        <f t="shared" ref="F89:F97" si="48">+CONCATENATE($B$78,"",$C$85,"",D89)</f>
        <v>22.04.005</v>
      </c>
      <c r="G89" s="1537" t="s">
        <v>334</v>
      </c>
      <c r="H89" s="1298">
        <v>0</v>
      </c>
      <c r="I89" s="1287">
        <f>+'P01 2023'!BB75</f>
        <v>1677.9</v>
      </c>
      <c r="J89" s="1286">
        <f ca="1">SUMIF(S$3:$AH79,"ok",S89:AH89)</f>
        <v>1606.5</v>
      </c>
      <c r="K89" s="1288">
        <f ca="1">IFERROR(J89/I89,"0,00"%)</f>
        <v>0.95744680851063824</v>
      </c>
      <c r="L89" s="1287">
        <f>+'P01 2023'!BC75</f>
        <v>1677.9</v>
      </c>
      <c r="M89" s="1288">
        <f t="shared" ref="M89:M120" si="49">+IFERROR(L89/I89,0)</f>
        <v>1</v>
      </c>
      <c r="N89" s="1287">
        <v>0</v>
      </c>
      <c r="O89" s="1527">
        <f t="shared" ref="O89:O110" si="50">+IFERROR(N89/I89,0)</f>
        <v>0</v>
      </c>
      <c r="P89" s="1520">
        <f>+'P01 2022'!AZ69</f>
        <v>8024.1022719999992</v>
      </c>
      <c r="Q89" s="1289">
        <f ca="1">SUMIF(S$3:$AH79,"SI",S89:AH89)</f>
        <v>1429.5287779999999</v>
      </c>
      <c r="R89" s="1308">
        <f t="shared" ref="R89:R119" ca="1" si="51">IFERROR(Q89/P89,"0%")</f>
        <v>0.1781543566547403</v>
      </c>
      <c r="S89" s="1329">
        <v>0</v>
      </c>
      <c r="T89" s="1290">
        <f>+'P01 2022'!F68</f>
        <v>105.795075</v>
      </c>
      <c r="U89" s="1298">
        <f>+'P01 2023'!N51</f>
        <v>1606.5</v>
      </c>
      <c r="V89" s="1352">
        <f>+'P01 2022'!M50</f>
        <v>813.75094899999999</v>
      </c>
      <c r="W89" s="1400">
        <v>0</v>
      </c>
      <c r="X89" s="1352">
        <f>+'P01 2022'!AB61</f>
        <v>497.65195399999999</v>
      </c>
      <c r="Y89" s="1295">
        <f>+'P01 2023'!AT62</f>
        <v>0</v>
      </c>
      <c r="Z89" s="1290">
        <f>+'P01 2022'!AQ63</f>
        <v>12.330799999999998</v>
      </c>
      <c r="AA89" s="1476">
        <f>+'P01 2022'!BI52</f>
        <v>4079.386</v>
      </c>
      <c r="AB89" s="1286">
        <v>0</v>
      </c>
      <c r="AC89" s="1286">
        <f>+'P01 2022'!CY62</f>
        <v>0</v>
      </c>
      <c r="AD89" s="1286">
        <f>+'P01 2022'!DR55</f>
        <v>0</v>
      </c>
      <c r="AE89" s="1352">
        <v>0</v>
      </c>
      <c r="AF89" s="1360">
        <v>0</v>
      </c>
      <c r="AG89" s="1286">
        <f>+'P01 2022'!GA66</f>
        <v>618.79999999999995</v>
      </c>
      <c r="AH89" s="1290">
        <f>+'P01 2022'!GX67</f>
        <v>910.72500000000002</v>
      </c>
      <c r="AI89" s="71"/>
      <c r="AJ89" s="1421"/>
      <c r="AK89" s="1421"/>
      <c r="AL89" s="1421"/>
      <c r="AM89" s="1421"/>
      <c r="AN89" s="71"/>
      <c r="AO89" s="1498"/>
      <c r="AP89" s="1498"/>
      <c r="AQ89" s="1498"/>
      <c r="AR89" s="1498"/>
      <c r="AS89" s="1480"/>
      <c r="AT89" s="417"/>
      <c r="AU89" s="803"/>
      <c r="AV89" s="803"/>
      <c r="AW89" s="803"/>
      <c r="AX89" s="803"/>
    </row>
    <row r="90" spans="1:50" s="180" customFormat="1" ht="15" customHeight="1" x14ac:dyDescent="0.25">
      <c r="A90" s="1508" t="s">
        <v>384</v>
      </c>
      <c r="B90" s="861"/>
      <c r="C90" s="185"/>
      <c r="D90" s="18" t="s">
        <v>170</v>
      </c>
      <c r="E90" s="18"/>
      <c r="F90" s="18" t="str">
        <f t="shared" si="48"/>
        <v>22.04.007</v>
      </c>
      <c r="G90" s="1532" t="s">
        <v>105</v>
      </c>
      <c r="H90" s="1295">
        <f>+'P01 2023'!F76</f>
        <v>5237.07</v>
      </c>
      <c r="I90" s="99">
        <f>+'P01 2023'!BB76</f>
        <v>13714.398999999999</v>
      </c>
      <c r="J90" s="19">
        <f ca="1">SUMIF(S$3:$AH82,"ok",S90:AH90)</f>
        <v>5392.848</v>
      </c>
      <c r="K90" s="740">
        <f t="shared" ca="1" si="41"/>
        <v>0.39322525179557632</v>
      </c>
      <c r="L90" s="99">
        <f>+'P01 2023'!BC76</f>
        <v>13678.098</v>
      </c>
      <c r="M90" s="740">
        <f t="shared" si="49"/>
        <v>0.9973530739480454</v>
      </c>
      <c r="N90" s="99">
        <f>+'P01 2023'!BE76</f>
        <v>36.301000000000002</v>
      </c>
      <c r="O90" s="631">
        <f t="shared" si="50"/>
        <v>2.6469260519545921E-3</v>
      </c>
      <c r="P90" s="1520">
        <f>+'P01 2022'!AZ70</f>
        <v>5069.6245209999997</v>
      </c>
      <c r="Q90" s="1121">
        <f ca="1">SUMIF(S$3:$AH80,"SI",S90:AH90)</f>
        <v>4468.9157799999994</v>
      </c>
      <c r="R90" s="1308">
        <f t="shared" ca="1" si="51"/>
        <v>0.88150823823112079</v>
      </c>
      <c r="S90" s="1323">
        <v>0</v>
      </c>
      <c r="T90" s="1186">
        <f>+'P01 2022'!F69</f>
        <v>121.44349799999999</v>
      </c>
      <c r="U90" s="1295">
        <v>0</v>
      </c>
      <c r="V90" s="1345">
        <f>+'P01 2022'!M51</f>
        <v>1873.4535229999999</v>
      </c>
      <c r="W90" s="578">
        <f>+'P01 2023'!AD65</f>
        <v>5266.7079999999996</v>
      </c>
      <c r="X90" s="1345">
        <f>+'P01 2022'!AB62</f>
        <v>2334.8996969999998</v>
      </c>
      <c r="Y90" s="1295">
        <f>+'P01 2023'!AT63</f>
        <v>126.14</v>
      </c>
      <c r="Z90" s="1186">
        <f>+'P01 2022'!AQ64</f>
        <v>139.11906199999999</v>
      </c>
      <c r="AA90" s="1312">
        <f>+'P01 2022'!BI53</f>
        <v>1359.152</v>
      </c>
      <c r="AB90" s="19">
        <f>+'P01 2022'!CC65</f>
        <v>4525.7569999999996</v>
      </c>
      <c r="AC90" s="19">
        <f>+'P01 2022'!CY63</f>
        <v>18.73</v>
      </c>
      <c r="AD90" s="19">
        <f>+'P01 2022'!DR56</f>
        <v>0</v>
      </c>
      <c r="AE90" s="1345">
        <f>+'P01 2022'!EJ64</f>
        <v>6888.348</v>
      </c>
      <c r="AF90" s="333">
        <f>+'P01 2022'!FC61</f>
        <v>1795.568</v>
      </c>
      <c r="AG90" s="19">
        <f>+'P01 2022'!GA67</f>
        <v>666.4</v>
      </c>
      <c r="AH90" s="1186">
        <f>+'P01 2022'!GX68</f>
        <v>931.06799999999998</v>
      </c>
      <c r="AI90" s="71"/>
      <c r="AJ90" s="1421"/>
      <c r="AK90" s="1421"/>
      <c r="AL90" s="1421"/>
      <c r="AM90" s="1421"/>
      <c r="AN90" s="71"/>
      <c r="AO90" s="1498"/>
      <c r="AP90" s="1498"/>
      <c r="AQ90" s="1498"/>
      <c r="AR90" s="1498"/>
      <c r="AS90" s="1480"/>
      <c r="AT90" s="417"/>
      <c r="AU90" s="803"/>
      <c r="AV90" s="803"/>
      <c r="AW90" s="803"/>
      <c r="AX90" s="803"/>
    </row>
    <row r="91" spans="1:50" s="180" customFormat="1" ht="15" customHeight="1" x14ac:dyDescent="0.25">
      <c r="A91" s="1508" t="s">
        <v>590</v>
      </c>
      <c r="B91" s="861"/>
      <c r="C91" s="185"/>
      <c r="D91" s="18" t="s">
        <v>171</v>
      </c>
      <c r="E91" s="18"/>
      <c r="F91" s="18" t="str">
        <f t="shared" si="48"/>
        <v>22.04.008</v>
      </c>
      <c r="G91" s="1532" t="s">
        <v>106</v>
      </c>
      <c r="H91" s="1295">
        <v>0</v>
      </c>
      <c r="I91" s="99">
        <f>+'P01 2023'!BB77</f>
        <v>582.26700000000005</v>
      </c>
      <c r="J91" s="19">
        <f ca="1">SUMIF(S$3:$AH83,"ok",S91:AH91)</f>
        <v>582.26700000000005</v>
      </c>
      <c r="K91" s="740">
        <v>0</v>
      </c>
      <c r="L91" s="99">
        <f>+'P01 2023'!BC77</f>
        <v>582.26700000000005</v>
      </c>
      <c r="M91" s="740">
        <f t="shared" si="49"/>
        <v>1</v>
      </c>
      <c r="N91" s="99">
        <f>+'P01 2023'!BE77</f>
        <v>0</v>
      </c>
      <c r="O91" s="631">
        <f t="shared" si="50"/>
        <v>0</v>
      </c>
      <c r="P91" s="1520">
        <f>+'P01 2022'!AZ71</f>
        <v>0</v>
      </c>
      <c r="Q91" s="1121">
        <f ca="1">SUMIF(S$3:$AH81,"SI",S91:AH91)</f>
        <v>0</v>
      </c>
      <c r="R91" s="1308" t="str">
        <f ca="1">IFERROR(Q91/#REF!,"0,00%")</f>
        <v>0,00%</v>
      </c>
      <c r="S91" s="1323">
        <v>0</v>
      </c>
      <c r="T91" s="1186">
        <v>0</v>
      </c>
      <c r="U91" s="1295">
        <v>0</v>
      </c>
      <c r="V91" s="1345">
        <v>0</v>
      </c>
      <c r="W91" s="578">
        <v>0</v>
      </c>
      <c r="X91" s="1345">
        <v>0</v>
      </c>
      <c r="Y91" s="1295">
        <f>+'P01 2023'!AT64</f>
        <v>582.26700000000005</v>
      </c>
      <c r="Z91" s="1186">
        <f>+'P01 2022'!AQ65</f>
        <v>0</v>
      </c>
      <c r="AA91" s="1312">
        <v>0</v>
      </c>
      <c r="AB91" s="19">
        <v>0</v>
      </c>
      <c r="AC91" s="19">
        <v>0</v>
      </c>
      <c r="AD91" s="19">
        <v>0</v>
      </c>
      <c r="AE91" s="1345">
        <v>0</v>
      </c>
      <c r="AF91" s="1359">
        <v>0</v>
      </c>
      <c r="AG91" s="19">
        <v>0</v>
      </c>
      <c r="AH91" s="1191">
        <v>0</v>
      </c>
      <c r="AI91" s="71"/>
      <c r="AJ91" s="1421"/>
      <c r="AK91" s="1421"/>
      <c r="AL91" s="1421"/>
      <c r="AM91" s="1421"/>
      <c r="AN91" s="71"/>
      <c r="AO91" s="1498"/>
      <c r="AP91" s="1498"/>
      <c r="AQ91" s="1498"/>
      <c r="AR91" s="1498"/>
      <c r="AS91" s="1480"/>
      <c r="AT91" s="417"/>
      <c r="AU91" s="803"/>
      <c r="AV91" s="803"/>
      <c r="AW91" s="803"/>
      <c r="AX91" s="803"/>
    </row>
    <row r="92" spans="1:50" s="180" customFormat="1" ht="15" customHeight="1" x14ac:dyDescent="0.25">
      <c r="A92" s="1508" t="s">
        <v>591</v>
      </c>
      <c r="B92" s="861"/>
      <c r="C92" s="185"/>
      <c r="D92" s="18" t="s">
        <v>172</v>
      </c>
      <c r="E92" s="18"/>
      <c r="F92" s="18" t="str">
        <f t="shared" si="48"/>
        <v>22.04.009</v>
      </c>
      <c r="G92" s="1532" t="s">
        <v>48</v>
      </c>
      <c r="H92" s="1295">
        <f>+'P01 2023'!F77</f>
        <v>3600</v>
      </c>
      <c r="I92" s="99">
        <f>+'P01 2023'!BB78</f>
        <v>1168.819</v>
      </c>
      <c r="J92" s="19">
        <f ca="1">SUMIF(S$3:$AH84,"ok",S92:AH92)</f>
        <v>1168.818</v>
      </c>
      <c r="K92" s="740">
        <f t="shared" ca="1" si="41"/>
        <v>0.99999914443553706</v>
      </c>
      <c r="L92" s="99">
        <f>+'P01 2023'!BC78</f>
        <v>1168.819</v>
      </c>
      <c r="M92" s="740">
        <f t="shared" si="49"/>
        <v>1</v>
      </c>
      <c r="N92" s="99">
        <f>+'P01 2023'!BE78</f>
        <v>0</v>
      </c>
      <c r="O92" s="631">
        <f t="shared" si="50"/>
        <v>0</v>
      </c>
      <c r="P92" s="1520">
        <f>+'P01 2022'!AZ72</f>
        <v>5740.2</v>
      </c>
      <c r="Q92" s="1121">
        <f ca="1">SUMIF(S$3:$AH82,"SI",S92:AH92)</f>
        <v>0</v>
      </c>
      <c r="R92" s="1308" t="str">
        <f ca="1">IFERROR(Q92/#REF!,"0,00%")</f>
        <v>0,00%</v>
      </c>
      <c r="S92" s="1323">
        <v>0</v>
      </c>
      <c r="T92" s="1186">
        <v>0</v>
      </c>
      <c r="U92" s="1295">
        <f>+'P01 2023'!N52</f>
        <v>940.33799999999997</v>
      </c>
      <c r="V92" s="1345">
        <v>0</v>
      </c>
      <c r="W92" s="578">
        <f>+'P01 2023'!AD67</f>
        <v>70.209999999999994</v>
      </c>
      <c r="X92" s="1345">
        <v>0</v>
      </c>
      <c r="Y92" s="1295">
        <f>+'P01 2023'!AT65</f>
        <v>158.27000000000001</v>
      </c>
      <c r="Z92" s="1186">
        <f>+'P01 2022'!AQ66</f>
        <v>0</v>
      </c>
      <c r="AA92" s="1312">
        <f>+'P01 2022'!BI54</f>
        <v>1378.64</v>
      </c>
      <c r="AB92" s="19">
        <v>0</v>
      </c>
      <c r="AC92" s="19">
        <v>0</v>
      </c>
      <c r="AD92" s="19">
        <f>+'P01 2022'!DR57</f>
        <v>23.96</v>
      </c>
      <c r="AE92" s="1345">
        <f>+'P01 2022'!EJ65</f>
        <v>534.42899999999997</v>
      </c>
      <c r="AF92" s="333">
        <f>+'P01 2022'!FC62</f>
        <v>1906.73</v>
      </c>
      <c r="AG92" s="19">
        <f>+'P01 2022'!GA68</f>
        <v>262.67500000000001</v>
      </c>
      <c r="AH92" s="1186">
        <f>+'P01 2022'!GX69</f>
        <v>6755.8090000000002</v>
      </c>
      <c r="AI92" s="71"/>
      <c r="AJ92" s="1421"/>
      <c r="AK92" s="1421"/>
      <c r="AL92" s="1421"/>
      <c r="AM92" s="1421"/>
      <c r="AN92" s="71"/>
      <c r="AO92" s="1498"/>
      <c r="AP92" s="1498"/>
      <c r="AQ92" s="1498"/>
      <c r="AR92" s="1498"/>
      <c r="AS92" s="1480"/>
      <c r="AT92" s="417"/>
      <c r="AU92" s="803"/>
      <c r="AV92" s="803"/>
      <c r="AW92" s="803"/>
      <c r="AX92" s="803"/>
    </row>
    <row r="93" spans="1:50" s="180" customFormat="1" ht="15" customHeight="1" x14ac:dyDescent="0.25">
      <c r="A93" s="1508" t="s">
        <v>592</v>
      </c>
      <c r="B93" s="861"/>
      <c r="C93" s="185"/>
      <c r="D93" s="18" t="s">
        <v>173</v>
      </c>
      <c r="E93" s="18"/>
      <c r="F93" s="18" t="str">
        <f t="shared" si="48"/>
        <v>22.04.010</v>
      </c>
      <c r="G93" s="1532" t="s">
        <v>49</v>
      </c>
      <c r="H93" s="1295">
        <f>+'P01 2023'!F78</f>
        <v>500</v>
      </c>
      <c r="I93" s="99">
        <f>+'P01 2023'!BB79</f>
        <v>100</v>
      </c>
      <c r="J93" s="19">
        <f ca="1">SUMIF(S$3:$AH85,"ok",S93:AH93)</f>
        <v>0</v>
      </c>
      <c r="K93" s="740">
        <f t="shared" ca="1" si="41"/>
        <v>0</v>
      </c>
      <c r="L93" s="99">
        <f>+'P01 2023'!BC79</f>
        <v>0</v>
      </c>
      <c r="M93" s="740">
        <f t="shared" si="49"/>
        <v>0</v>
      </c>
      <c r="N93" s="99">
        <f>+'P01 2023'!BE79</f>
        <v>100</v>
      </c>
      <c r="O93" s="631">
        <f t="shared" si="50"/>
        <v>1</v>
      </c>
      <c r="P93" s="1520">
        <f>+'P01 2022'!AZ73</f>
        <v>531.5</v>
      </c>
      <c r="Q93" s="1121">
        <f ca="1">SUMIF(S$3:$AH83,"SI",S93:AH93)</f>
        <v>20.34582</v>
      </c>
      <c r="R93" s="1308">
        <f t="shared" ca="1" si="51"/>
        <v>3.8280000000000002E-2</v>
      </c>
      <c r="S93" s="1323">
        <v>0</v>
      </c>
      <c r="T93" s="1186">
        <v>0</v>
      </c>
      <c r="U93" s="1295">
        <v>0</v>
      </c>
      <c r="V93" s="1345">
        <v>0</v>
      </c>
      <c r="W93" s="578">
        <v>0</v>
      </c>
      <c r="X93" s="1345">
        <v>0</v>
      </c>
      <c r="Y93" s="1295">
        <f>+'P01 2023'!AT66</f>
        <v>0</v>
      </c>
      <c r="Z93" s="1186">
        <f>+'P01 2022'!AQ67</f>
        <v>20.34582</v>
      </c>
      <c r="AA93" s="1312">
        <f>+'P01 2022'!BI55</f>
        <v>0</v>
      </c>
      <c r="AB93" s="19">
        <v>0</v>
      </c>
      <c r="AC93" s="19">
        <f>+'P01 2022'!CY64</f>
        <v>310.56400000000002</v>
      </c>
      <c r="AD93" s="19">
        <v>0</v>
      </c>
      <c r="AE93" s="1345">
        <v>0</v>
      </c>
      <c r="AF93" s="333">
        <f>+'P01 2022'!FC63</f>
        <v>0</v>
      </c>
      <c r="AG93" s="19">
        <v>0</v>
      </c>
      <c r="AH93" s="1186">
        <f>+'P01 2022'!GX70</f>
        <v>77.67</v>
      </c>
      <c r="AI93" s="71"/>
      <c r="AJ93" s="1421"/>
      <c r="AK93" s="1421"/>
      <c r="AL93" s="1421"/>
      <c r="AM93" s="1421"/>
      <c r="AN93" s="71"/>
      <c r="AO93" s="1498"/>
      <c r="AP93" s="1498"/>
      <c r="AQ93" s="1498"/>
      <c r="AR93" s="1498"/>
      <c r="AS93" s="1480"/>
      <c r="AT93" s="417"/>
      <c r="AU93" s="803"/>
      <c r="AV93" s="803"/>
      <c r="AW93" s="803"/>
      <c r="AX93" s="803"/>
    </row>
    <row r="94" spans="1:50" s="180" customFormat="1" ht="15" customHeight="1" x14ac:dyDescent="0.25">
      <c r="A94" s="1508" t="s">
        <v>593</v>
      </c>
      <c r="B94" s="861"/>
      <c r="C94" s="185"/>
      <c r="D94" s="18" t="s">
        <v>174</v>
      </c>
      <c r="E94" s="18"/>
      <c r="F94" s="18" t="str">
        <f t="shared" si="48"/>
        <v>22.04.011</v>
      </c>
      <c r="G94" s="1532" t="s">
        <v>50</v>
      </c>
      <c r="H94" s="1295">
        <f>+'P01 2023'!F79</f>
        <v>5147.8999999999996</v>
      </c>
      <c r="I94" s="99">
        <f>+'P01 2023'!BB80</f>
        <v>4085.7779999999998</v>
      </c>
      <c r="J94" s="19">
        <f ca="1">SUMIF(S$3:$AH86,"ok",S94:AH94)</f>
        <v>1277.7</v>
      </c>
      <c r="K94" s="740">
        <f t="shared" ca="1" si="41"/>
        <v>0.31271889955841953</v>
      </c>
      <c r="L94" s="99">
        <f>+'P01 2023'!BC80</f>
        <v>2086.424</v>
      </c>
      <c r="M94" s="740">
        <f t="shared" si="49"/>
        <v>0.51065525341807605</v>
      </c>
      <c r="N94" s="99">
        <f>+'P01 2023'!BE80</f>
        <v>1999.354</v>
      </c>
      <c r="O94" s="631">
        <f t="shared" si="50"/>
        <v>0.48934474658192395</v>
      </c>
      <c r="P94" s="1520">
        <f>+'P01 2022'!AZ74</f>
        <v>4335.9769999999999</v>
      </c>
      <c r="Q94" s="1121">
        <f ca="1">SUMIF(S$3:$AH84,"SI",S94:AH94)</f>
        <v>674.61806799999999</v>
      </c>
      <c r="R94" s="1308">
        <f t="shared" ca="1" si="51"/>
        <v>0.15558617308163766</v>
      </c>
      <c r="S94" s="1330">
        <f>+'P01 2023'!I79</f>
        <v>741.7</v>
      </c>
      <c r="T94" s="1186">
        <f>+'P01 2022'!F72</f>
        <v>91.077840000000009</v>
      </c>
      <c r="U94" s="1295">
        <f>+'P01 2023'!N53</f>
        <v>386</v>
      </c>
      <c r="V94" s="1345">
        <v>0</v>
      </c>
      <c r="W94" s="578">
        <f>+'P01 2023'!AD69</f>
        <v>150</v>
      </c>
      <c r="X94" s="1345">
        <f>+'P01 2022'!AB64</f>
        <v>583.54022799999996</v>
      </c>
      <c r="Y94" s="1295">
        <f>+'P01 2023'!AT67</f>
        <v>0</v>
      </c>
      <c r="Z94" s="1186">
        <f>+'P01 2022'!AQ68</f>
        <v>0</v>
      </c>
      <c r="AA94" s="1312">
        <f>+'P01 2022'!BI56</f>
        <v>577.59299999999996</v>
      </c>
      <c r="AB94" s="19">
        <v>0</v>
      </c>
      <c r="AC94" s="19">
        <f>+'P01 2022'!CY65</f>
        <v>537.79899999999998</v>
      </c>
      <c r="AD94" s="19">
        <v>0</v>
      </c>
      <c r="AE94" s="1345">
        <f>+'P01 2022'!EJ66</f>
        <v>762.63800000000003</v>
      </c>
      <c r="AF94" s="1359">
        <v>0</v>
      </c>
      <c r="AG94" s="19">
        <f>+'P01 2022'!GA69</f>
        <v>563.90200000000004</v>
      </c>
      <c r="AH94" s="1186">
        <f>+'P01 2022'!GX71</f>
        <v>869.52099999999996</v>
      </c>
      <c r="AI94" s="71"/>
      <c r="AJ94" s="1421"/>
      <c r="AK94" s="1421"/>
      <c r="AL94" s="1421"/>
      <c r="AM94" s="1421"/>
      <c r="AN94" s="71"/>
      <c r="AO94" s="1498"/>
      <c r="AP94" s="1498"/>
      <c r="AQ94" s="1498"/>
      <c r="AR94" s="1498"/>
      <c r="AS94" s="1480"/>
      <c r="AT94" s="417"/>
      <c r="AU94" s="803"/>
      <c r="AV94" s="803"/>
      <c r="AW94" s="803"/>
      <c r="AX94" s="803"/>
    </row>
    <row r="95" spans="1:50" s="180" customFormat="1" ht="15" customHeight="1" x14ac:dyDescent="0.25">
      <c r="A95" s="1508" t="s">
        <v>594</v>
      </c>
      <c r="B95" s="861"/>
      <c r="C95" s="185"/>
      <c r="D95" s="18" t="s">
        <v>175</v>
      </c>
      <c r="E95" s="18"/>
      <c r="F95" s="18" t="str">
        <f t="shared" si="48"/>
        <v>22.04.012</v>
      </c>
      <c r="G95" s="1532" t="s">
        <v>107</v>
      </c>
      <c r="H95" s="1295">
        <v>0</v>
      </c>
      <c r="I95" s="99">
        <f>+'P01 2023'!BB81</f>
        <v>715.428</v>
      </c>
      <c r="J95" s="19">
        <f ca="1">SUMIF(S$3:$AH86,"ok",S95:AH95)</f>
        <v>715.428</v>
      </c>
      <c r="K95" s="740">
        <f ca="1">IFERROR(J95/I95,"0,00"%)</f>
        <v>1</v>
      </c>
      <c r="L95" s="99">
        <f>+'P01 2023'!BC81</f>
        <v>715.428</v>
      </c>
      <c r="M95" s="740">
        <f t="shared" si="49"/>
        <v>1</v>
      </c>
      <c r="N95" s="99">
        <f>+'P01 2023'!BE81</f>
        <v>0</v>
      </c>
      <c r="O95" s="631">
        <f t="shared" si="50"/>
        <v>0</v>
      </c>
      <c r="P95" s="1523">
        <f>+'P01 2022'!AZ75</f>
        <v>6.9945399999999998</v>
      </c>
      <c r="Q95" s="1289">
        <f ca="1">SUMIF(S$3:$AH85,"SI",S95:AH95)</f>
        <v>6.9945399999999998</v>
      </c>
      <c r="R95" s="1542">
        <f ca="1">IFERROR(Q95/P95,"0%")</f>
        <v>1</v>
      </c>
      <c r="S95" s="1330">
        <v>0</v>
      </c>
      <c r="T95" s="1186">
        <f>+'P01 2022'!F73</f>
        <v>6.9945399999999998</v>
      </c>
      <c r="U95" s="1295">
        <v>0</v>
      </c>
      <c r="V95" s="1345">
        <v>0</v>
      </c>
      <c r="W95" s="578">
        <v>0</v>
      </c>
      <c r="X95" s="1345">
        <v>0</v>
      </c>
      <c r="Y95" s="1295">
        <f>+'P01 2023'!AT68</f>
        <v>715.428</v>
      </c>
      <c r="Z95" s="1186">
        <f>+'P01 2022'!AQ69</f>
        <v>0</v>
      </c>
      <c r="AA95" s="1312">
        <v>0</v>
      </c>
      <c r="AB95" s="19">
        <v>0</v>
      </c>
      <c r="AC95" s="19">
        <f>+'P01 2022'!CY66</f>
        <v>0</v>
      </c>
      <c r="AD95" s="19">
        <f>+'P01 2022'!DR60</f>
        <v>1501.2449999999999</v>
      </c>
      <c r="AE95" s="1345">
        <f>+'P01 2022'!EJ67</f>
        <v>0</v>
      </c>
      <c r="AF95" s="333">
        <f>+'P01 2022'!FC64</f>
        <v>168.14699999999999</v>
      </c>
      <c r="AG95" s="19">
        <f>+'P01 2022'!GA70</f>
        <v>0</v>
      </c>
      <c r="AH95" s="1186">
        <f>+'P01 2022'!GX72</f>
        <v>558.00699999999995</v>
      </c>
      <c r="AI95" s="71"/>
      <c r="AJ95" s="1421"/>
      <c r="AK95" s="1421"/>
      <c r="AL95" s="1421"/>
      <c r="AM95" s="1421"/>
      <c r="AN95" s="71"/>
      <c r="AO95" s="1498"/>
      <c r="AP95" s="1498"/>
      <c r="AQ95" s="1498"/>
      <c r="AR95" s="1498"/>
      <c r="AS95" s="1480"/>
      <c r="AT95" s="417"/>
      <c r="AU95" s="803"/>
      <c r="AV95" s="803"/>
      <c r="AW95" s="803"/>
      <c r="AX95" s="803"/>
    </row>
    <row r="96" spans="1:50" s="180" customFormat="1" ht="15" customHeight="1" x14ac:dyDescent="0.25">
      <c r="A96" s="1508" t="s">
        <v>385</v>
      </c>
      <c r="B96" s="861"/>
      <c r="C96" s="185"/>
      <c r="D96" s="18" t="s">
        <v>176</v>
      </c>
      <c r="E96" s="18"/>
      <c r="F96" s="18" t="str">
        <f t="shared" si="48"/>
        <v>22.04.013</v>
      </c>
      <c r="G96" s="1532" t="s">
        <v>108</v>
      </c>
      <c r="H96" s="1295">
        <f>+'P01 2023'!F80</f>
        <v>40</v>
      </c>
      <c r="I96" s="99">
        <f>+'P01 2023'!BB82</f>
        <v>5051.518</v>
      </c>
      <c r="J96" s="19">
        <f ca="1">SUMIF(S$3:$AH86,"ok",S96:AH96)</f>
        <v>5011.518</v>
      </c>
      <c r="K96" s="740">
        <f t="shared" ca="1" si="41"/>
        <v>0.99208158814835457</v>
      </c>
      <c r="L96" s="99">
        <f>+'P01 2023'!BC82</f>
        <v>5011.518</v>
      </c>
      <c r="M96" s="740">
        <f t="shared" si="49"/>
        <v>0.99208158814835457</v>
      </c>
      <c r="N96" s="99">
        <f>+'P01 2023'!BE82</f>
        <v>40</v>
      </c>
      <c r="O96" s="631">
        <f t="shared" si="50"/>
        <v>7.9184118516453864E-3</v>
      </c>
      <c r="P96" s="1523">
        <f>+'P01 2022'!AZ76</f>
        <v>1983.7961119999998</v>
      </c>
      <c r="Q96" s="1289">
        <f ca="1">SUMIF(S$3:$AH86,"SI",S96:AH96)</f>
        <v>1835.8785990000001</v>
      </c>
      <c r="R96" s="1542">
        <f ca="1">IFERROR(Q96/P96,"0%")</f>
        <v>0.92543713937876715</v>
      </c>
      <c r="S96" s="1330">
        <f>+'P01 2023'!I80</f>
        <v>0</v>
      </c>
      <c r="T96" s="1186">
        <v>0</v>
      </c>
      <c r="U96" s="1295">
        <f>+'P01 2023'!N54</f>
        <v>1435.7349999999999</v>
      </c>
      <c r="V96" s="1345">
        <f>+'P01 2022'!M56</f>
        <v>95.505234999999999</v>
      </c>
      <c r="W96" s="578">
        <v>0</v>
      </c>
      <c r="X96" s="1345">
        <v>0</v>
      </c>
      <c r="Y96" s="1295">
        <f>+'P01 2023'!AT69</f>
        <v>3575.7829999999999</v>
      </c>
      <c r="Z96" s="1186">
        <f>+'P01 2022'!AQ70</f>
        <v>1740.373364</v>
      </c>
      <c r="AA96" s="1312">
        <f>+'P01 2022'!BI57</f>
        <v>626.26599999999996</v>
      </c>
      <c r="AB96" s="19">
        <f>+'P01 2022'!CC69</f>
        <v>125.402</v>
      </c>
      <c r="AC96" s="19">
        <f>+'P01 2022'!CY67</f>
        <v>295.19</v>
      </c>
      <c r="AD96" s="19">
        <f>+'P01 2022'!DR61</f>
        <v>894.00199999999995</v>
      </c>
      <c r="AE96" s="1345">
        <f>+'P01 2022'!EJ68</f>
        <v>3735.886</v>
      </c>
      <c r="AF96" s="333">
        <f>+'P01 2022'!FC65</f>
        <v>0</v>
      </c>
      <c r="AG96" s="19">
        <f>+'P01 2022'!GA71</f>
        <v>0</v>
      </c>
      <c r="AH96" s="1186">
        <f>+'P01 2022'!GX73</f>
        <v>662.39</v>
      </c>
      <c r="AI96" s="71"/>
      <c r="AJ96" s="1421"/>
      <c r="AK96" s="1421"/>
      <c r="AL96" s="1421"/>
      <c r="AM96" s="1421"/>
      <c r="AN96" s="71"/>
      <c r="AO96" s="1498"/>
      <c r="AP96" s="1498"/>
      <c r="AQ96" s="1498"/>
      <c r="AR96" s="1498"/>
      <c r="AS96" s="1480"/>
      <c r="AT96" s="417"/>
      <c r="AU96" s="803"/>
      <c r="AV96" s="803"/>
      <c r="AW96" s="803"/>
      <c r="AX96" s="803"/>
    </row>
    <row r="97" spans="1:50" s="180" customFormat="1" ht="15" customHeight="1" x14ac:dyDescent="0.25">
      <c r="A97" s="1508" t="s">
        <v>386</v>
      </c>
      <c r="B97" s="861"/>
      <c r="C97" s="185"/>
      <c r="D97" s="18" t="s">
        <v>177</v>
      </c>
      <c r="E97" s="18"/>
      <c r="F97" s="18" t="str">
        <f t="shared" si="48"/>
        <v>22.04.999</v>
      </c>
      <c r="G97" s="1532" t="s">
        <v>109</v>
      </c>
      <c r="H97" s="1295">
        <f>+'P01 2023'!F81</f>
        <v>35.32</v>
      </c>
      <c r="I97" s="99">
        <f>+'P01 2023'!BB83</f>
        <v>0</v>
      </c>
      <c r="J97" s="19">
        <f ca="1">SUMIF(S$3:$AH86,"ok",S97:AH97)</f>
        <v>0</v>
      </c>
      <c r="K97" s="740">
        <v>0</v>
      </c>
      <c r="L97" s="99">
        <f>+'P01 2023'!BC83</f>
        <v>0</v>
      </c>
      <c r="M97" s="740">
        <f t="shared" si="49"/>
        <v>0</v>
      </c>
      <c r="N97" s="99">
        <f>+'P01 2023'!BE83</f>
        <v>0</v>
      </c>
      <c r="O97" s="631">
        <f t="shared" si="50"/>
        <v>0</v>
      </c>
      <c r="P97" s="1523">
        <f>+'P01 2022'!AZ77</f>
        <v>4813.009943</v>
      </c>
      <c r="Q97" s="1289">
        <f ca="1">SUMIF(S$3:$AH87,"SI",S97:AH97)</f>
        <v>4606.3840029999992</v>
      </c>
      <c r="R97" s="1542">
        <f ca="1">IFERROR(Q97/P97,"0%")</f>
        <v>0.9570692887720883</v>
      </c>
      <c r="S97" s="1330">
        <f>+'P01 2023'!I81</f>
        <v>0</v>
      </c>
      <c r="T97" s="1186">
        <f>+'P01 2022'!F75</f>
        <v>82.223049999999986</v>
      </c>
      <c r="U97" s="1295">
        <v>0</v>
      </c>
      <c r="V97" s="1345">
        <f>+'P01 2022'!M57</f>
        <v>4.4231429999999996</v>
      </c>
      <c r="W97" s="578">
        <v>0</v>
      </c>
      <c r="X97" s="1345">
        <f>+'P01 2022'!AB66</f>
        <v>474.36374999999998</v>
      </c>
      <c r="Y97" s="1295">
        <f>+'P01 2023'!AT70</f>
        <v>0</v>
      </c>
      <c r="Z97" s="1186">
        <f>+'P01 2022'!AQ71</f>
        <v>4045.3740599999996</v>
      </c>
      <c r="AA97" s="1312">
        <f>+'P01 2022'!BI58</f>
        <v>13.69</v>
      </c>
      <c r="AB97" s="19">
        <f>+'P01 2022'!CC70</f>
        <v>0</v>
      </c>
      <c r="AC97" s="19">
        <f>+'P01 2022'!CY68</f>
        <v>6.99</v>
      </c>
      <c r="AD97" s="19">
        <v>0</v>
      </c>
      <c r="AE97" s="1345">
        <v>0</v>
      </c>
      <c r="AF97" s="188">
        <v>0</v>
      </c>
      <c r="AG97" s="19">
        <v>0</v>
      </c>
      <c r="AH97" s="1186">
        <f>+'P01 2022'!GX74</f>
        <v>362.87</v>
      </c>
      <c r="AI97" s="71"/>
      <c r="AJ97" s="1421"/>
      <c r="AK97" s="1421"/>
      <c r="AL97" s="1421"/>
      <c r="AM97" s="1421"/>
      <c r="AN97" s="71"/>
      <c r="AO97" s="1498"/>
      <c r="AP97" s="1498"/>
      <c r="AQ97" s="1498"/>
      <c r="AR97" s="1498"/>
      <c r="AS97" s="1480"/>
      <c r="AT97" s="417"/>
      <c r="AU97" s="803"/>
      <c r="AV97" s="803"/>
      <c r="AW97" s="803"/>
      <c r="AX97" s="803"/>
    </row>
    <row r="98" spans="1:50" s="1149" customFormat="1" ht="15" customHeight="1" x14ac:dyDescent="0.25">
      <c r="A98" s="1508" t="s">
        <v>387</v>
      </c>
      <c r="B98" s="862"/>
      <c r="C98" s="187" t="s">
        <v>178</v>
      </c>
      <c r="D98" s="139"/>
      <c r="E98" s="139"/>
      <c r="F98" s="139"/>
      <c r="G98" s="1536" t="s">
        <v>52</v>
      </c>
      <c r="H98" s="1296">
        <f>+'P01 2023'!F82</f>
        <v>168529.769</v>
      </c>
      <c r="I98" s="17">
        <f>+'P01 2023'!BB84</f>
        <v>165242.80100000001</v>
      </c>
      <c r="J98" s="17">
        <f ca="1">SUM(J99:J106)</f>
        <v>40610.382999999994</v>
      </c>
      <c r="K98" s="17">
        <f t="shared" ca="1" si="41"/>
        <v>0.24576188949980335</v>
      </c>
      <c r="L98" s="17">
        <f>+'P01 2023'!BC84</f>
        <v>157421.14499999999</v>
      </c>
      <c r="M98" s="739">
        <f t="shared" si="49"/>
        <v>0.95266567770174737</v>
      </c>
      <c r="N98" s="17">
        <f>+'P01 2023'!BE84</f>
        <v>7821.6559999999999</v>
      </c>
      <c r="O98" s="1526">
        <f t="shared" si="50"/>
        <v>4.7334322298252497E-2</v>
      </c>
      <c r="P98" s="1522">
        <f>SUM(P99:P106)</f>
        <v>164017.447376</v>
      </c>
      <c r="Q98" s="17">
        <f ca="1">SUM(Q99:Q106)</f>
        <v>48209.342891</v>
      </c>
      <c r="R98" s="737">
        <f t="shared" ca="1" si="51"/>
        <v>0.29392813790403055</v>
      </c>
      <c r="S98" s="1296">
        <f t="shared" ref="S98:AE98" si="52">SUM(S99:S106)</f>
        <v>7648.0689999999995</v>
      </c>
      <c r="T98" s="1209">
        <f t="shared" si="52"/>
        <v>10786.398127</v>
      </c>
      <c r="U98" s="1324">
        <f>+'P01 2023'!N56</f>
        <v>9494.5720000000001</v>
      </c>
      <c r="V98" s="1346">
        <f t="shared" si="52"/>
        <v>11530.651199</v>
      </c>
      <c r="W98" s="1398">
        <f>SUM(W99:W106)</f>
        <v>11024.495999999999</v>
      </c>
      <c r="X98" s="1346">
        <f t="shared" si="52"/>
        <v>11009.054107</v>
      </c>
      <c r="Y98" s="1324">
        <f>SUM(Y99:Y106)</f>
        <v>12443.245999999999</v>
      </c>
      <c r="Z98" s="379">
        <f>SUM(Z99:Z106)</f>
        <v>14883.239458000002</v>
      </c>
      <c r="AA98" s="220">
        <f t="shared" si="52"/>
        <v>11031.620999999999</v>
      </c>
      <c r="AB98" s="3">
        <f t="shared" si="52"/>
        <v>12116.412</v>
      </c>
      <c r="AC98" s="3">
        <f t="shared" si="52"/>
        <v>13456.776999999998</v>
      </c>
      <c r="AD98" s="3">
        <f t="shared" si="52"/>
        <v>11562.902000000002</v>
      </c>
      <c r="AE98" s="3">
        <f t="shared" si="52"/>
        <v>12729.731</v>
      </c>
      <c r="AF98" s="3">
        <f>SUM(AF99:AF106)</f>
        <v>11700.272000000001</v>
      </c>
      <c r="AG98" s="3">
        <f>+'P01 2022'!GA72</f>
        <v>10214.295</v>
      </c>
      <c r="AH98" s="379">
        <f>+'P01 2022'!GX75</f>
        <v>11025.548000000001</v>
      </c>
      <c r="AI98" s="71"/>
      <c r="AJ98" s="1421"/>
      <c r="AK98" s="1421"/>
      <c r="AL98" s="1421"/>
      <c r="AM98" s="1421"/>
      <c r="AN98" s="71"/>
      <c r="AO98" s="1498"/>
      <c r="AP98" s="1498"/>
      <c r="AQ98" s="1498"/>
      <c r="AR98" s="1498"/>
      <c r="AS98" s="1480"/>
      <c r="AT98" s="417"/>
      <c r="AU98" s="803"/>
      <c r="AV98" s="803"/>
      <c r="AW98" s="803"/>
      <c r="AX98" s="803"/>
    </row>
    <row r="99" spans="1:50" s="180" customFormat="1" ht="15" customHeight="1" x14ac:dyDescent="0.25">
      <c r="A99" s="1508" t="s">
        <v>388</v>
      </c>
      <c r="B99" s="861"/>
      <c r="C99" s="185"/>
      <c r="D99" s="18" t="s">
        <v>169</v>
      </c>
      <c r="E99" s="18"/>
      <c r="F99" s="18" t="str">
        <f>+CONCATENATE($B$78,"",$C$98,"",D99)</f>
        <v>22.05.001</v>
      </c>
      <c r="G99" s="1532" t="s">
        <v>53</v>
      </c>
      <c r="H99" s="1295">
        <f>+'P01 2023'!F83</f>
        <v>13278</v>
      </c>
      <c r="I99" s="99">
        <f>+'P01 2023'!BB85</f>
        <v>13278</v>
      </c>
      <c r="J99" s="19">
        <f ca="1">SUMIF(S$3:$AH89,"ok",S99:AH99)</f>
        <v>2803.24</v>
      </c>
      <c r="K99" s="740">
        <f t="shared" ca="1" si="41"/>
        <v>0.21111914444946525</v>
      </c>
      <c r="L99" s="99">
        <f>+'P01 2023'!BC85</f>
        <v>10714</v>
      </c>
      <c r="M99" s="740">
        <f t="shared" ref="M99:M106" si="53">+IFERROR(L99/I99,0)</f>
        <v>0.80689862931164336</v>
      </c>
      <c r="N99" s="99">
        <f>+'P01 2023'!BE85</f>
        <v>2564</v>
      </c>
      <c r="O99" s="631">
        <f t="shared" si="50"/>
        <v>0.19310137068835667</v>
      </c>
      <c r="P99" s="1520">
        <f>+'P01 2022'!AZ79</f>
        <v>7026.4299999999994</v>
      </c>
      <c r="Q99" s="1121">
        <f ca="1">SUMIF(S$3:$AH90,"SI",S99:AH99)</f>
        <v>2337.3244</v>
      </c>
      <c r="R99" s="1308">
        <f t="shared" ca="1" si="51"/>
        <v>0.3326475037821483</v>
      </c>
      <c r="S99" s="1330">
        <f>+'P01 2023'!I83</f>
        <v>429.9</v>
      </c>
      <c r="T99" s="1186">
        <f>+'P01 2022'!F77</f>
        <v>391.71549999999996</v>
      </c>
      <c r="U99" s="1295">
        <f>+'P01 2023'!N57</f>
        <v>670.2</v>
      </c>
      <c r="V99" s="1345">
        <f>+'P01 2022'!M59</f>
        <v>410.42430000000002</v>
      </c>
      <c r="W99" s="578">
        <f>+'P01 2023'!AD73</f>
        <v>1111.1400000000001</v>
      </c>
      <c r="X99" s="1345">
        <f>+'P01 2022'!AB68</f>
        <v>265.43109999999996</v>
      </c>
      <c r="Y99" s="1295">
        <f>+'P01 2023'!AT72</f>
        <v>592</v>
      </c>
      <c r="Z99" s="1186">
        <f>+'P01 2022'!AQ73</f>
        <v>1269.7535</v>
      </c>
      <c r="AA99" s="1312">
        <f>+'P01 2022'!BI60</f>
        <v>495.8</v>
      </c>
      <c r="AB99" s="19">
        <f>+'P01 2022'!CC72</f>
        <v>939</v>
      </c>
      <c r="AC99" s="19">
        <f>+'P01 2022'!CY70</f>
        <v>1133.5999999999999</v>
      </c>
      <c r="AD99" s="19">
        <f>+'P01 2022'!DR64</f>
        <v>1259.0999999999999</v>
      </c>
      <c r="AE99" s="1345">
        <f>+'P01 2022'!EJ70</f>
        <v>1111.9000000000001</v>
      </c>
      <c r="AF99" s="333">
        <f>+'P01 2022'!FC67</f>
        <v>948.5</v>
      </c>
      <c r="AG99" s="19">
        <f>+'P01 2022'!GA73</f>
        <v>631.6</v>
      </c>
      <c r="AH99" s="1186">
        <f>+'P01 2022'!GX76</f>
        <v>937.54200000000003</v>
      </c>
      <c r="AI99" s="71"/>
      <c r="AJ99" s="1421"/>
      <c r="AK99" s="1421"/>
      <c r="AL99" s="1421"/>
      <c r="AM99" s="1421"/>
      <c r="AN99" s="71"/>
      <c r="AO99" s="1498"/>
      <c r="AP99" s="1498"/>
      <c r="AQ99" s="1498"/>
      <c r="AR99" s="1498"/>
      <c r="AS99" s="1480"/>
      <c r="AT99" s="417"/>
      <c r="AU99" s="803"/>
      <c r="AV99" s="803"/>
      <c r="AW99" s="803"/>
      <c r="AX99" s="803"/>
    </row>
    <row r="100" spans="1:50" s="180" customFormat="1" ht="15" customHeight="1" x14ac:dyDescent="0.25">
      <c r="A100" s="1508" t="s">
        <v>389</v>
      </c>
      <c r="B100" s="861"/>
      <c r="C100" s="185"/>
      <c r="D100" s="18" t="s">
        <v>165</v>
      </c>
      <c r="E100" s="18"/>
      <c r="F100" s="18" t="str">
        <f>+CONCATENATE($B$78,"",$C$98,"",D100)</f>
        <v>22.05.002</v>
      </c>
      <c r="G100" s="1532" t="s">
        <v>54</v>
      </c>
      <c r="H100" s="1295">
        <f>+'P01 2023'!F84</f>
        <v>16584</v>
      </c>
      <c r="I100" s="99">
        <f>+'P01 2023'!BB86</f>
        <v>14584</v>
      </c>
      <c r="J100" s="19">
        <f ca="1">SUMIF(S$3:$AH90,"ok",S100:AH100)</f>
        <v>4367.259</v>
      </c>
      <c r="K100" s="740">
        <f t="shared" ca="1" si="41"/>
        <v>0.29945549917718045</v>
      </c>
      <c r="L100" s="99">
        <f>+'P01 2023'!BC86</f>
        <v>11365.189</v>
      </c>
      <c r="M100" s="740">
        <f t="shared" si="53"/>
        <v>0.77929162095447069</v>
      </c>
      <c r="N100" s="99">
        <f>+'P01 2023'!BE86</f>
        <v>3218.8110000000001</v>
      </c>
      <c r="O100" s="631">
        <f t="shared" si="50"/>
        <v>0.22070837904552937</v>
      </c>
      <c r="P100" s="1520">
        <f>+'P01 2022'!AZ80</f>
        <v>12203.24</v>
      </c>
      <c r="Q100" s="1121">
        <f ca="1">SUMIF(S$3:$AH91,"SI",S100:AH100)</f>
        <v>3607.5881399999998</v>
      </c>
      <c r="R100" s="1308">
        <f t="shared" ca="1" si="51"/>
        <v>0.2956254355400697</v>
      </c>
      <c r="S100" s="1330">
        <f>+'P01 2023'!I84</f>
        <v>96.325999999999993</v>
      </c>
      <c r="T100" s="1186">
        <f>+'P01 2022'!F78</f>
        <v>323.69200399999994</v>
      </c>
      <c r="U100" s="1295">
        <f>+'P01 2023'!N58</f>
        <v>2390.08</v>
      </c>
      <c r="V100" s="1345">
        <f>+'P01 2022'!M60</f>
        <v>606.15236399999992</v>
      </c>
      <c r="W100" s="578">
        <f>+'P01 2023'!AD74</f>
        <v>1010.37</v>
      </c>
      <c r="X100" s="1345">
        <f>+'P01 2022'!AB69</f>
        <v>375.49837200000002</v>
      </c>
      <c r="Y100" s="1295">
        <f>+'P01 2023'!AT73</f>
        <v>870.48299999999995</v>
      </c>
      <c r="Z100" s="1186">
        <f>+'P01 2022'!AQ74</f>
        <v>2302.2454000000002</v>
      </c>
      <c r="AA100" s="1312">
        <f>+'P01 2022'!BI61</f>
        <v>865.86800000000005</v>
      </c>
      <c r="AB100" s="19">
        <f>+'P01 2022'!CC73</f>
        <v>185.923</v>
      </c>
      <c r="AC100" s="19">
        <f>+'P01 2022'!CY71</f>
        <v>1595.616</v>
      </c>
      <c r="AD100" s="19">
        <f>+'P01 2022'!DR65</f>
        <v>236.51599999999999</v>
      </c>
      <c r="AE100" s="1345">
        <f>+'P01 2022'!EJ71</f>
        <v>1145.654</v>
      </c>
      <c r="AF100" s="333">
        <f>+'P01 2022'!FC68</f>
        <v>770.69799999999998</v>
      </c>
      <c r="AG100" s="19">
        <f>+'P01 2022'!GA74</f>
        <v>243.18</v>
      </c>
      <c r="AH100" s="1186">
        <f>+'P01 2022'!GX77</f>
        <v>1477.0719999999999</v>
      </c>
      <c r="AI100" s="71"/>
      <c r="AJ100" s="1421"/>
      <c r="AK100" s="1421"/>
      <c r="AL100" s="1421"/>
      <c r="AM100" s="1421"/>
      <c r="AN100" s="71"/>
      <c r="AO100" s="1498"/>
      <c r="AP100" s="1498"/>
      <c r="AQ100" s="1498"/>
      <c r="AR100" s="1498"/>
      <c r="AS100" s="1480"/>
      <c r="AT100" s="417"/>
      <c r="AU100" s="803"/>
      <c r="AV100" s="803"/>
      <c r="AW100" s="803"/>
      <c r="AX100" s="803"/>
    </row>
    <row r="101" spans="1:50" s="180" customFormat="1" ht="15" customHeight="1" x14ac:dyDescent="0.25">
      <c r="A101" s="1508" t="s">
        <v>390</v>
      </c>
      <c r="B101" s="861"/>
      <c r="C101" s="185"/>
      <c r="D101" s="18" t="s">
        <v>166</v>
      </c>
      <c r="E101" s="18"/>
      <c r="F101" s="18" t="str">
        <f t="shared" ref="F101:F106" si="54">+CONCATENATE($B$78,"",$C$98,"",D101)</f>
        <v>22.05.003</v>
      </c>
      <c r="G101" s="1532" t="s">
        <v>55</v>
      </c>
      <c r="H101" s="1295">
        <f>+'P01 2023'!F85</f>
        <v>2930</v>
      </c>
      <c r="I101" s="99">
        <f>+'P01 2023'!BB87</f>
        <v>2930</v>
      </c>
      <c r="J101" s="19">
        <f ca="1">SUMIF(S$3:$AH91,"ok",S101:AH101)</f>
        <v>214.05</v>
      </c>
      <c r="K101" s="740">
        <f t="shared" ca="1" si="41"/>
        <v>7.3054607508532432E-2</v>
      </c>
      <c r="L101" s="99">
        <f>+'P01 2023'!BC87</f>
        <v>1680</v>
      </c>
      <c r="M101" s="740">
        <f t="shared" si="53"/>
        <v>0.57337883959044367</v>
      </c>
      <c r="N101" s="99">
        <f>+'P01 2023'!BE87</f>
        <v>1250</v>
      </c>
      <c r="O101" s="631">
        <f t="shared" si="50"/>
        <v>0.42662116040955633</v>
      </c>
      <c r="P101" s="1520">
        <f>+'P01 2022'!AZ81</f>
        <v>1381.8999999999999</v>
      </c>
      <c r="Q101" s="1121">
        <f ca="1">SUMIF(S$3:$AH92,"SI",S101:AH101)</f>
        <v>258.57474999999999</v>
      </c>
      <c r="R101" s="1308">
        <f t="shared" ca="1" si="51"/>
        <v>0.18711538461538463</v>
      </c>
      <c r="S101" s="1330">
        <f>+'P01 2023'!I85</f>
        <v>60.25</v>
      </c>
      <c r="T101" s="1186">
        <f>+'P01 2022'!F79</f>
        <v>0</v>
      </c>
      <c r="U101" s="1295">
        <f>+'P01 2023'!N59</f>
        <v>69.25</v>
      </c>
      <c r="V101" s="1345">
        <f>+'P01 2022'!M61</f>
        <v>168.32604999999998</v>
      </c>
      <c r="W101" s="578">
        <v>0</v>
      </c>
      <c r="X101" s="1345">
        <f>+'P01 2022'!AB70</f>
        <v>90.248699999999999</v>
      </c>
      <c r="Y101" s="1295">
        <f>+'P01 2023'!AT74</f>
        <v>84.55</v>
      </c>
      <c r="Z101" s="1187">
        <v>0</v>
      </c>
      <c r="AA101" s="1312">
        <f>+'P01 2022'!BI62</f>
        <v>116.4</v>
      </c>
      <c r="AB101" s="19">
        <f>+'P01 2022'!CC74</f>
        <v>126</v>
      </c>
      <c r="AC101" s="19">
        <f>+'P01 2022'!CY72</f>
        <v>1174.191</v>
      </c>
      <c r="AD101" s="19">
        <f>+'P01 2022'!DR66</f>
        <v>314.5</v>
      </c>
      <c r="AE101" s="1345">
        <f>+'P01 2022'!EJ72</f>
        <v>0</v>
      </c>
      <c r="AF101" s="188">
        <v>0</v>
      </c>
      <c r="AG101" s="19">
        <f>+'P01 2022'!GA75</f>
        <v>234.45</v>
      </c>
      <c r="AH101" s="1186">
        <f>+'P01 2022'!GX78</f>
        <v>157.35</v>
      </c>
      <c r="AI101" s="71"/>
      <c r="AJ101" s="1421"/>
      <c r="AK101" s="1421"/>
      <c r="AL101" s="1421"/>
      <c r="AM101" s="1421"/>
      <c r="AN101" s="71"/>
      <c r="AO101" s="1498"/>
      <c r="AP101" s="1498"/>
      <c r="AQ101" s="1498"/>
      <c r="AR101" s="1498"/>
      <c r="AS101" s="1480"/>
      <c r="AT101" s="417"/>
      <c r="AU101" s="803"/>
      <c r="AV101" s="803"/>
      <c r="AW101" s="803"/>
      <c r="AX101" s="803"/>
    </row>
    <row r="102" spans="1:50" s="180" customFormat="1" ht="15" customHeight="1" x14ac:dyDescent="0.25">
      <c r="A102" s="1508" t="s">
        <v>391</v>
      </c>
      <c r="B102" s="861"/>
      <c r="C102" s="185"/>
      <c r="D102" s="18" t="s">
        <v>179</v>
      </c>
      <c r="E102" s="18"/>
      <c r="F102" s="18" t="str">
        <f t="shared" si="54"/>
        <v>22.05.004</v>
      </c>
      <c r="G102" s="1532" t="s">
        <v>56</v>
      </c>
      <c r="H102" s="1295">
        <f>+'P01 2023'!F86</f>
        <v>18000</v>
      </c>
      <c r="I102" s="99">
        <f>+'P01 2023'!BB88</f>
        <v>16240</v>
      </c>
      <c r="J102" s="19">
        <f ca="1">SUMIF(S$3:$AH92,"ok",S102:AH102)</f>
        <v>4577.076</v>
      </c>
      <c r="K102" s="740">
        <f t="shared" ca="1" si="41"/>
        <v>0.28183965517241377</v>
      </c>
      <c r="L102" s="99">
        <f>+'P01 2023'!BC88</f>
        <v>16240</v>
      </c>
      <c r="M102" s="740">
        <f t="shared" si="53"/>
        <v>1</v>
      </c>
      <c r="N102" s="99">
        <f>+'P01 2023'!BE88</f>
        <v>0</v>
      </c>
      <c r="O102" s="631">
        <f t="shared" si="50"/>
        <v>0</v>
      </c>
      <c r="P102" s="1520">
        <f>+'P01 2022'!AZ82</f>
        <v>18310.174999999999</v>
      </c>
      <c r="Q102" s="1121">
        <f ca="1">SUMIF(S$3:$AH93,"SI",S102:AH102)</f>
        <v>3926.528534</v>
      </c>
      <c r="R102" s="1308">
        <f t="shared" ca="1" si="51"/>
        <v>0.21444516690856313</v>
      </c>
      <c r="S102" s="1330">
        <f>+'P01 2023'!I86</f>
        <v>1596.4469999999999</v>
      </c>
      <c r="T102" s="1186">
        <f>+'P01 2022'!F80</f>
        <v>418.52010799999999</v>
      </c>
      <c r="U102" s="1295">
        <f>+'P01 2023'!N60</f>
        <v>899.89599999999996</v>
      </c>
      <c r="V102" s="1345">
        <f>+'P01 2022'!M62</f>
        <v>958.51985599999989</v>
      </c>
      <c r="W102" s="578">
        <f>+'P01 2023'!AD76</f>
        <v>591.93799999999999</v>
      </c>
      <c r="X102" s="1345">
        <f>+'P01 2022'!AB71</f>
        <v>758.05081199999995</v>
      </c>
      <c r="Y102" s="1295">
        <f>+'P01 2023'!AT75</f>
        <v>1488.7950000000001</v>
      </c>
      <c r="Z102" s="1186">
        <f>+'P01 2022'!AQ75</f>
        <v>1791.437758</v>
      </c>
      <c r="AA102" s="1312">
        <f>+'P01 2022'!BI63</f>
        <v>722.67</v>
      </c>
      <c r="AB102" s="19">
        <f>+'P01 2022'!CC75</f>
        <v>1770.595</v>
      </c>
      <c r="AC102" s="19">
        <f>+'P01 2022'!CY73</f>
        <v>520.18700000000001</v>
      </c>
      <c r="AD102" s="19">
        <f>+'P01 2022'!DR67</f>
        <v>921.90300000000002</v>
      </c>
      <c r="AE102" s="1345">
        <f>+'P01 2022'!EJ73</f>
        <v>1024.4949999999999</v>
      </c>
      <c r="AF102" s="333">
        <f>+'P01 2022'!FC69</f>
        <v>990.02800000000002</v>
      </c>
      <c r="AG102" s="19">
        <f>+'P01 2022'!GA76</f>
        <v>753.99</v>
      </c>
      <c r="AH102" s="1186">
        <f>+'P01 2022'!GX79</f>
        <v>2668.1120000000001</v>
      </c>
      <c r="AI102" s="71"/>
      <c r="AJ102" s="1421"/>
      <c r="AK102" s="1421"/>
      <c r="AL102" s="1421"/>
      <c r="AM102" s="1421"/>
      <c r="AN102" s="71"/>
      <c r="AO102" s="1498"/>
      <c r="AP102" s="1498"/>
      <c r="AQ102" s="1498"/>
      <c r="AR102" s="1498"/>
      <c r="AS102" s="1480"/>
      <c r="AT102" s="417"/>
      <c r="AU102" s="803"/>
      <c r="AV102" s="803"/>
      <c r="AW102" s="803"/>
      <c r="AX102" s="803"/>
    </row>
    <row r="103" spans="1:50" s="180" customFormat="1" ht="15" customHeight="1" x14ac:dyDescent="0.25">
      <c r="A103" s="1508" t="s">
        <v>392</v>
      </c>
      <c r="B103" s="861"/>
      <c r="C103" s="185"/>
      <c r="D103" s="18" t="s">
        <v>180</v>
      </c>
      <c r="E103" s="18"/>
      <c r="F103" s="18" t="str">
        <f t="shared" si="54"/>
        <v>22.05.005</v>
      </c>
      <c r="G103" s="1532" t="s">
        <v>57</v>
      </c>
      <c r="H103" s="1295">
        <f>+'P01 2023'!F87</f>
        <v>65582</v>
      </c>
      <c r="I103" s="99">
        <f>+'P01 2023'!BB89</f>
        <v>65581.751999999993</v>
      </c>
      <c r="J103" s="19">
        <f ca="1">SUMIF(S$3:$AH93,"ok",S103:AH103)</f>
        <v>16395.437999999998</v>
      </c>
      <c r="K103" s="740">
        <f t="shared" ca="1" si="41"/>
        <v>0.25</v>
      </c>
      <c r="L103" s="99">
        <f>+'P01 2023'!BC89</f>
        <v>65581.751999999993</v>
      </c>
      <c r="M103" s="740">
        <f t="shared" si="53"/>
        <v>1</v>
      </c>
      <c r="N103" s="99">
        <f>+'P01 2023'!BE89</f>
        <v>0</v>
      </c>
      <c r="O103" s="631">
        <f t="shared" si="50"/>
        <v>0</v>
      </c>
      <c r="P103" s="1520">
        <f>+'P01 2022'!AZ83</f>
        <v>69713.402375999984</v>
      </c>
      <c r="Q103" s="1121">
        <f ca="1">SUMIF(S$3:$AH94,"SI",S103:AH103)</f>
        <v>23237.800791999998</v>
      </c>
      <c r="R103" s="1308">
        <f t="shared" ca="1" si="51"/>
        <v>0.33333333333333337</v>
      </c>
      <c r="S103" s="1330">
        <f>+'P01 2023'!I87</f>
        <v>5465.1459999999997</v>
      </c>
      <c r="T103" s="1186">
        <f>+'P01 2022'!F81</f>
        <v>5809.4501979999995</v>
      </c>
      <c r="U103" s="1295">
        <f>+'P01 2023'!N61</f>
        <v>5465.1459999999997</v>
      </c>
      <c r="V103" s="1345">
        <f>+'P01 2022'!M63</f>
        <v>5809.4501979999995</v>
      </c>
      <c r="W103" s="578">
        <f>+'P01 2023'!AD77</f>
        <v>5465.1459999999997</v>
      </c>
      <c r="X103" s="1345">
        <f>+'P01 2022'!AB72</f>
        <v>5809.4501979999995</v>
      </c>
      <c r="Y103" s="1295">
        <f>+'P01 2023'!AT76</f>
        <v>0</v>
      </c>
      <c r="Z103" s="1186">
        <f>+'P01 2022'!AQ76</f>
        <v>5809.4501979999995</v>
      </c>
      <c r="AA103" s="1312">
        <f>+'P01 2022'!BI64</f>
        <v>5465.1459999999997</v>
      </c>
      <c r="AB103" s="19">
        <f>+'P01 2022'!CC76</f>
        <v>5465.1459999999997</v>
      </c>
      <c r="AC103" s="19">
        <f>+'P01 2022'!CY74</f>
        <v>5465.1459999999997</v>
      </c>
      <c r="AD103" s="19">
        <f>+'P01 2022'!DR68</f>
        <v>5465.1459999999997</v>
      </c>
      <c r="AE103" s="1345">
        <f>+'P01 2022'!EJ74</f>
        <v>5465.1459999999997</v>
      </c>
      <c r="AF103" s="333">
        <f>+'P01 2022'!FC70</f>
        <v>5465.1459999999997</v>
      </c>
      <c r="AG103" s="19">
        <f>+'P01 2022'!GA77</f>
        <v>5465.1459999999997</v>
      </c>
      <c r="AH103" s="1186">
        <f>+'P01 2022'!GX80</f>
        <v>5465.1459999999997</v>
      </c>
      <c r="AI103" s="71"/>
      <c r="AJ103" s="1421"/>
      <c r="AK103" s="1421"/>
      <c r="AL103" s="1421"/>
      <c r="AM103" s="1421"/>
      <c r="AN103" s="71"/>
      <c r="AO103" s="1498"/>
      <c r="AP103" s="1498"/>
      <c r="AQ103" s="1498"/>
      <c r="AR103" s="1498"/>
      <c r="AS103" s="1480"/>
      <c r="AT103" s="417"/>
      <c r="AU103" s="803"/>
      <c r="AV103" s="803"/>
      <c r="AW103" s="803"/>
      <c r="AX103" s="803"/>
    </row>
    <row r="104" spans="1:50" s="180" customFormat="1" ht="15" customHeight="1" x14ac:dyDescent="0.25">
      <c r="A104" s="1508" t="s">
        <v>393</v>
      </c>
      <c r="B104" s="861"/>
      <c r="C104" s="185"/>
      <c r="D104" s="18" t="s">
        <v>181</v>
      </c>
      <c r="E104" s="18"/>
      <c r="F104" s="18" t="str">
        <f t="shared" si="54"/>
        <v>22.05.006</v>
      </c>
      <c r="G104" s="1532" t="s">
        <v>58</v>
      </c>
      <c r="H104" s="1295">
        <f>+'P01 2023'!F88</f>
        <v>7155.7690000000002</v>
      </c>
      <c r="I104" s="99">
        <f>+'P01 2023'!BB90</f>
        <v>7114.2860000000001</v>
      </c>
      <c r="J104" s="19">
        <f ca="1">SUMIF(S$3:$AH94,"ok",S104:AH104)</f>
        <v>0</v>
      </c>
      <c r="K104" s="740">
        <f t="shared" ca="1" si="41"/>
        <v>0</v>
      </c>
      <c r="L104" s="99">
        <f>+'P01 2023'!BC90</f>
        <v>7095.7690000000002</v>
      </c>
      <c r="M104" s="740">
        <f t="shared" si="53"/>
        <v>0.99739720893987116</v>
      </c>
      <c r="N104" s="99">
        <f>+'P01 2023'!BE90</f>
        <v>18.516999999999999</v>
      </c>
      <c r="O104" s="631">
        <f t="shared" si="50"/>
        <v>2.6027910601288729E-3</v>
      </c>
      <c r="P104" s="1520">
        <f>+'P01 2022'!AZ84</f>
        <v>10630</v>
      </c>
      <c r="Q104" s="1121">
        <f ca="1">SUMIF(S$3:$AH95,"SI",S104:AH104)</f>
        <v>530.41255099999989</v>
      </c>
      <c r="R104" s="1308">
        <f t="shared" ca="1" si="51"/>
        <v>4.9897699999999989E-2</v>
      </c>
      <c r="S104" s="1330">
        <f>+'P01 2023'!I88</f>
        <v>0</v>
      </c>
      <c r="T104" s="1186">
        <f>+'P01 2022'!F82</f>
        <v>265.24188599999997</v>
      </c>
      <c r="U104" s="1295">
        <v>0</v>
      </c>
      <c r="V104" s="1345">
        <f>+'P01 2022'!M64</f>
        <v>0</v>
      </c>
      <c r="W104" s="578">
        <f>+'P01 2023'!AD78</f>
        <v>0</v>
      </c>
      <c r="X104" s="1345">
        <f>+'P01 2022'!AB73</f>
        <v>132.59649399999998</v>
      </c>
      <c r="Y104" s="1295">
        <v>0</v>
      </c>
      <c r="Z104" s="1186">
        <f>+'P01 2022'!AQ77</f>
        <v>132.57417099999998</v>
      </c>
      <c r="AA104" s="1312">
        <f>+'P01 2022'!BI65</f>
        <v>0</v>
      </c>
      <c r="AB104" s="19">
        <f>+'P01 2022'!CC77</f>
        <v>264.01100000000002</v>
      </c>
      <c r="AC104" s="19">
        <f>+'P01 2022'!CY75</f>
        <v>0</v>
      </c>
      <c r="AD104" s="19">
        <f>+'P01 2022'!DR69</f>
        <v>0</v>
      </c>
      <c r="AE104" s="1345">
        <f>+'P01 2022'!EJ75</f>
        <v>616.79899999999998</v>
      </c>
      <c r="AF104" s="333">
        <f>+'P01 2022'!FC71</f>
        <v>160.16300000000001</v>
      </c>
      <c r="AG104" s="19">
        <f>+'P01 2022'!GA78</f>
        <v>0</v>
      </c>
      <c r="AH104" s="1186">
        <f>+'P01 2022'!GX81</f>
        <v>320.32600000000002</v>
      </c>
      <c r="AI104" s="71"/>
      <c r="AJ104" s="1421"/>
      <c r="AK104" s="1421"/>
      <c r="AL104" s="1421"/>
      <c r="AM104" s="1421"/>
      <c r="AN104" s="71"/>
      <c r="AO104" s="1498"/>
      <c r="AP104" s="1498"/>
      <c r="AQ104" s="1498"/>
      <c r="AR104" s="1498"/>
      <c r="AS104" s="1480"/>
      <c r="AT104" s="417"/>
      <c r="AU104" s="803"/>
      <c r="AV104" s="803"/>
      <c r="AW104" s="803"/>
      <c r="AX104" s="803"/>
    </row>
    <row r="105" spans="1:50" s="180" customFormat="1" ht="15" customHeight="1" x14ac:dyDescent="0.25">
      <c r="A105" s="1508" t="s">
        <v>394</v>
      </c>
      <c r="B105" s="861"/>
      <c r="C105" s="185"/>
      <c r="D105" s="18" t="s">
        <v>170</v>
      </c>
      <c r="E105" s="18"/>
      <c r="F105" s="18" t="str">
        <f t="shared" si="54"/>
        <v>22.05.007</v>
      </c>
      <c r="G105" s="1532" t="s">
        <v>59</v>
      </c>
      <c r="H105" s="1295">
        <f>+'P01 2023'!F89</f>
        <v>6600</v>
      </c>
      <c r="I105" s="99">
        <f>+'P01 2023'!BB91</f>
        <v>7114.7629999999999</v>
      </c>
      <c r="J105" s="19">
        <f ca="1">SUMIF(S$3:$AH95,"ok",S105:AH105)</f>
        <v>2845.902</v>
      </c>
      <c r="K105" s="740">
        <f t="shared" ca="1" si="41"/>
        <v>0.3999995502309775</v>
      </c>
      <c r="L105" s="99">
        <f>+'P01 2023'!BC91</f>
        <v>7114.7629999999999</v>
      </c>
      <c r="M105" s="740">
        <f t="shared" si="53"/>
        <v>1</v>
      </c>
      <c r="N105" s="99">
        <f>+'P01 2023'!BE91</f>
        <v>0</v>
      </c>
      <c r="O105" s="631">
        <f t="shared" si="50"/>
        <v>0</v>
      </c>
      <c r="P105" s="1520">
        <f>+'P01 2022'!AZ85</f>
        <v>6484.2999999999993</v>
      </c>
      <c r="Q105" s="1121">
        <f ca="1">SUMIF(S$3:$AH96,"SI",S105:AH105)</f>
        <v>2040.1436159999998</v>
      </c>
      <c r="R105" s="1308">
        <f t="shared" ca="1" si="51"/>
        <v>0.31462819672131148</v>
      </c>
      <c r="S105" s="1330">
        <f>+'P01 2023'!I89</f>
        <v>0</v>
      </c>
      <c r="T105" s="1186">
        <f>+'P01 2022'!F83</f>
        <v>510.03590399999996</v>
      </c>
      <c r="U105" s="1295">
        <v>0</v>
      </c>
      <c r="V105" s="1345">
        <f>+'P01 2022'!M65</f>
        <v>510.03590399999996</v>
      </c>
      <c r="W105" s="578">
        <f>+'P01 2023'!AD79</f>
        <v>2845.902</v>
      </c>
      <c r="X105" s="1345">
        <f>+'P01 2022'!AB74</f>
        <v>510.03590399999996</v>
      </c>
      <c r="Y105" s="1295">
        <v>0</v>
      </c>
      <c r="Z105" s="1186">
        <f>+'P01 2022'!AQ78</f>
        <v>510.03590399999996</v>
      </c>
      <c r="AA105" s="1312">
        <f>+'P01 2022'!BI66</f>
        <v>479.80799999999999</v>
      </c>
      <c r="AB105" s="19">
        <f>+'P01 2022'!CC78</f>
        <v>479.80799999999999</v>
      </c>
      <c r="AC105" s="19">
        <f>+'P01 2022'!CY76</f>
        <v>479.80799999999999</v>
      </c>
      <c r="AD105" s="19">
        <f>+'P01 2022'!DR70</f>
        <v>479.80799999999999</v>
      </c>
      <c r="AE105" s="1345">
        <f>+'P01 2022'!EJ76</f>
        <v>479.80799999999999</v>
      </c>
      <c r="AF105" s="333">
        <f>+'P01 2022'!FC72</f>
        <v>479.80799999999999</v>
      </c>
      <c r="AG105" s="19">
        <f>+'P01 2022'!GA79</f>
        <v>0</v>
      </c>
      <c r="AH105" s="1187">
        <v>0</v>
      </c>
      <c r="AI105" s="71"/>
      <c r="AJ105" s="1421"/>
      <c r="AK105" s="1421"/>
      <c r="AL105" s="1421"/>
      <c r="AM105" s="1421"/>
      <c r="AN105" s="71"/>
      <c r="AO105" s="1498"/>
      <c r="AP105" s="1498"/>
      <c r="AQ105" s="1498"/>
      <c r="AR105" s="1498"/>
      <c r="AS105" s="1480"/>
      <c r="AT105" s="417"/>
      <c r="AU105" s="803"/>
      <c r="AV105" s="803"/>
      <c r="AW105" s="803"/>
      <c r="AX105" s="803"/>
    </row>
    <row r="106" spans="1:50" s="180" customFormat="1" ht="15" customHeight="1" x14ac:dyDescent="0.25">
      <c r="A106" s="1508" t="s">
        <v>595</v>
      </c>
      <c r="B106" s="861"/>
      <c r="C106" s="185"/>
      <c r="D106" s="18" t="s">
        <v>171</v>
      </c>
      <c r="E106" s="18"/>
      <c r="F106" s="18" t="str">
        <f t="shared" si="54"/>
        <v>22.05.008</v>
      </c>
      <c r="G106" s="1532" t="s">
        <v>60</v>
      </c>
      <c r="H106" s="1295">
        <f>+'P01 2023'!F90</f>
        <v>38400</v>
      </c>
      <c r="I106" s="99">
        <f>+'P01 2023'!BB92</f>
        <v>38400</v>
      </c>
      <c r="J106" s="19">
        <f ca="1">SUMIF(S$3:$AH96,"ok",S106:AH106)</f>
        <v>9407.4179999999997</v>
      </c>
      <c r="K106" s="740">
        <f t="shared" ca="1" si="41"/>
        <v>0.24498484374999999</v>
      </c>
      <c r="L106" s="99">
        <f>+'P01 2023'!BC92</f>
        <v>37629.671999999999</v>
      </c>
      <c r="M106" s="740">
        <f t="shared" si="53"/>
        <v>0.97993937499999995</v>
      </c>
      <c r="N106" s="99">
        <f>+'P01 2023'!BE92</f>
        <v>770.32799999999997</v>
      </c>
      <c r="O106" s="631">
        <f t="shared" si="50"/>
        <v>2.0060624999999999E-2</v>
      </c>
      <c r="P106" s="1520">
        <f>+'P01 2022'!AZ86</f>
        <v>38268</v>
      </c>
      <c r="Q106" s="1121">
        <f ca="1">SUMIF(S$3:$AH97,"SI",S106:AH106)</f>
        <v>12270.970108</v>
      </c>
      <c r="R106" s="1308">
        <f t="shared" ca="1" si="51"/>
        <v>0.32065877777777779</v>
      </c>
      <c r="S106" s="1330">
        <f>+'P01 2023'!I90</f>
        <v>0</v>
      </c>
      <c r="T106" s="1186">
        <f>+'P01 2022'!F84</f>
        <v>3067.7425269999999</v>
      </c>
      <c r="U106" s="1295">
        <v>0</v>
      </c>
      <c r="V106" s="1345">
        <f>+'P01 2022'!M66</f>
        <v>3067.7425269999999</v>
      </c>
      <c r="W106" s="578">
        <f>+'P01 2023'!AD80</f>
        <v>0</v>
      </c>
      <c r="X106" s="1345">
        <f>+'P01 2022'!AB75</f>
        <v>3067.7425269999999</v>
      </c>
      <c r="Y106" s="1295">
        <f>+'P01 2023'!AT77</f>
        <v>9407.4179999999997</v>
      </c>
      <c r="Z106" s="1186">
        <f>+'P01 2022'!AQ79</f>
        <v>3067.7425269999999</v>
      </c>
      <c r="AA106" s="1312">
        <f>+'P01 2022'!BI67</f>
        <v>2885.9290000000001</v>
      </c>
      <c r="AB106" s="19">
        <f>+'P01 2022'!CC79</f>
        <v>2885.9290000000001</v>
      </c>
      <c r="AC106" s="19">
        <f>+'P01 2022'!CY77</f>
        <v>3088.2289999999998</v>
      </c>
      <c r="AD106" s="19">
        <f>+'P01 2022'!DR71</f>
        <v>2885.9290000000001</v>
      </c>
      <c r="AE106" s="1345">
        <f>+'P01 2022'!EJ77</f>
        <v>2885.9290000000001</v>
      </c>
      <c r="AF106" s="333">
        <f>+'P01 2022'!FC73</f>
        <v>2885.9290000000001</v>
      </c>
      <c r="AG106" s="19">
        <f>+'P01 2022'!GA80</f>
        <v>2885.9290000000001</v>
      </c>
      <c r="AH106" s="1187">
        <v>0</v>
      </c>
      <c r="AI106" s="71"/>
      <c r="AJ106" s="1421"/>
      <c r="AK106" s="1421"/>
      <c r="AL106" s="1421"/>
      <c r="AM106" s="1421"/>
      <c r="AN106" s="71"/>
      <c r="AO106" s="1498"/>
      <c r="AP106" s="1498"/>
      <c r="AQ106" s="1498"/>
      <c r="AR106" s="1498"/>
      <c r="AS106" s="1480"/>
      <c r="AT106" s="417"/>
      <c r="AU106" s="803"/>
      <c r="AV106" s="803"/>
      <c r="AW106" s="803"/>
      <c r="AX106" s="803"/>
    </row>
    <row r="107" spans="1:50" s="1149" customFormat="1" ht="15" customHeight="1" x14ac:dyDescent="0.25">
      <c r="A107" s="1508" t="s">
        <v>395</v>
      </c>
      <c r="B107" s="862"/>
      <c r="C107" s="187" t="s">
        <v>182</v>
      </c>
      <c r="D107" s="139"/>
      <c r="E107" s="139"/>
      <c r="F107" s="139"/>
      <c r="G107" s="1533" t="s">
        <v>110</v>
      </c>
      <c r="H107" s="1296">
        <f>+'P01 2023'!F91</f>
        <v>64128.5</v>
      </c>
      <c r="I107" s="17">
        <f>+'P01 2023'!BB93</f>
        <v>62915.716</v>
      </c>
      <c r="J107" s="17">
        <f ca="1">SUM(J108:J114)</f>
        <v>27232.602999999999</v>
      </c>
      <c r="K107" s="739">
        <f t="shared" ca="1" si="41"/>
        <v>0.43284261439542387</v>
      </c>
      <c r="L107" s="17">
        <f>+'P01 2023'!BC93</f>
        <v>50833.946000000004</v>
      </c>
      <c r="M107" s="844">
        <f t="shared" si="49"/>
        <v>0.80796896597346213</v>
      </c>
      <c r="N107" s="17">
        <f>+'P01 2023'!BE93</f>
        <v>12081.77</v>
      </c>
      <c r="O107" s="1294">
        <f t="shared" si="50"/>
        <v>0.19203103402653798</v>
      </c>
      <c r="P107" s="1522">
        <f>SUM(P108:P114)</f>
        <v>22062.671299999998</v>
      </c>
      <c r="Q107" s="1153">
        <f ca="1">SUMIF(S$3:$AH99,"SI",S107:AH107)</f>
        <v>5653.3305769999997</v>
      </c>
      <c r="R107" s="1304">
        <f t="shared" ca="1" si="51"/>
        <v>0.25623962303241132</v>
      </c>
      <c r="S107" s="1293">
        <f>+'P01 2023'!I91</f>
        <v>14879.873</v>
      </c>
      <c r="T107" s="379">
        <v>0</v>
      </c>
      <c r="U107" s="1324">
        <f>+'P01 2023'!N62</f>
        <v>5617.1890000000003</v>
      </c>
      <c r="V107" s="1346">
        <f t="shared" ref="V107:AD107" si="55">SUM(V108:V114)</f>
        <v>736.00100299999997</v>
      </c>
      <c r="W107" s="1398">
        <f>SUM(W108:W114)</f>
        <v>2683.9990000000003</v>
      </c>
      <c r="X107" s="1346">
        <f t="shared" si="55"/>
        <v>3184.7076059999995</v>
      </c>
      <c r="Y107" s="1324">
        <f>SUM(Y108:Y114)</f>
        <v>4051.5420000000004</v>
      </c>
      <c r="Z107" s="379">
        <f>SUM(Z108:Z114)</f>
        <v>1732.6219680000002</v>
      </c>
      <c r="AA107" s="220">
        <f t="shared" si="55"/>
        <v>1234.6769999999999</v>
      </c>
      <c r="AB107" s="3">
        <f t="shared" si="55"/>
        <v>1105.519</v>
      </c>
      <c r="AC107" s="3">
        <f t="shared" si="55"/>
        <v>1198.277</v>
      </c>
      <c r="AD107" s="3">
        <f t="shared" si="55"/>
        <v>10262.411</v>
      </c>
      <c r="AE107" s="3">
        <f>+AE108+AE109+AE113</f>
        <v>2855.2050000000004</v>
      </c>
      <c r="AF107" s="3">
        <f>SUM(AF108:AF114)</f>
        <v>1299.77</v>
      </c>
      <c r="AG107" s="3">
        <f>+'P01 2022'!GA81</f>
        <v>3583.3380000000002</v>
      </c>
      <c r="AH107" s="379">
        <f>+'P01 2022'!GX82</f>
        <v>13902.290999999999</v>
      </c>
      <c r="AI107" s="71"/>
      <c r="AJ107" s="1421"/>
      <c r="AK107" s="1421"/>
      <c r="AL107" s="1421"/>
      <c r="AM107" s="1421"/>
      <c r="AN107" s="71"/>
      <c r="AO107" s="1498"/>
      <c r="AP107" s="1498"/>
      <c r="AQ107" s="1498"/>
      <c r="AR107" s="1498"/>
      <c r="AS107" s="1480"/>
      <c r="AT107" s="417"/>
      <c r="AU107" s="803"/>
      <c r="AV107" s="803"/>
      <c r="AW107" s="803"/>
      <c r="AX107" s="803"/>
    </row>
    <row r="108" spans="1:50" s="180" customFormat="1" ht="15" customHeight="1" x14ac:dyDescent="0.25">
      <c r="A108" s="1508" t="s">
        <v>596</v>
      </c>
      <c r="B108" s="861"/>
      <c r="C108" s="185"/>
      <c r="D108" s="18" t="s">
        <v>169</v>
      </c>
      <c r="E108" s="18"/>
      <c r="F108" s="18" t="str">
        <f>+CONCATENATE($B$78,"",$C$107,"",D108)</f>
        <v>22.06.001</v>
      </c>
      <c r="G108" s="1532" t="s">
        <v>111</v>
      </c>
      <c r="H108" s="1295">
        <f>+'P01 2023'!F92</f>
        <v>26300</v>
      </c>
      <c r="I108" s="99">
        <f>+'P01 2023'!BB94</f>
        <v>40002.733</v>
      </c>
      <c r="J108" s="19">
        <f ca="1">SUMIF(S$3:$AH99,"ok",S108:AH108)</f>
        <v>19508.618999999999</v>
      </c>
      <c r="K108" s="740">
        <f t="shared" ca="1" si="41"/>
        <v>0.48768215411681992</v>
      </c>
      <c r="L108" s="99">
        <f>+'P01 2023'!BC94</f>
        <v>39797.629999999997</v>
      </c>
      <c r="M108" s="740">
        <f t="shared" si="49"/>
        <v>0.9948727753176263</v>
      </c>
      <c r="N108" s="99">
        <f>+'P01 2023'!BE94</f>
        <v>205.10300000000001</v>
      </c>
      <c r="O108" s="631">
        <f t="shared" si="50"/>
        <v>5.1272246823735775E-3</v>
      </c>
      <c r="P108" s="1523">
        <f>+'P01 2022'!AZ88</f>
        <v>366.84129999999999</v>
      </c>
      <c r="Q108" s="1289">
        <f ca="1">SUMIF(S$3:$AH100,"SI",S108:AH108)</f>
        <v>366.84130000000005</v>
      </c>
      <c r="R108" s="1542">
        <f ca="1">IFERROR(Q108/P108,"0,00%")</f>
        <v>1.0000000000000002</v>
      </c>
      <c r="S108" s="1330">
        <f>+'P01 2023'!I92</f>
        <v>13197.645</v>
      </c>
      <c r="T108" s="1186">
        <v>0</v>
      </c>
      <c r="U108" s="1295">
        <f>+'P01 2023'!N63</f>
        <v>4581</v>
      </c>
      <c r="V108" s="1345">
        <v>0</v>
      </c>
      <c r="W108" s="578">
        <f>+'P01 2023'!AD82</f>
        <v>0</v>
      </c>
      <c r="X108" s="1345">
        <f>+'P01 2022'!AB77</f>
        <v>88.547899999999998</v>
      </c>
      <c r="Y108" s="1295">
        <f>+'P01 2023'!AT79</f>
        <v>1729.9739999999999</v>
      </c>
      <c r="Z108" s="1186">
        <f>+'P01 2022'!AQ81</f>
        <v>278.29340000000002</v>
      </c>
      <c r="AA108" s="219">
        <f>+'P01 2022'!BI69</f>
        <v>81.489999999999995</v>
      </c>
      <c r="AB108" s="19">
        <f>+'P01 2022'!CC81</f>
        <v>140</v>
      </c>
      <c r="AC108" s="19">
        <f>+'P01 2022'!CY79</f>
        <v>0</v>
      </c>
      <c r="AD108" s="19">
        <f>+'P01 2022'!DR73</f>
        <v>2332.5329999999999</v>
      </c>
      <c r="AE108" s="1345">
        <f>+'P01 2022'!EJ79</f>
        <v>2018.0640000000001</v>
      </c>
      <c r="AF108" s="333">
        <f>+'P01 2022'!FC75</f>
        <v>0</v>
      </c>
      <c r="AG108" s="19">
        <v>0</v>
      </c>
      <c r="AH108" s="1186">
        <f>+'P01 2022'!GX83</f>
        <v>12599.601000000001</v>
      </c>
      <c r="AI108" s="71"/>
      <c r="AJ108" s="1421"/>
      <c r="AK108" s="1421"/>
      <c r="AL108" s="1421"/>
      <c r="AM108" s="1421"/>
      <c r="AN108" s="71"/>
      <c r="AO108" s="1498"/>
      <c r="AP108" s="1498"/>
      <c r="AQ108" s="1498"/>
      <c r="AR108" s="1498"/>
      <c r="AS108" s="1480"/>
      <c r="AT108" s="417"/>
      <c r="AU108" s="803"/>
      <c r="AV108" s="803"/>
      <c r="AW108" s="803"/>
      <c r="AX108" s="803"/>
    </row>
    <row r="109" spans="1:50" s="180" customFormat="1" ht="15" customHeight="1" x14ac:dyDescent="0.25">
      <c r="A109" s="1508" t="s">
        <v>597</v>
      </c>
      <c r="B109" s="861"/>
      <c r="C109" s="185"/>
      <c r="D109" s="18" t="s">
        <v>165</v>
      </c>
      <c r="E109" s="18"/>
      <c r="F109" s="18" t="str">
        <f>+CONCATENATE($B$78,"",$C$107,"",D109)</f>
        <v>22.06.002</v>
      </c>
      <c r="G109" s="1532" t="s">
        <v>61</v>
      </c>
      <c r="H109" s="1295">
        <f>+'P01 2023'!F93</f>
        <v>26512.2</v>
      </c>
      <c r="I109" s="99">
        <f>+'P01 2023'!BB95</f>
        <v>14894.383</v>
      </c>
      <c r="J109" s="19">
        <f ca="1">SUMIF(S$3:$AH100,"ok",S109:AH109)</f>
        <v>5871.3260000000009</v>
      </c>
      <c r="K109" s="740">
        <f t="shared" ca="1" si="41"/>
        <v>0.3941973292884976</v>
      </c>
      <c r="L109" s="99">
        <f>+'P01 2023'!BC95</f>
        <v>6322.6090000000004</v>
      </c>
      <c r="M109" s="740">
        <f t="shared" si="49"/>
        <v>0.42449620101752455</v>
      </c>
      <c r="N109" s="99">
        <f>+'P01 2023'!BE95</f>
        <v>8571.7739999999994</v>
      </c>
      <c r="O109" s="631">
        <f t="shared" si="50"/>
        <v>0.57550379898247539</v>
      </c>
      <c r="P109" s="1520">
        <f>+'P01 2022'!AZ89</f>
        <v>12756</v>
      </c>
      <c r="Q109" s="1121">
        <f ca="1">SUMIF(S$3:$AH101,"SI",S109:AH109)</f>
        <v>4391.3135909999992</v>
      </c>
      <c r="R109" s="1308">
        <f t="shared" ca="1" si="51"/>
        <v>0.34425474999999994</v>
      </c>
      <c r="S109" s="1330">
        <f>+'P01 2023'!I93</f>
        <v>297.74900000000002</v>
      </c>
      <c r="T109" s="1186">
        <v>0</v>
      </c>
      <c r="U109" s="1295">
        <f>+'P01 2023'!N64</f>
        <v>1036.1890000000001</v>
      </c>
      <c r="V109" s="1345">
        <f>+'P01 2022'!M68</f>
        <v>288.41316</v>
      </c>
      <c r="W109" s="578">
        <f>+'P01 2023'!AD83</f>
        <v>2215.8200000000002</v>
      </c>
      <c r="X109" s="1345">
        <f>+'P01 2022'!AB78</f>
        <v>3096.1597059999995</v>
      </c>
      <c r="Y109" s="1295">
        <f>+'P01 2023'!AT80</f>
        <v>2321.5680000000002</v>
      </c>
      <c r="Z109" s="1186">
        <f>+'P01 2022'!AQ82</f>
        <v>1006.740725</v>
      </c>
      <c r="AA109" s="219">
        <f>+'P01 2022'!BI70</f>
        <v>1153.1869999999999</v>
      </c>
      <c r="AB109" s="19">
        <f>+'P01 2022'!CC82</f>
        <v>544.45799999999997</v>
      </c>
      <c r="AC109" s="19">
        <f>+'P01 2022'!CY80</f>
        <v>777.21600000000001</v>
      </c>
      <c r="AD109" s="19">
        <f>+'P01 2022'!DR74</f>
        <v>1196.1079999999999</v>
      </c>
      <c r="AE109" s="1345">
        <f>+'P01 2022'!EJ80</f>
        <v>416.08</v>
      </c>
      <c r="AF109" s="333">
        <f>+'P01 2022'!FC76</f>
        <v>414.45</v>
      </c>
      <c r="AG109" s="19">
        <f>+'P01 2022'!GA82</f>
        <v>3162.277</v>
      </c>
      <c r="AH109" s="1186">
        <f>+'P01 2022'!GX84</f>
        <v>1302.69</v>
      </c>
      <c r="AI109" s="71"/>
      <c r="AJ109" s="1421"/>
      <c r="AK109" s="1421"/>
      <c r="AL109" s="1421"/>
      <c r="AM109" s="1421"/>
      <c r="AN109" s="71"/>
      <c r="AO109" s="1498"/>
      <c r="AP109" s="1498"/>
      <c r="AQ109" s="1498"/>
      <c r="AR109" s="1498"/>
      <c r="AS109" s="1480"/>
      <c r="AT109" s="417"/>
      <c r="AU109" s="803"/>
      <c r="AV109" s="803"/>
      <c r="AW109" s="803"/>
      <c r="AX109" s="803"/>
    </row>
    <row r="110" spans="1:50" s="180" customFormat="1" ht="15" customHeight="1" x14ac:dyDescent="0.25">
      <c r="A110" s="1508" t="s">
        <v>598</v>
      </c>
      <c r="B110" s="861"/>
      <c r="C110" s="185"/>
      <c r="D110" s="18" t="s">
        <v>166</v>
      </c>
      <c r="E110" s="18"/>
      <c r="F110" s="18" t="str">
        <f>+CONCATENATE($B$78,"",$C$107,"",D110)</f>
        <v>22.06.003</v>
      </c>
      <c r="G110" s="1532" t="s">
        <v>112</v>
      </c>
      <c r="H110" s="1295">
        <f>+'P01 2023'!F94</f>
        <v>2000</v>
      </c>
      <c r="I110" s="99">
        <f>+'P01 2023'!BB96</f>
        <v>0</v>
      </c>
      <c r="J110" s="19">
        <f ca="1">SUMIF(S$3:$AH101,"ok",S110:AH110)</f>
        <v>0</v>
      </c>
      <c r="K110" s="740">
        <v>0</v>
      </c>
      <c r="L110" s="99">
        <f>+'P01 2023'!BC96</f>
        <v>0</v>
      </c>
      <c r="M110" s="740">
        <f t="shared" si="49"/>
        <v>0</v>
      </c>
      <c r="N110" s="99">
        <f>+'P01 2023'!BE96</f>
        <v>0</v>
      </c>
      <c r="O110" s="631">
        <f t="shared" si="50"/>
        <v>0</v>
      </c>
      <c r="P110" s="1520">
        <v>0</v>
      </c>
      <c r="Q110" s="1121">
        <f ca="1">SUMIF(S$3:$AH102,"SI",S110:AH110)</f>
        <v>0</v>
      </c>
      <c r="R110" s="1308" t="str">
        <f ca="1">IFERROR(Q110/#REF!,"0,00%")</f>
        <v>0,00%</v>
      </c>
      <c r="S110" s="1330">
        <f>+'P01 2023'!I94</f>
        <v>0</v>
      </c>
      <c r="T110" s="1186">
        <v>0</v>
      </c>
      <c r="U110" s="1295">
        <v>0</v>
      </c>
      <c r="V110" s="1345">
        <v>0</v>
      </c>
      <c r="W110" s="578">
        <f>+'P01 2023'!AD84</f>
        <v>0</v>
      </c>
      <c r="X110" s="1345">
        <v>0</v>
      </c>
      <c r="Y110" s="1295">
        <v>0</v>
      </c>
      <c r="Z110" s="1186">
        <f>+'P01 2022'!AQ83</f>
        <v>0</v>
      </c>
      <c r="AA110" s="219">
        <v>0</v>
      </c>
      <c r="AB110" s="19">
        <v>0</v>
      </c>
      <c r="AC110" s="19">
        <v>0</v>
      </c>
      <c r="AD110" s="19">
        <v>0</v>
      </c>
      <c r="AE110" s="1345">
        <v>0</v>
      </c>
      <c r="AF110" s="333">
        <f>+'P01 2022'!FC77</f>
        <v>749.7</v>
      </c>
      <c r="AG110" s="19">
        <f>+'P01 2022'!GA83</f>
        <v>0</v>
      </c>
      <c r="AH110" s="1187">
        <v>0</v>
      </c>
      <c r="AI110" s="71"/>
      <c r="AJ110" s="1421"/>
      <c r="AK110" s="1421"/>
      <c r="AL110" s="1421"/>
      <c r="AM110" s="1421"/>
      <c r="AN110" s="71"/>
      <c r="AO110" s="1498"/>
      <c r="AP110" s="1498"/>
      <c r="AQ110" s="1498"/>
      <c r="AR110" s="1498"/>
      <c r="AS110" s="1480"/>
      <c r="AT110" s="417"/>
      <c r="AU110" s="803"/>
      <c r="AV110" s="803"/>
      <c r="AW110" s="803"/>
      <c r="AX110" s="803"/>
    </row>
    <row r="111" spans="1:50" s="180" customFormat="1" ht="16.5" customHeight="1" x14ac:dyDescent="0.25">
      <c r="A111" s="1512" t="s">
        <v>599</v>
      </c>
      <c r="B111" s="861"/>
      <c r="C111" s="185"/>
      <c r="D111" s="18" t="s">
        <v>179</v>
      </c>
      <c r="E111" s="18"/>
      <c r="F111" s="18" t="s">
        <v>879</v>
      </c>
      <c r="G111" s="1538" t="s">
        <v>651</v>
      </c>
      <c r="H111" s="1295">
        <f>+'P01 2023'!F95</f>
        <v>916.3</v>
      </c>
      <c r="I111" s="99">
        <f>+'P01 2023'!BB97</f>
        <v>1118.5999999999999</v>
      </c>
      <c r="J111" s="19">
        <f ca="1">SUMIF(S$3:$AH102,"ok",S111:AH111)</f>
        <v>916.3</v>
      </c>
      <c r="K111" s="740">
        <f t="shared" ca="1" si="41"/>
        <v>0.81914893617021278</v>
      </c>
      <c r="L111" s="99">
        <f>+'P01 2023'!BC97</f>
        <v>916.3</v>
      </c>
      <c r="M111" s="740">
        <f t="shared" si="49"/>
        <v>0.81914893617021278</v>
      </c>
      <c r="N111" s="99">
        <f>+'P01 2023'!BE97</f>
        <v>202.3</v>
      </c>
      <c r="O111" s="631">
        <v>0</v>
      </c>
      <c r="P111" s="1520">
        <v>0</v>
      </c>
      <c r="Q111" s="1121">
        <f ca="1">SUMIF(S$3:$AH103,"SI",S111:AH111)</f>
        <v>0</v>
      </c>
      <c r="R111" s="1308" t="str">
        <f ca="1">IFERROR(Q111/P111,"0,00%")</f>
        <v>0,00%</v>
      </c>
      <c r="S111" s="1330">
        <f>+'P01 2023'!I95</f>
        <v>916.3</v>
      </c>
      <c r="T111" s="1186">
        <v>0</v>
      </c>
      <c r="U111" s="1295">
        <v>0</v>
      </c>
      <c r="V111" s="1345">
        <v>0</v>
      </c>
      <c r="W111" s="578">
        <v>0</v>
      </c>
      <c r="X111" s="1345">
        <v>0</v>
      </c>
      <c r="Y111" s="1295">
        <v>0</v>
      </c>
      <c r="Z111" s="1186">
        <v>0</v>
      </c>
      <c r="AA111" s="219">
        <v>0</v>
      </c>
      <c r="AB111" s="19">
        <v>0</v>
      </c>
      <c r="AC111" s="19">
        <v>0</v>
      </c>
      <c r="AD111" s="19">
        <v>0</v>
      </c>
      <c r="AE111" s="1345">
        <v>0</v>
      </c>
      <c r="AF111" s="188">
        <v>0</v>
      </c>
      <c r="AG111" s="19">
        <v>0</v>
      </c>
      <c r="AH111" s="1187">
        <v>0</v>
      </c>
      <c r="AI111" s="71"/>
      <c r="AJ111" s="1421"/>
      <c r="AK111" s="1421"/>
      <c r="AL111" s="1421"/>
      <c r="AM111" s="1421"/>
      <c r="AN111" s="71"/>
      <c r="AO111" s="1498"/>
      <c r="AP111" s="1498"/>
      <c r="AQ111" s="1498"/>
      <c r="AR111" s="1498"/>
      <c r="AS111" s="1480"/>
      <c r="AT111" s="417"/>
      <c r="AU111" s="803"/>
      <c r="AV111" s="803"/>
      <c r="AW111" s="803"/>
      <c r="AX111" s="803"/>
    </row>
    <row r="112" spans="1:50" s="180" customFormat="1" ht="15" customHeight="1" x14ac:dyDescent="0.25">
      <c r="A112" s="1508" t="s">
        <v>717</v>
      </c>
      <c r="B112" s="861"/>
      <c r="C112" s="185"/>
      <c r="D112" s="18" t="s">
        <v>181</v>
      </c>
      <c r="E112" s="18"/>
      <c r="F112" s="18" t="str">
        <f>+CONCATENATE($B$78,"",$C$107,"",D112)</f>
        <v>22.06.006</v>
      </c>
      <c r="G112" s="1532" t="s">
        <v>719</v>
      </c>
      <c r="H112" s="1295">
        <v>0</v>
      </c>
      <c r="I112" s="99">
        <v>0</v>
      </c>
      <c r="J112" s="19">
        <f ca="1">SUMIF(S$3:$AH102,"ok",S112:AH112)</f>
        <v>0</v>
      </c>
      <c r="K112" s="740">
        <v>0</v>
      </c>
      <c r="L112" s="99">
        <v>0</v>
      </c>
      <c r="M112" s="740">
        <f t="shared" si="49"/>
        <v>0</v>
      </c>
      <c r="N112" s="99">
        <v>0</v>
      </c>
      <c r="O112" s="631">
        <f t="shared" ref="O112:O147" si="56">+IFERROR(N112/I112,0)</f>
        <v>0</v>
      </c>
      <c r="P112" s="1519">
        <f>+'P01 2022'!AZ90</f>
        <v>542.13</v>
      </c>
      <c r="Q112" s="1121">
        <f ca="1">SUMIF(S$3:$AH104,"SI",S112:AH112)</f>
        <v>0</v>
      </c>
      <c r="R112" s="1308">
        <f ca="1">IFERROR(Q112/P112,"0,00%")</f>
        <v>0</v>
      </c>
      <c r="S112" s="1330">
        <v>0</v>
      </c>
      <c r="T112" s="1186">
        <v>0</v>
      </c>
      <c r="U112" s="1295">
        <v>0</v>
      </c>
      <c r="V112" s="1345">
        <v>0</v>
      </c>
      <c r="W112" s="578">
        <v>0</v>
      </c>
      <c r="X112" s="1345">
        <v>0</v>
      </c>
      <c r="Y112" s="1295">
        <v>0</v>
      </c>
      <c r="Z112" s="1187">
        <v>0</v>
      </c>
      <c r="AA112" s="219">
        <v>0</v>
      </c>
      <c r="AB112" s="19">
        <v>0</v>
      </c>
      <c r="AC112" s="19">
        <f>+'P01 2022'!CY81</f>
        <v>0</v>
      </c>
      <c r="AD112" s="19">
        <v>0</v>
      </c>
      <c r="AE112" s="1345">
        <v>0</v>
      </c>
      <c r="AF112" s="188">
        <v>0</v>
      </c>
      <c r="AG112" s="19">
        <v>0</v>
      </c>
      <c r="AH112" s="1187">
        <v>0</v>
      </c>
      <c r="AI112" s="71"/>
      <c r="AJ112" s="1421"/>
      <c r="AK112" s="1421"/>
      <c r="AL112" s="1421"/>
      <c r="AM112" s="1421"/>
      <c r="AN112" s="71"/>
      <c r="AO112" s="1498"/>
      <c r="AP112" s="1498"/>
      <c r="AQ112" s="1498"/>
      <c r="AR112" s="1498"/>
      <c r="AS112" s="1480"/>
      <c r="AT112" s="417"/>
      <c r="AU112" s="803"/>
      <c r="AV112" s="803"/>
      <c r="AW112" s="803"/>
      <c r="AX112" s="803"/>
    </row>
    <row r="113" spans="1:50" s="180" customFormat="1" ht="15" customHeight="1" x14ac:dyDescent="0.25">
      <c r="A113" s="1508" t="s">
        <v>600</v>
      </c>
      <c r="B113" s="861"/>
      <c r="C113" s="185"/>
      <c r="D113" s="18" t="s">
        <v>170</v>
      </c>
      <c r="E113" s="18"/>
      <c r="F113" s="18" t="str">
        <f>+CONCATENATE($B$78,"",$C$107,"",D113)</f>
        <v>22.06.007</v>
      </c>
      <c r="G113" s="1532" t="s">
        <v>63</v>
      </c>
      <c r="H113" s="1295">
        <f>+'P01 2023'!F96</f>
        <v>8400</v>
      </c>
      <c r="I113" s="99">
        <f>+'P01 2023'!BB98</f>
        <v>6900</v>
      </c>
      <c r="J113" s="19">
        <f ca="1">SUMIF(S$3:$AH103,"ok",S113:AH113)</f>
        <v>936.35799999999995</v>
      </c>
      <c r="K113" s="740">
        <f t="shared" ca="1" si="41"/>
        <v>0.13570405797101448</v>
      </c>
      <c r="L113" s="99">
        <f>+'P01 2023'!BC98</f>
        <v>3797.4070000000002</v>
      </c>
      <c r="M113" s="740">
        <f t="shared" si="49"/>
        <v>0.55034884057971012</v>
      </c>
      <c r="N113" s="99">
        <f>+'P01 2023'!BE98</f>
        <v>3102.5929999999998</v>
      </c>
      <c r="O113" s="631">
        <f t="shared" si="56"/>
        <v>0.44965115942028983</v>
      </c>
      <c r="P113" s="1519">
        <f>+'P01 2022'!AZ91</f>
        <v>8397.6999999999989</v>
      </c>
      <c r="Q113" s="1121">
        <f ca="1">SUMIF(S$3:$AH105,"SI",S113:AH113)</f>
        <v>895.17568599999993</v>
      </c>
      <c r="R113" s="1308">
        <f t="shared" ca="1" si="51"/>
        <v>0.10659772151898735</v>
      </c>
      <c r="S113" s="1330">
        <f>+'P01 2023'!I96</f>
        <v>468.17899999999997</v>
      </c>
      <c r="T113" s="1186">
        <v>0</v>
      </c>
      <c r="U113" s="1295">
        <v>0</v>
      </c>
      <c r="V113" s="1345">
        <f>+'P01 2022'!M69</f>
        <v>447.58784299999996</v>
      </c>
      <c r="W113" s="578">
        <f>+'P01 2023'!AD85</f>
        <v>468.17899999999997</v>
      </c>
      <c r="X113" s="1345">
        <v>0</v>
      </c>
      <c r="Y113" s="1295">
        <v>0</v>
      </c>
      <c r="Z113" s="1186">
        <f>+'P01 2022'!AQ84</f>
        <v>447.58784299999996</v>
      </c>
      <c r="AA113" s="219">
        <v>0</v>
      </c>
      <c r="AB113" s="19">
        <f>+'P01 2022'!CC83</f>
        <v>421.06099999999998</v>
      </c>
      <c r="AC113" s="19">
        <f>+'P01 2022'!CY82</f>
        <v>421.06099999999998</v>
      </c>
      <c r="AD113" s="19">
        <f>+'P01 2022'!DR77</f>
        <v>6733.77</v>
      </c>
      <c r="AE113" s="1345">
        <f>+'P01 2022'!EJ81</f>
        <v>421.06099999999998</v>
      </c>
      <c r="AF113" s="333">
        <f>+'P01 2022'!FC78</f>
        <v>135.62</v>
      </c>
      <c r="AG113" s="19">
        <f>+'P01 2022'!GA84</f>
        <v>421.06099999999998</v>
      </c>
      <c r="AH113" s="1187">
        <v>0</v>
      </c>
      <c r="AI113" s="71"/>
      <c r="AJ113" s="1421"/>
      <c r="AK113" s="1421"/>
      <c r="AL113" s="1421"/>
      <c r="AM113" s="1421"/>
      <c r="AN113" s="71"/>
      <c r="AO113" s="1498"/>
      <c r="AP113" s="1498"/>
      <c r="AQ113" s="1498"/>
      <c r="AR113" s="1498"/>
      <c r="AS113" s="1480"/>
      <c r="AT113" s="417"/>
      <c r="AU113" s="803"/>
      <c r="AV113" s="803"/>
      <c r="AW113" s="803"/>
      <c r="AX113" s="803"/>
    </row>
    <row r="114" spans="1:50" s="180" customFormat="1" ht="15" customHeight="1" x14ac:dyDescent="0.25">
      <c r="A114" s="1508" t="s">
        <v>396</v>
      </c>
      <c r="B114" s="861"/>
      <c r="C114" s="185"/>
      <c r="D114" s="18" t="s">
        <v>177</v>
      </c>
      <c r="E114" s="18"/>
      <c r="F114" s="18" t="str">
        <f>+CONCATENATE($B$78,"",$C$107,"",D114)</f>
        <v>22.06.999</v>
      </c>
      <c r="G114" s="1532" t="s">
        <v>51</v>
      </c>
      <c r="H114" s="1295">
        <v>0</v>
      </c>
      <c r="I114" s="99">
        <v>0</v>
      </c>
      <c r="J114" s="19">
        <f ca="1">SUMIF(S$3:$AH104,"ok",S114:AH114)</f>
        <v>0</v>
      </c>
      <c r="K114" s="740">
        <v>0</v>
      </c>
      <c r="L114" s="99">
        <v>0</v>
      </c>
      <c r="M114" s="740">
        <f t="shared" si="49"/>
        <v>0</v>
      </c>
      <c r="N114" s="99">
        <v>0</v>
      </c>
      <c r="O114" s="631">
        <f t="shared" si="56"/>
        <v>0</v>
      </c>
      <c r="P114" s="1520">
        <v>0</v>
      </c>
      <c r="Q114" s="1121">
        <f ca="1">SUMIF(S$3:$AH106,"SI",S114:AH114)</f>
        <v>0</v>
      </c>
      <c r="R114" s="1308" t="str">
        <f ca="1">IFERROR(Q114/P114,"0,00%")</f>
        <v>0,00%</v>
      </c>
      <c r="S114" s="1330">
        <v>0</v>
      </c>
      <c r="T114" s="1186">
        <v>0</v>
      </c>
      <c r="U114" s="1295">
        <v>0</v>
      </c>
      <c r="V114" s="1345">
        <v>0</v>
      </c>
      <c r="W114" s="578">
        <v>0</v>
      </c>
      <c r="X114" s="1345">
        <v>0</v>
      </c>
      <c r="Y114" s="1295">
        <v>0</v>
      </c>
      <c r="Z114" s="1187">
        <v>0</v>
      </c>
      <c r="AA114" s="219">
        <v>0</v>
      </c>
      <c r="AB114" s="19">
        <v>0</v>
      </c>
      <c r="AC114" s="19">
        <v>0</v>
      </c>
      <c r="AD114" s="19">
        <v>0</v>
      </c>
      <c r="AE114" s="1345">
        <v>0</v>
      </c>
      <c r="AF114" s="188">
        <v>0</v>
      </c>
      <c r="AG114" s="19">
        <v>0</v>
      </c>
      <c r="AH114" s="1187">
        <v>0</v>
      </c>
      <c r="AI114" s="71"/>
      <c r="AJ114" s="1421"/>
      <c r="AK114" s="1421"/>
      <c r="AL114" s="1421"/>
      <c r="AM114" s="1421"/>
      <c r="AN114" s="71"/>
      <c r="AO114" s="1498"/>
      <c r="AP114" s="1498"/>
      <c r="AQ114" s="1498"/>
      <c r="AR114" s="1498"/>
      <c r="AS114" s="1480"/>
      <c r="AT114" s="417"/>
      <c r="AU114" s="803"/>
      <c r="AV114" s="803"/>
      <c r="AW114" s="803"/>
      <c r="AX114" s="803"/>
    </row>
    <row r="115" spans="1:50" s="1149" customFormat="1" ht="15" customHeight="1" x14ac:dyDescent="0.25">
      <c r="A115" s="1508" t="s">
        <v>397</v>
      </c>
      <c r="B115" s="862"/>
      <c r="C115" s="187" t="s">
        <v>183</v>
      </c>
      <c r="D115" s="139"/>
      <c r="E115" s="139"/>
      <c r="F115" s="139"/>
      <c r="G115" s="1536" t="s">
        <v>64</v>
      </c>
      <c r="H115" s="1296">
        <f>SUM(H116:H117)</f>
        <v>1912.9669999999999</v>
      </c>
      <c r="I115" s="17">
        <f>+'P01 2023'!BB99</f>
        <v>8102.1930000000002</v>
      </c>
      <c r="J115" s="17">
        <f ca="1">SUMIF(S$3:$AH105,"ok",S115:AH115)</f>
        <v>6153.6030000000001</v>
      </c>
      <c r="K115" s="739">
        <f t="shared" ca="1" si="41"/>
        <v>0.75949844690196833</v>
      </c>
      <c r="L115" s="17">
        <f>+'P01 2023'!BC99</f>
        <v>8102.1930000000002</v>
      </c>
      <c r="M115" s="739">
        <f t="shared" si="49"/>
        <v>1</v>
      </c>
      <c r="N115" s="17">
        <f>+'P01 2023'!BE99</f>
        <v>0</v>
      </c>
      <c r="O115" s="1526">
        <f t="shared" si="56"/>
        <v>0</v>
      </c>
      <c r="P115" s="222">
        <f>SUM(P116:P117)</f>
        <v>19132.724399999999</v>
      </c>
      <c r="Q115" s="17">
        <f ca="1">SUM(Q116:Q117)</f>
        <v>2700.090158</v>
      </c>
      <c r="R115" s="737">
        <f t="shared" ca="1" si="51"/>
        <v>0.14112418605684823</v>
      </c>
      <c r="S115" s="1296">
        <f>SUM(S116:S117)</f>
        <v>172.55</v>
      </c>
      <c r="T115" s="1209">
        <f t="shared" ref="T115:AE115" si="57">SUM(T116:T117)</f>
        <v>760.79016300000001</v>
      </c>
      <c r="U115" s="1296">
        <f>+'P01 2023'!N67</f>
        <v>131.1</v>
      </c>
      <c r="V115" s="1346">
        <f t="shared" si="57"/>
        <v>1176.8154099999999</v>
      </c>
      <c r="W115" s="1398">
        <f>+'P01 2023'!AD86</f>
        <v>4399.2690000000002</v>
      </c>
      <c r="X115" s="1346">
        <f t="shared" si="57"/>
        <v>109.338054</v>
      </c>
      <c r="Y115" s="1324">
        <f>SUM(Y116:Y117)</f>
        <v>1450.684</v>
      </c>
      <c r="Z115" s="379">
        <f>SUM(Z116:Z117)</f>
        <v>653.14653099999998</v>
      </c>
      <c r="AA115" s="220">
        <f t="shared" si="57"/>
        <v>917.59699999999998</v>
      </c>
      <c r="AB115" s="3">
        <f t="shared" si="57"/>
        <v>1058.348</v>
      </c>
      <c r="AC115" s="3">
        <f t="shared" si="57"/>
        <v>100.15</v>
      </c>
      <c r="AD115" s="3">
        <f t="shared" si="57"/>
        <v>1900.5250000000001</v>
      </c>
      <c r="AE115" s="3">
        <f t="shared" si="57"/>
        <v>150.458</v>
      </c>
      <c r="AF115" s="3">
        <f>SUM(AF116:AF117)</f>
        <v>121.80500000000001</v>
      </c>
      <c r="AG115" s="3">
        <f>+'P01 2022'!GA85</f>
        <v>749.77599999999995</v>
      </c>
      <c r="AH115" s="379">
        <f>+'P01 2022'!GX85</f>
        <v>102.858</v>
      </c>
      <c r="AI115" s="71"/>
      <c r="AJ115" s="1421"/>
      <c r="AK115" s="1421"/>
      <c r="AL115" s="1421"/>
      <c r="AM115" s="1421"/>
      <c r="AN115" s="71"/>
      <c r="AO115" s="1498"/>
      <c r="AP115" s="1498"/>
      <c r="AQ115" s="1498"/>
      <c r="AR115" s="1498"/>
      <c r="AS115" s="1480"/>
      <c r="AT115" s="417"/>
      <c r="AU115" s="803"/>
      <c r="AV115" s="803"/>
      <c r="AW115" s="803"/>
      <c r="AX115" s="803"/>
    </row>
    <row r="116" spans="1:50" s="180" customFormat="1" ht="15" customHeight="1" x14ac:dyDescent="0.25">
      <c r="A116" s="1508" t="s">
        <v>398</v>
      </c>
      <c r="B116" s="861"/>
      <c r="C116" s="185"/>
      <c r="D116" s="18" t="s">
        <v>169</v>
      </c>
      <c r="E116" s="18"/>
      <c r="F116" s="18" t="str">
        <f>+CONCATENATE($B$78,"",$C$115,"",D116)</f>
        <v>22.07.001</v>
      </c>
      <c r="G116" s="1532" t="s">
        <v>65</v>
      </c>
      <c r="H116" s="1295">
        <f>+'P01 2023'!F98</f>
        <v>1740.4159999999999</v>
      </c>
      <c r="I116" s="19">
        <f>+'P01 2023'!BB100</f>
        <v>4038.5590000000002</v>
      </c>
      <c r="J116" s="19">
        <f ca="1">SUMIF(S$3:$AH106,"ok",S116:AH116)</f>
        <v>2089.9690000000001</v>
      </c>
      <c r="K116" s="740">
        <f t="shared" ca="1" si="41"/>
        <v>0.51750364424538553</v>
      </c>
      <c r="L116" s="19">
        <f>+'P01 2023'!BC100</f>
        <v>4038.5590000000002</v>
      </c>
      <c r="M116" s="740">
        <f t="shared" si="49"/>
        <v>1</v>
      </c>
      <c r="N116" s="19">
        <f>+'P01 2023'!BE100</f>
        <v>0</v>
      </c>
      <c r="O116" s="631">
        <f t="shared" si="56"/>
        <v>0</v>
      </c>
      <c r="P116" s="1520">
        <f>+'P01 2022'!AZ93</f>
        <v>10630</v>
      </c>
      <c r="Q116" s="1121">
        <f ca="1">SUMIF(S$3:$AH106,"SI",S116:AH116)</f>
        <v>2677.607708</v>
      </c>
      <c r="R116" s="1308">
        <f t="shared" ca="1" si="51"/>
        <v>0.25189159999999999</v>
      </c>
      <c r="S116" s="1330">
        <f>+'P01 2023'!I98</f>
        <v>0</v>
      </c>
      <c r="T116" s="1186">
        <f>+'P01 2022'!F90</f>
        <v>738.30771300000004</v>
      </c>
      <c r="U116" s="1295">
        <v>0</v>
      </c>
      <c r="V116" s="1345">
        <f>+'P01 2022'!M71</f>
        <v>1176.8154099999999</v>
      </c>
      <c r="W116" s="578">
        <f>+'P01 2023'!AD87</f>
        <v>639.28499999999997</v>
      </c>
      <c r="X116" s="1345">
        <f>+'P01 2022'!AB82</f>
        <v>109.338054</v>
      </c>
      <c r="Y116" s="1295">
        <f>+'P01 2023'!AT84</f>
        <v>1450.684</v>
      </c>
      <c r="Z116" s="1186">
        <f>+'P01 2022'!AQ86</f>
        <v>653.14653099999998</v>
      </c>
      <c r="AA116" s="219">
        <f>+'P01 2022'!BI74</f>
        <v>917.59699999999998</v>
      </c>
      <c r="AB116" s="19">
        <f>+'P01 2022'!CC85</f>
        <v>1058.348</v>
      </c>
      <c r="AC116" s="19">
        <f>+'P01 2022'!CY84</f>
        <v>100.15</v>
      </c>
      <c r="AD116" s="19">
        <v>0</v>
      </c>
      <c r="AE116" s="1345">
        <f>+'P01 2022'!EJ83</f>
        <v>102.858</v>
      </c>
      <c r="AF116" s="333">
        <f>+'P01 2022'!FC80</f>
        <v>121.80500000000001</v>
      </c>
      <c r="AG116" s="19">
        <f>+'P01 2022'!GA86</f>
        <v>749.77599999999995</v>
      </c>
      <c r="AH116" s="1186">
        <f>+'P01 2022'!GX86</f>
        <v>102.858</v>
      </c>
      <c r="AI116" s="71"/>
      <c r="AJ116" s="1421"/>
      <c r="AK116" s="1421"/>
      <c r="AL116" s="1421"/>
      <c r="AM116" s="1421"/>
      <c r="AN116" s="71"/>
      <c r="AO116" s="1498"/>
      <c r="AP116" s="1498"/>
      <c r="AQ116" s="1498"/>
      <c r="AR116" s="1498"/>
      <c r="AS116" s="1480"/>
      <c r="AT116" s="417"/>
      <c r="AU116" s="803"/>
      <c r="AV116" s="803"/>
      <c r="AW116" s="803"/>
      <c r="AX116" s="803"/>
    </row>
    <row r="117" spans="1:50" s="180" customFormat="1" ht="15" customHeight="1" x14ac:dyDescent="0.25">
      <c r="A117" s="1508" t="s">
        <v>399</v>
      </c>
      <c r="B117" s="861"/>
      <c r="C117" s="185"/>
      <c r="D117" s="18" t="s">
        <v>165</v>
      </c>
      <c r="E117" s="18"/>
      <c r="F117" s="18" t="str">
        <f>+CONCATENATE($B$78,"",$C$115,"",D117)</f>
        <v>22.07.002</v>
      </c>
      <c r="G117" s="1532" t="s">
        <v>66</v>
      </c>
      <c r="H117" s="1295">
        <f>+'P01 2023'!F99</f>
        <v>172.55099999999999</v>
      </c>
      <c r="I117" s="19">
        <f>+'P01 2023'!BB101</f>
        <v>4063.634</v>
      </c>
      <c r="J117" s="19">
        <f ca="1">SUMIF(S$3:$AH106,"ok",S117:AH117)</f>
        <v>4063.634</v>
      </c>
      <c r="K117" s="740">
        <f t="shared" ca="1" si="41"/>
        <v>1</v>
      </c>
      <c r="L117" s="19">
        <f>+'P01 2023'!BC101</f>
        <v>4063.634</v>
      </c>
      <c r="M117" s="740">
        <f t="shared" si="49"/>
        <v>1</v>
      </c>
      <c r="N117" s="19">
        <f>+'P01 2023'!BE101</f>
        <v>0</v>
      </c>
      <c r="O117" s="631">
        <f t="shared" si="56"/>
        <v>0</v>
      </c>
      <c r="P117" s="1520">
        <f>+'P01 2022'!AZ94</f>
        <v>8502.7243999999992</v>
      </c>
      <c r="Q117" s="1121">
        <f ca="1">SUMIF(S$3:$AH107,"SI",S117:AH117)</f>
        <v>22.482449999999996</v>
      </c>
      <c r="R117" s="1308">
        <f t="shared" ca="1" si="51"/>
        <v>2.6441466219932989E-3</v>
      </c>
      <c r="S117" s="1330">
        <f>+'P01 2023'!I99</f>
        <v>172.55</v>
      </c>
      <c r="T117" s="1186">
        <f>+'P01 2022'!F91</f>
        <v>22.482449999999996</v>
      </c>
      <c r="U117" s="1295">
        <f>+'P01 2023'!N69</f>
        <v>131.1</v>
      </c>
      <c r="V117" s="1345">
        <v>0</v>
      </c>
      <c r="W117" s="578">
        <f>+'P01 2023'!AD88</f>
        <v>3759.9839999999999</v>
      </c>
      <c r="X117" s="1345">
        <v>0</v>
      </c>
      <c r="Y117" s="1295">
        <v>0</v>
      </c>
      <c r="Z117" s="1187">
        <v>0</v>
      </c>
      <c r="AA117" s="219">
        <f>+'P01 2022'!BI75</f>
        <v>0</v>
      </c>
      <c r="AB117" s="19"/>
      <c r="AC117" s="19">
        <f>+'P01 2022'!CY85</f>
        <v>0</v>
      </c>
      <c r="AD117" s="19">
        <f>+'P01 2022'!DR79</f>
        <v>1900.5250000000001</v>
      </c>
      <c r="AE117" s="1345">
        <f>+'P01 2022'!EJ84</f>
        <v>47.6</v>
      </c>
      <c r="AF117" s="333">
        <f>+'P01 2022'!FC81</f>
        <v>0</v>
      </c>
      <c r="AG117" s="19">
        <v>0</v>
      </c>
      <c r="AH117" s="1187">
        <v>0</v>
      </c>
      <c r="AI117" s="71"/>
      <c r="AJ117" s="1421"/>
      <c r="AK117" s="1421"/>
      <c r="AL117" s="1421"/>
      <c r="AM117" s="1421"/>
      <c r="AN117" s="71"/>
      <c r="AO117" s="1498"/>
      <c r="AP117" s="1498"/>
      <c r="AQ117" s="1498"/>
      <c r="AR117" s="1498"/>
      <c r="AS117" s="1480"/>
      <c r="AT117" s="417"/>
      <c r="AU117" s="803"/>
      <c r="AV117" s="803"/>
      <c r="AW117" s="803"/>
      <c r="AX117" s="803"/>
    </row>
    <row r="118" spans="1:50" s="1149" customFormat="1" ht="15" customHeight="1" x14ac:dyDescent="0.25">
      <c r="A118" s="1508" t="s">
        <v>400</v>
      </c>
      <c r="B118" s="1193"/>
      <c r="C118" s="139" t="s">
        <v>184</v>
      </c>
      <c r="D118" s="139"/>
      <c r="E118" s="139"/>
      <c r="F118" s="139"/>
      <c r="G118" s="1536" t="s">
        <v>67</v>
      </c>
      <c r="H118" s="1296">
        <f>+'P01 2023'!F100</f>
        <v>336456.99099999998</v>
      </c>
      <c r="I118" s="17">
        <f>+'P01 2023'!BB102</f>
        <v>486161.283</v>
      </c>
      <c r="J118" s="17">
        <f ca="1">SUMIF(S$3:$AH107,"ok",S118:AH118)</f>
        <v>118582.606</v>
      </c>
      <c r="K118" s="739">
        <f t="shared" ca="1" si="41"/>
        <v>0.24391618614351895</v>
      </c>
      <c r="L118" s="17">
        <f>+'P01 2023'!BC102</f>
        <v>259933.04199999999</v>
      </c>
      <c r="M118" s="739">
        <f t="shared" si="49"/>
        <v>0.53466421759463723</v>
      </c>
      <c r="N118" s="17">
        <f>+'P01 2023'!BE102</f>
        <v>226228.24100000001</v>
      </c>
      <c r="O118" s="1294">
        <f t="shared" si="56"/>
        <v>0.46533578240536283</v>
      </c>
      <c r="P118" s="222">
        <f>SUM(P119:P124)</f>
        <v>219848.686292</v>
      </c>
      <c r="Q118" s="222">
        <f ca="1">SUMIF(S$3:$AH110,"SI",S118:AH118)</f>
        <v>76076.525691000003</v>
      </c>
      <c r="R118" s="1294">
        <f t="shared" ca="1" si="51"/>
        <v>0.34604039248138246</v>
      </c>
      <c r="S118" s="1330">
        <f>+'P01 2023'!I100</f>
        <v>29763.464</v>
      </c>
      <c r="T118" s="1215">
        <f t="shared" ref="T118:AE118" si="58">SUM(T119:T124)</f>
        <v>11705.399895</v>
      </c>
      <c r="U118" s="1295">
        <f>+'P01 2023'!N70</f>
        <v>18591.753000000001</v>
      </c>
      <c r="V118" s="1353">
        <f t="shared" si="58"/>
        <v>14710.534910999999</v>
      </c>
      <c r="W118" s="1398">
        <f>+'P01 2023'!AD89</f>
        <v>36131.913</v>
      </c>
      <c r="X118" s="1346">
        <f t="shared" si="58"/>
        <v>25873.553938000001</v>
      </c>
      <c r="Y118" s="1324">
        <f>SUM(Y119:Y124)</f>
        <v>34095.476000000002</v>
      </c>
      <c r="Z118" s="379">
        <f>SUM(Z119:Z124)</f>
        <v>23787.036947000001</v>
      </c>
      <c r="AA118" s="1206">
        <f t="shared" si="58"/>
        <v>23014.107999999997</v>
      </c>
      <c r="AB118" s="1182">
        <f t="shared" si="58"/>
        <v>24441.718999999997</v>
      </c>
      <c r="AC118" s="1182">
        <f t="shared" si="58"/>
        <v>35520.254000000001</v>
      </c>
      <c r="AD118" s="1182">
        <f t="shared" si="58"/>
        <v>32769.837</v>
      </c>
      <c r="AE118" s="1353">
        <f t="shared" si="58"/>
        <v>47073.414999999994</v>
      </c>
      <c r="AF118" s="1182">
        <f>SUM(AF119:AF124)</f>
        <v>40505.15</v>
      </c>
      <c r="AG118" s="1182">
        <f>+'P01 2022'!GA87</f>
        <v>30412.684000000001</v>
      </c>
      <c r="AH118" s="1192">
        <f>+'P01 2022'!GX87</f>
        <v>88215.581000000006</v>
      </c>
      <c r="AI118" s="71"/>
      <c r="AJ118" s="1421"/>
      <c r="AK118" s="1421"/>
      <c r="AL118" s="1421"/>
      <c r="AM118" s="1421"/>
      <c r="AN118" s="71"/>
      <c r="AO118" s="1498"/>
      <c r="AP118" s="1498"/>
      <c r="AQ118" s="1498"/>
      <c r="AR118" s="1498"/>
      <c r="AS118" s="1480"/>
      <c r="AT118" s="417"/>
      <c r="AU118" s="803"/>
      <c r="AV118" s="803"/>
      <c r="AW118" s="803"/>
      <c r="AX118" s="803"/>
    </row>
    <row r="119" spans="1:50" s="180" customFormat="1" ht="15" customHeight="1" x14ac:dyDescent="0.25">
      <c r="A119" s="1508" t="s">
        <v>401</v>
      </c>
      <c r="B119" s="861"/>
      <c r="C119" s="185"/>
      <c r="D119" s="18" t="s">
        <v>169</v>
      </c>
      <c r="E119" s="18"/>
      <c r="F119" s="18" t="str">
        <f t="shared" ref="F119:F124" si="59">+CONCATENATE($B$78,"",$C$118,"",D119)</f>
        <v>22.08.001</v>
      </c>
      <c r="G119" s="1532" t="s">
        <v>68</v>
      </c>
      <c r="H119" s="1295">
        <f>+'P01 2023'!F101</f>
        <v>100114.352</v>
      </c>
      <c r="I119" s="99">
        <f>+'P01 2023'!BB103</f>
        <v>101783.73</v>
      </c>
      <c r="J119" s="19">
        <f ca="1">SUMIF(S$3:$AH108,"ok",S119:AH119)</f>
        <v>27073.354000000003</v>
      </c>
      <c r="K119" s="740">
        <f t="shared" ca="1" si="41"/>
        <v>0.26598901415776377</v>
      </c>
      <c r="L119" s="99">
        <f>+'P01 2023'!BC103</f>
        <v>83675.803</v>
      </c>
      <c r="M119" s="740">
        <f t="shared" si="49"/>
        <v>0.82209409106936837</v>
      </c>
      <c r="N119" s="99">
        <f>+'P01 2023'!BE103</f>
        <v>18107.927</v>
      </c>
      <c r="O119" s="631">
        <f t="shared" si="56"/>
        <v>0.17790590893063166</v>
      </c>
      <c r="P119" s="1520">
        <f>+'P01 2022'!AZ96</f>
        <v>90398.305557</v>
      </c>
      <c r="Q119" s="1121">
        <f ca="1">SUMIF(S$3:$AH112,"SI",S119:AH119)</f>
        <v>26977.588927000001</v>
      </c>
      <c r="R119" s="1308">
        <f t="shared" ca="1" si="51"/>
        <v>0.29843025000053208</v>
      </c>
      <c r="S119" s="1330">
        <f>+'P01 2023'!I101</f>
        <v>3800.4059999999999</v>
      </c>
      <c r="T119" s="1186">
        <f>+'P01 2022'!F93</f>
        <v>3911.6082660000002</v>
      </c>
      <c r="U119" s="1295">
        <f>+'P01 2023'!N71</f>
        <v>6957.2830000000004</v>
      </c>
      <c r="V119" s="1345">
        <f>+'P01 2022'!M74</f>
        <v>7075.3290630000001</v>
      </c>
      <c r="W119" s="578">
        <f>+'P01 2023'!AD90</f>
        <v>8761.982</v>
      </c>
      <c r="X119" s="1345">
        <f>+'P01 2022'!AB85</f>
        <v>8547.3778409999995</v>
      </c>
      <c r="Y119" s="1295">
        <f>+'P01 2023'!AT86</f>
        <v>7553.683</v>
      </c>
      <c r="Z119" s="1186">
        <f>+'P01 2022'!AQ88</f>
        <v>7443.2737569999999</v>
      </c>
      <c r="AA119" s="219">
        <f>+'P01 2022'!BI77</f>
        <v>4590.9570000000003</v>
      </c>
      <c r="AB119" s="19">
        <f>+'P01 2022'!CC87</f>
        <v>7894.0249999999996</v>
      </c>
      <c r="AC119" s="19">
        <f>+'P01 2022'!CY87</f>
        <v>6899.0209999999997</v>
      </c>
      <c r="AD119" s="19">
        <f>+'P01 2022'!DR81</f>
        <v>5212.915</v>
      </c>
      <c r="AE119" s="1345">
        <f>+'P01 2022'!EJ86</f>
        <v>7095.2790000000005</v>
      </c>
      <c r="AF119" s="333">
        <f>+'P01 2022'!FC83</f>
        <v>8630.4490000000005</v>
      </c>
      <c r="AG119" s="19">
        <f>+'P01 2022'!GA88</f>
        <v>4703.8950000000004</v>
      </c>
      <c r="AH119" s="1186">
        <f>+'P01 2022'!GX88</f>
        <v>7769.3609999999999</v>
      </c>
      <c r="AI119" s="71"/>
      <c r="AJ119" s="1421"/>
      <c r="AK119" s="1421"/>
      <c r="AL119" s="1421"/>
      <c r="AM119" s="1421"/>
      <c r="AN119" s="71"/>
      <c r="AO119" s="1498"/>
      <c r="AP119" s="1498"/>
      <c r="AQ119" s="1498"/>
      <c r="AR119" s="1498"/>
      <c r="AS119" s="1480"/>
      <c r="AT119" s="417"/>
      <c r="AU119" s="803"/>
      <c r="AV119" s="803"/>
      <c r="AW119" s="803"/>
      <c r="AX119" s="803"/>
    </row>
    <row r="120" spans="1:50" s="180" customFormat="1" ht="15" customHeight="1" x14ac:dyDescent="0.25">
      <c r="A120" s="1508" t="s">
        <v>493</v>
      </c>
      <c r="B120" s="861"/>
      <c r="C120" s="185"/>
      <c r="D120" s="18" t="s">
        <v>165</v>
      </c>
      <c r="E120" s="18"/>
      <c r="F120" s="18" t="str">
        <f t="shared" si="59"/>
        <v>22.08.002</v>
      </c>
      <c r="G120" s="1532" t="s">
        <v>69</v>
      </c>
      <c r="H120" s="1295">
        <f>+'P01 2023'!F102</f>
        <v>12000</v>
      </c>
      <c r="I120" s="99">
        <f>+'P01 2023'!BB104</f>
        <v>8000</v>
      </c>
      <c r="J120" s="19">
        <f ca="1">SUMIF(S$3:$AH112,"ok",S120:AH120)</f>
        <v>0</v>
      </c>
      <c r="K120" s="740">
        <v>0</v>
      </c>
      <c r="L120" s="99">
        <f>+'P01 2023'!BC104</f>
        <v>0</v>
      </c>
      <c r="M120" s="740">
        <f t="shared" si="49"/>
        <v>0</v>
      </c>
      <c r="N120" s="99">
        <f>+'P01 2023'!BE104</f>
        <v>8000</v>
      </c>
      <c r="O120" s="631">
        <f t="shared" si="56"/>
        <v>1</v>
      </c>
      <c r="P120" s="1520">
        <v>0</v>
      </c>
      <c r="Q120" s="1121">
        <f ca="1">SUMIF(S$3:$AH113,"SI",S120:AH120)</f>
        <v>0</v>
      </c>
      <c r="R120" s="1308" t="str">
        <f ca="1">IFERROR(Q120/P120,"0,00%")</f>
        <v>0,00%</v>
      </c>
      <c r="S120" s="1330">
        <f>+'P01 2023'!I102</f>
        <v>0</v>
      </c>
      <c r="T120" s="1186">
        <v>0</v>
      </c>
      <c r="U120" s="1295">
        <f>+'P01 2023'!N72</f>
        <v>0</v>
      </c>
      <c r="V120" s="1345">
        <v>0</v>
      </c>
      <c r="W120" s="578">
        <f>+'P01 2023'!AD91</f>
        <v>0</v>
      </c>
      <c r="X120" s="1345">
        <v>0</v>
      </c>
      <c r="Y120" s="1295">
        <f>+'P01 2023'!AT87</f>
        <v>0</v>
      </c>
      <c r="Z120" s="1187">
        <v>0</v>
      </c>
      <c r="AA120" s="219">
        <v>0</v>
      </c>
      <c r="AB120" s="19">
        <v>0</v>
      </c>
      <c r="AC120" s="19">
        <v>0</v>
      </c>
      <c r="AD120" s="19">
        <v>0</v>
      </c>
      <c r="AE120" s="1345">
        <v>0</v>
      </c>
      <c r="AF120" s="188">
        <v>0</v>
      </c>
      <c r="AG120" s="19">
        <v>0</v>
      </c>
      <c r="AH120" s="1187">
        <v>0</v>
      </c>
      <c r="AI120" s="71"/>
      <c r="AJ120" s="1421"/>
      <c r="AK120" s="1421"/>
      <c r="AL120" s="1421"/>
      <c r="AM120" s="1421"/>
      <c r="AN120" s="71"/>
      <c r="AO120" s="1498"/>
      <c r="AP120" s="1498"/>
      <c r="AQ120" s="1498"/>
      <c r="AR120" s="1498"/>
      <c r="AS120" s="1480"/>
      <c r="AT120" s="417"/>
      <c r="AU120" s="803"/>
      <c r="AV120" s="803"/>
      <c r="AW120" s="803"/>
      <c r="AX120" s="803"/>
    </row>
    <row r="121" spans="1:50" s="180" customFormat="1" ht="15" customHeight="1" x14ac:dyDescent="0.25">
      <c r="A121" s="1508" t="s">
        <v>601</v>
      </c>
      <c r="B121" s="861"/>
      <c r="C121" s="185"/>
      <c r="D121" s="18" t="s">
        <v>170</v>
      </c>
      <c r="E121" s="18"/>
      <c r="F121" s="18" t="str">
        <f t="shared" si="59"/>
        <v>22.08.007</v>
      </c>
      <c r="G121" s="1532" t="s">
        <v>113</v>
      </c>
      <c r="H121" s="1295">
        <f>+'P01 2023'!F104</f>
        <v>159210.45800000001</v>
      </c>
      <c r="I121" s="99">
        <f>+'P01 2023'!BB106</f>
        <v>162731.35500000001</v>
      </c>
      <c r="J121" s="19">
        <f ca="1">SUMIF(S$3:$AH114,"ok",S121:AH121)</f>
        <v>55800.557999999997</v>
      </c>
      <c r="K121" s="740">
        <f t="shared" ca="1" si="41"/>
        <v>0.34289985479442481</v>
      </c>
      <c r="L121" s="99">
        <f>+'P01 2023'!BC106</f>
        <v>93083.010999999999</v>
      </c>
      <c r="M121" s="740">
        <f t="shared" ref="M121:M147" si="60">+IFERROR(L121/I121,0)</f>
        <v>0.5720041537170264</v>
      </c>
      <c r="N121" s="99">
        <f>+'P01 2023'!BE106</f>
        <v>69648.343999999997</v>
      </c>
      <c r="O121" s="631">
        <f t="shared" si="56"/>
        <v>0.42799584628297349</v>
      </c>
      <c r="P121" s="1520">
        <f>+'P01 2022'!AZ97</f>
        <v>58081.987280999994</v>
      </c>
      <c r="Q121" s="1121">
        <f ca="1">SUMIF(S$3:$AH114,"SI",S121:AH121)</f>
        <v>24105.638243999994</v>
      </c>
      <c r="R121" s="1308">
        <f t="shared" ref="R121:R139" ca="1" si="61">IFERROR(Q121/P121,"0%")</f>
        <v>0.4150277800822687</v>
      </c>
      <c r="S121" s="1330">
        <f>+'P01 2023'!I104</f>
        <v>18610.263999999999</v>
      </c>
      <c r="T121" s="1186">
        <f>+'P01 2022'!F94</f>
        <v>4089.2366289999995</v>
      </c>
      <c r="U121" s="1295">
        <f>+'P01 2023'!N73</f>
        <v>7601.5690000000004</v>
      </c>
      <c r="V121" s="1345">
        <f>+'P01 2022'!M75</f>
        <v>3747.1122049999994</v>
      </c>
      <c r="W121" s="578">
        <f>+'P01 2023'!AD92</f>
        <v>15047.941000000001</v>
      </c>
      <c r="X121" s="1345">
        <f>+'P01 2022'!AB86</f>
        <v>10257.226096999999</v>
      </c>
      <c r="Y121" s="1295">
        <f>+'P01 2023'!AT88</f>
        <v>14540.784</v>
      </c>
      <c r="Z121" s="1186">
        <f>+'P01 2022'!AQ89</f>
        <v>6012.0633129999997</v>
      </c>
      <c r="AA121" s="219">
        <f>+'P01 2022'!BI78</f>
        <v>12009.876</v>
      </c>
      <c r="AB121" s="19">
        <f>+'P01 2022'!CC88</f>
        <v>12145.093999999999</v>
      </c>
      <c r="AC121" s="19">
        <f>+'P01 2022'!CY88</f>
        <v>15047.263000000001</v>
      </c>
      <c r="AD121" s="19">
        <f>+'P01 2022'!DR82</f>
        <v>13237.272000000001</v>
      </c>
      <c r="AE121" s="1345">
        <f>+'P01 2022'!EJ87</f>
        <v>11422.710999999999</v>
      </c>
      <c r="AF121" s="333">
        <f>+'P01 2022'!FC84</f>
        <v>19991.321</v>
      </c>
      <c r="AG121" s="19">
        <f>+'P01 2022'!GA89</f>
        <v>14097.800999999999</v>
      </c>
      <c r="AH121" s="1186">
        <f>+'P01 2022'!GX89</f>
        <v>30029.928</v>
      </c>
      <c r="AI121" s="71"/>
      <c r="AJ121" s="1421"/>
      <c r="AK121" s="1421"/>
      <c r="AL121" s="1421"/>
      <c r="AM121" s="1421"/>
      <c r="AN121" s="71"/>
      <c r="AO121" s="1498"/>
      <c r="AP121" s="1498"/>
      <c r="AQ121" s="1498"/>
      <c r="AR121" s="1498"/>
      <c r="AS121" s="1480"/>
      <c r="AT121" s="417"/>
      <c r="AU121" s="803"/>
      <c r="AV121" s="803"/>
      <c r="AW121" s="803"/>
      <c r="AX121" s="803"/>
    </row>
    <row r="122" spans="1:50" s="180" customFormat="1" ht="15" customHeight="1" x14ac:dyDescent="0.25">
      <c r="A122" s="1508" t="s">
        <v>602</v>
      </c>
      <c r="B122" s="861"/>
      <c r="C122" s="185"/>
      <c r="D122" s="18" t="s">
        <v>171</v>
      </c>
      <c r="E122" s="18"/>
      <c r="F122" s="18" t="str">
        <f t="shared" si="59"/>
        <v>22.08.008</v>
      </c>
      <c r="G122" s="1532" t="s">
        <v>114</v>
      </c>
      <c r="H122" s="1295">
        <f>+'P01 2023'!F105</f>
        <v>56104.597000000002</v>
      </c>
      <c r="I122" s="99">
        <f>+'P01 2023'!BB107</f>
        <v>67623.661999999997</v>
      </c>
      <c r="J122" s="19">
        <f ca="1">SUMIF(S$3:$AH115,"ok",S122:AH122)</f>
        <v>17834.5</v>
      </c>
      <c r="K122" s="740">
        <f t="shared" ca="1" si="41"/>
        <v>0.26373165061661408</v>
      </c>
      <c r="L122" s="99">
        <f>+'P01 2023'!BC107</f>
        <v>64394.654000000002</v>
      </c>
      <c r="M122" s="740">
        <f t="shared" ref="M122:M144" si="62">+IFERROR(L122/I122,0)</f>
        <v>0.95225032326702452</v>
      </c>
      <c r="N122" s="99">
        <f>+'P01 2023'!BE107</f>
        <v>3229.0079999999998</v>
      </c>
      <c r="O122" s="631">
        <f t="shared" si="56"/>
        <v>4.7749676732975505E-2</v>
      </c>
      <c r="P122" s="1520">
        <f>+'P01 2022'!AZ98</f>
        <v>57993.727454</v>
      </c>
      <c r="Q122" s="1121">
        <f ca="1">SUMIF(S$3:$AH115,"SI",S122:AH122)</f>
        <v>19523.057999999997</v>
      </c>
      <c r="R122" s="1308">
        <f t="shared" ca="1" si="61"/>
        <v>0.33664085509050057</v>
      </c>
      <c r="S122" s="1330">
        <f>+'P01 2023'!I105</f>
        <v>2440</v>
      </c>
      <c r="T122" s="1186">
        <f>+'P01 2022'!F95</f>
        <v>3512.152</v>
      </c>
      <c r="U122" s="1295">
        <f>+'P01 2023'!N74</f>
        <v>2494</v>
      </c>
      <c r="V122" s="1345">
        <f>+'P01 2022'!M76</f>
        <v>1204.3789999999999</v>
      </c>
      <c r="W122" s="578">
        <f>+'P01 2023'!AD93</f>
        <v>6091.5</v>
      </c>
      <c r="X122" s="1345">
        <f>+'P01 2022'!AB87</f>
        <v>5424.4889999999996</v>
      </c>
      <c r="Y122" s="1295">
        <f>+'P01 2023'!AT89</f>
        <v>6809</v>
      </c>
      <c r="Z122" s="1186">
        <f>+'P01 2022'!AQ90</f>
        <v>9382.0379999999986</v>
      </c>
      <c r="AA122" s="219">
        <f>+'P01 2022'!BI79</f>
        <v>4779.6580000000004</v>
      </c>
      <c r="AB122" s="19">
        <f>+'P01 2022'!CC89</f>
        <v>2498.6</v>
      </c>
      <c r="AC122" s="19">
        <f>+'P01 2022'!CY89</f>
        <v>8977</v>
      </c>
      <c r="AD122" s="19">
        <f>+'P01 2022'!DR83</f>
        <v>4607</v>
      </c>
      <c r="AE122" s="1345">
        <f>+'P01 2022'!EJ88</f>
        <v>4080</v>
      </c>
      <c r="AF122" s="333">
        <f>+'P01 2022'!FC85</f>
        <v>3526</v>
      </c>
      <c r="AG122" s="19">
        <f>+'P01 2022'!GA90</f>
        <v>7328</v>
      </c>
      <c r="AH122" s="1186">
        <f>+'P01 2022'!GX90</f>
        <v>8932</v>
      </c>
      <c r="AI122" s="71"/>
      <c r="AJ122" s="1421"/>
      <c r="AK122" s="1421"/>
      <c r="AL122" s="1421"/>
      <c r="AM122" s="1421"/>
      <c r="AN122" s="71"/>
      <c r="AO122" s="1498"/>
      <c r="AP122" s="1498"/>
      <c r="AQ122" s="1498"/>
      <c r="AR122" s="1498"/>
      <c r="AS122" s="1480"/>
      <c r="AT122" s="417"/>
      <c r="AU122" s="803"/>
      <c r="AV122" s="803"/>
      <c r="AW122" s="803"/>
      <c r="AX122" s="803"/>
    </row>
    <row r="123" spans="1:50" s="180" customFormat="1" ht="15" customHeight="1" x14ac:dyDescent="0.25">
      <c r="A123" s="1508" t="s">
        <v>603</v>
      </c>
      <c r="B123" s="861"/>
      <c r="C123" s="185"/>
      <c r="D123" s="18" t="s">
        <v>173</v>
      </c>
      <c r="E123" s="18"/>
      <c r="F123" s="18" t="str">
        <f t="shared" si="59"/>
        <v>22.08.010</v>
      </c>
      <c r="G123" s="1532" t="s">
        <v>70</v>
      </c>
      <c r="H123" s="1295">
        <f>+'P01 2023'!F106</f>
        <v>3300</v>
      </c>
      <c r="I123" s="99">
        <f>+'P01 2023'!BB108</f>
        <v>2503.154</v>
      </c>
      <c r="J123" s="19">
        <f ca="1">SUMIF(S$3:$AH116,"ok",S123:AH123)</f>
        <v>2371.2739999999994</v>
      </c>
      <c r="K123" s="740">
        <f t="shared" ca="1" si="41"/>
        <v>0.9473144680670863</v>
      </c>
      <c r="L123" s="99">
        <f>+'P01 2023'!BC108</f>
        <v>2503.154</v>
      </c>
      <c r="M123" s="740">
        <f t="shared" si="62"/>
        <v>1</v>
      </c>
      <c r="N123" s="99">
        <f>+'P01 2023'!BE108</f>
        <v>0</v>
      </c>
      <c r="O123" s="631">
        <f t="shared" si="56"/>
        <v>0</v>
      </c>
      <c r="P123" s="1520">
        <f>+'P01 2022'!AZ99</f>
        <v>3507.8999999999996</v>
      </c>
      <c r="Q123" s="1121">
        <f ca="1">SUMIF(S$3:$AH116,"SI",S123:AH123)</f>
        <v>2181.3185199999998</v>
      </c>
      <c r="R123" s="1308">
        <f t="shared" ca="1" si="61"/>
        <v>0.62183030303030307</v>
      </c>
      <c r="S123" s="1330">
        <f>+'P01 2023'!I106</f>
        <v>685.21199999999999</v>
      </c>
      <c r="T123" s="1186">
        <f>+'P01 2022'!F96</f>
        <v>192.40299999999999</v>
      </c>
      <c r="U123" s="1295">
        <f>+'P01 2023'!N75</f>
        <v>765.40099999999995</v>
      </c>
      <c r="V123" s="1345">
        <f>+'P01 2022'!M77</f>
        <v>1861.4841429999999</v>
      </c>
      <c r="W123" s="578">
        <f>+'P01 2023'!AD94</f>
        <v>311.64</v>
      </c>
      <c r="X123" s="1345">
        <f>+'P01 2022'!AB88</f>
        <v>0</v>
      </c>
      <c r="Y123" s="1295">
        <f>+'P01 2023'!AT90</f>
        <v>609.02099999999996</v>
      </c>
      <c r="Z123" s="1186">
        <f>+'P01 2022'!AQ91</f>
        <v>127.431377</v>
      </c>
      <c r="AA123" s="219">
        <f>+'P01 2022'!BI80</f>
        <v>503.11700000000002</v>
      </c>
      <c r="AB123" s="19">
        <f>+'P01 2022'!CC90</f>
        <v>0</v>
      </c>
      <c r="AC123" s="19">
        <v>0</v>
      </c>
      <c r="AD123" s="19">
        <f>+'P01 2022'!DR84</f>
        <v>72.009</v>
      </c>
      <c r="AE123" s="1345">
        <f>+'P01 2022'!EJ89</f>
        <v>0</v>
      </c>
      <c r="AF123" s="188">
        <v>0</v>
      </c>
      <c r="AG123" s="19">
        <v>0</v>
      </c>
      <c r="AH123" s="1187">
        <v>0</v>
      </c>
      <c r="AI123" s="71"/>
      <c r="AJ123" s="1421"/>
      <c r="AK123" s="1421"/>
      <c r="AL123" s="1421"/>
      <c r="AM123" s="1421"/>
      <c r="AN123" s="71"/>
      <c r="AO123" s="1498"/>
      <c r="AP123" s="1498"/>
      <c r="AQ123" s="1498"/>
      <c r="AR123" s="1498"/>
      <c r="AS123" s="1480"/>
      <c r="AT123" s="417"/>
      <c r="AU123" s="803"/>
      <c r="AV123" s="803"/>
      <c r="AW123" s="803"/>
      <c r="AX123" s="803"/>
    </row>
    <row r="124" spans="1:50" s="180" customFormat="1" ht="15" customHeight="1" x14ac:dyDescent="0.25">
      <c r="A124" s="1508" t="s">
        <v>402</v>
      </c>
      <c r="B124" s="861"/>
      <c r="C124" s="185"/>
      <c r="D124" s="18" t="s">
        <v>177</v>
      </c>
      <c r="E124" s="18"/>
      <c r="F124" s="18" t="str">
        <f t="shared" si="59"/>
        <v>22.08.999</v>
      </c>
      <c r="G124" s="1532" t="s">
        <v>109</v>
      </c>
      <c r="H124" s="1295">
        <f>+'P01 2023'!F107</f>
        <v>5727.5839999999998</v>
      </c>
      <c r="I124" s="99">
        <f>+'P01 2023'!BB109</f>
        <v>143519.38200000001</v>
      </c>
      <c r="J124" s="19">
        <f ca="1">SUMIF(S$3:$AH117,"ok",S124:AH124)</f>
        <v>15502.920000000002</v>
      </c>
      <c r="K124" s="740">
        <f t="shared" ca="1" si="41"/>
        <v>0.10801969590420896</v>
      </c>
      <c r="L124" s="99">
        <f>+'P01 2023'!BC109</f>
        <v>16276.42</v>
      </c>
      <c r="M124" s="740">
        <f t="shared" si="62"/>
        <v>0.11340921186519601</v>
      </c>
      <c r="N124" s="99">
        <f>+'P01 2023'!BE109</f>
        <v>127242.962</v>
      </c>
      <c r="O124" s="631">
        <f t="shared" si="56"/>
        <v>0.88659078813480385</v>
      </c>
      <c r="P124" s="1520">
        <f>+'P01 2022'!AZ100</f>
        <v>9866.7659999999996</v>
      </c>
      <c r="Q124" s="1121">
        <f ca="1">SUMIF(S$3:$AH117,"SI",S124:AH124)</f>
        <v>3288.922</v>
      </c>
      <c r="R124" s="1308">
        <f t="shared" ca="1" si="61"/>
        <v>0.33333333333333337</v>
      </c>
      <c r="S124" s="1330">
        <f>+'P01 2023'!I107</f>
        <v>4227.5820000000003</v>
      </c>
      <c r="T124" s="1186">
        <v>0</v>
      </c>
      <c r="U124" s="1295">
        <f>+'P01 2023'!N76</f>
        <v>773.5</v>
      </c>
      <c r="V124" s="1345">
        <f>+'P01 2022'!M78</f>
        <v>822.23050000000001</v>
      </c>
      <c r="W124" s="578">
        <f>+'P01 2023'!AD95</f>
        <v>5918.85</v>
      </c>
      <c r="X124" s="1345">
        <f>+'P01 2022'!AB89</f>
        <v>1644.461</v>
      </c>
      <c r="Y124" s="1295">
        <f>+'P01 2023'!AT91</f>
        <v>4582.9880000000003</v>
      </c>
      <c r="Z124" s="1186">
        <f>+'P01 2022'!AQ92</f>
        <v>822.23050000000001</v>
      </c>
      <c r="AA124" s="219">
        <f>+'P01 2022'!BI81</f>
        <v>1130.5</v>
      </c>
      <c r="AB124" s="19">
        <f>+'P01 2022'!CC91</f>
        <v>1904</v>
      </c>
      <c r="AC124" s="19">
        <f>+'P01 2022'!CY90</f>
        <v>4596.97</v>
      </c>
      <c r="AD124" s="19">
        <f>+'P01 2022'!DR85</f>
        <v>9640.6409999999996</v>
      </c>
      <c r="AE124" s="1345">
        <f>+'P01 2022'!EJ90</f>
        <v>24475.424999999999</v>
      </c>
      <c r="AF124" s="333">
        <f>+'P01 2022'!FC86</f>
        <v>8357.3799999999992</v>
      </c>
      <c r="AG124" s="19">
        <f>+'P01 2022'!GA91</f>
        <v>4282.9880000000003</v>
      </c>
      <c r="AH124" s="1186">
        <f>+'P01 2022'!GX91</f>
        <v>41484.292000000001</v>
      </c>
      <c r="AI124" s="71"/>
      <c r="AJ124" s="1421"/>
      <c r="AK124" s="1421"/>
      <c r="AL124" s="1421"/>
      <c r="AM124" s="1421"/>
      <c r="AN124" s="71"/>
      <c r="AO124" s="1498"/>
      <c r="AP124" s="1498"/>
      <c r="AQ124" s="1498"/>
      <c r="AR124" s="1498"/>
      <c r="AS124" s="1480"/>
      <c r="AT124" s="417"/>
      <c r="AU124" s="803"/>
      <c r="AV124" s="803"/>
      <c r="AW124" s="803"/>
      <c r="AX124" s="803"/>
    </row>
    <row r="125" spans="1:50" s="1149" customFormat="1" ht="15" customHeight="1" x14ac:dyDescent="0.25">
      <c r="A125" s="1508" t="s">
        <v>403</v>
      </c>
      <c r="B125" s="862"/>
      <c r="C125" s="187" t="s">
        <v>185</v>
      </c>
      <c r="D125" s="139"/>
      <c r="E125" s="139"/>
      <c r="F125" s="139"/>
      <c r="G125" s="1536" t="s">
        <v>115</v>
      </c>
      <c r="H125" s="1296">
        <f>+'P01 2023'!F108</f>
        <v>791977.56799999997</v>
      </c>
      <c r="I125" s="17">
        <f>+'P01 2023'!BB110</f>
        <v>685416.50699999998</v>
      </c>
      <c r="J125" s="17">
        <f ca="1">SUM(J126:J129)</f>
        <v>259573.29100000003</v>
      </c>
      <c r="K125" s="739">
        <f t="shared" ca="1" si="41"/>
        <v>0.37870884104633917</v>
      </c>
      <c r="L125" s="17">
        <f>+'P01 2023'!BC110</f>
        <v>579489.60699999996</v>
      </c>
      <c r="M125" s="844">
        <f t="shared" si="62"/>
        <v>0.84545615852814582</v>
      </c>
      <c r="N125" s="17">
        <f>+'P01 2023'!BE110</f>
        <v>105926.9</v>
      </c>
      <c r="O125" s="1526">
        <f t="shared" si="56"/>
        <v>0.15454384147185413</v>
      </c>
      <c r="P125" s="222">
        <f>SUM(P126:P129)</f>
        <v>792118.85647999984</v>
      </c>
      <c r="Q125" s="17">
        <f ca="1">SUMIF(S$3:$AH118,"SI",S125:AH125)</f>
        <v>181077.28669699997</v>
      </c>
      <c r="R125" s="737">
        <f t="shared" ca="1" si="61"/>
        <v>0.22859863165190536</v>
      </c>
      <c r="S125" s="1296">
        <f>+'P01 2023'!I108</f>
        <v>63647.631000000001</v>
      </c>
      <c r="T125" s="1209">
        <f t="shared" ref="T125:AE125" si="63">SUM(T126:T129)</f>
        <v>10253.626778999998</v>
      </c>
      <c r="U125" s="1296">
        <f>+'P01 2023'!N77</f>
        <v>21363.163</v>
      </c>
      <c r="V125" s="1346">
        <f t="shared" si="63"/>
        <v>22553.085286999998</v>
      </c>
      <c r="W125" s="1398">
        <f>+'P01 2023'!AD96</f>
        <v>103853.19</v>
      </c>
      <c r="X125" s="1346">
        <f t="shared" si="63"/>
        <v>34538.122213999995</v>
      </c>
      <c r="Y125" s="1324">
        <f>SUM(Y126:Y129)</f>
        <v>70709.307000000001</v>
      </c>
      <c r="Z125" s="379">
        <f>SUM(Z126:Z129)</f>
        <v>113732.45241700001</v>
      </c>
      <c r="AA125" s="220">
        <f t="shared" si="63"/>
        <v>54066.903000000006</v>
      </c>
      <c r="AB125" s="3">
        <f t="shared" si="63"/>
        <v>23201.636999999999</v>
      </c>
      <c r="AC125" s="3">
        <f t="shared" si="63"/>
        <v>128608.182</v>
      </c>
      <c r="AD125" s="3">
        <f t="shared" si="63"/>
        <v>55054.951999999997</v>
      </c>
      <c r="AE125" s="3">
        <f t="shared" si="63"/>
        <v>82292.236000000004</v>
      </c>
      <c r="AF125" s="3">
        <f>SUM(AF126:AF129)</f>
        <v>46881.436999999998</v>
      </c>
      <c r="AG125" s="3">
        <f>+'P01 2022'!GA92</f>
        <v>61890.002999999997</v>
      </c>
      <c r="AH125" s="379">
        <f>+'P01 2022'!GX92</f>
        <v>96322.558999999994</v>
      </c>
      <c r="AI125" s="71"/>
      <c r="AJ125" s="1421"/>
      <c r="AK125" s="1421"/>
      <c r="AL125" s="1421"/>
      <c r="AM125" s="1421"/>
      <c r="AN125" s="71"/>
      <c r="AO125" s="1498"/>
      <c r="AP125" s="1498"/>
      <c r="AQ125" s="1498"/>
      <c r="AR125" s="1498"/>
      <c r="AS125" s="1480"/>
      <c r="AT125" s="417"/>
      <c r="AU125" s="803"/>
      <c r="AV125" s="803"/>
      <c r="AW125" s="803"/>
      <c r="AX125" s="803"/>
    </row>
    <row r="126" spans="1:50" s="180" customFormat="1" ht="15" customHeight="1" x14ac:dyDescent="0.25">
      <c r="A126" s="1508" t="s">
        <v>404</v>
      </c>
      <c r="B126" s="861"/>
      <c r="C126" s="185"/>
      <c r="D126" s="18" t="s">
        <v>165</v>
      </c>
      <c r="E126" s="18"/>
      <c r="F126" s="18" t="str">
        <f>+CONCATENATE($B$78,"",$C$125,"",D126)</f>
        <v>22.09.002</v>
      </c>
      <c r="G126" s="1532" t="s">
        <v>71</v>
      </c>
      <c r="H126" s="1295">
        <f>+'P01 2023'!F109</f>
        <v>656797.56799999997</v>
      </c>
      <c r="I126" s="99">
        <f>+'P01 2023'!BB111</f>
        <v>563390.77300000004</v>
      </c>
      <c r="J126" s="19">
        <f ca="1">SUMIF(S$3:$AH118,"ok",S126:AH126)</f>
        <v>231184.46000000002</v>
      </c>
      <c r="K126" s="740">
        <f t="shared" ca="1" si="41"/>
        <v>0.41034477502882355</v>
      </c>
      <c r="L126" s="99">
        <f>+'P01 2023'!BC111</f>
        <v>497403.35700000002</v>
      </c>
      <c r="M126" s="740">
        <f t="shared" si="62"/>
        <v>0.88287451771951542</v>
      </c>
      <c r="N126" s="99">
        <f>+'P01 2023'!BE111</f>
        <v>65987.415999999997</v>
      </c>
      <c r="O126" s="631">
        <f t="shared" si="56"/>
        <v>0.11712548228048454</v>
      </c>
      <c r="P126" s="1520">
        <f>+'P01 2022'!AZ102</f>
        <v>630631.4394589999</v>
      </c>
      <c r="Q126" s="1121">
        <f ca="1">SUMIF(S$3:$AH119,"SI",S126:AH126)</f>
        <v>153958.84708099999</v>
      </c>
      <c r="R126" s="1308">
        <f t="shared" ca="1" si="61"/>
        <v>0.24413443010877595</v>
      </c>
      <c r="S126" s="1330">
        <f>+'P01 2023'!I109</f>
        <v>56732.254000000001</v>
      </c>
      <c r="T126" s="1186">
        <f>+'P01 2022'!F99</f>
        <v>8198.6213599999992</v>
      </c>
      <c r="U126" s="1295">
        <f>+'P01 2023'!N78</f>
        <v>18596.402999999998</v>
      </c>
      <c r="V126" s="1345">
        <f>+'P01 2022'!M80</f>
        <v>19512.760718999998</v>
      </c>
      <c r="W126" s="578">
        <f>+'P01 2023'!AD97</f>
        <v>91114.114000000001</v>
      </c>
      <c r="X126" s="1345">
        <f>+'P01 2022'!AB91</f>
        <v>20958.784067999997</v>
      </c>
      <c r="Y126" s="1295">
        <f>+'P01 2023'!AT93</f>
        <v>64741.688999999998</v>
      </c>
      <c r="Z126" s="1186">
        <f>+'P01 2022'!AQ94</f>
        <v>105288.680934</v>
      </c>
      <c r="AA126" s="219">
        <f>+'P01 2022'!BI83</f>
        <v>45659.023000000001</v>
      </c>
      <c r="AB126" s="19">
        <f>+'P01 2022'!CC93</f>
        <v>15051.525</v>
      </c>
      <c r="AC126" s="19">
        <f>+'P01 2022'!CY92</f>
        <v>116349.889</v>
      </c>
      <c r="AD126" s="19">
        <f>+'P01 2022'!DR87</f>
        <v>46513.324000000001</v>
      </c>
      <c r="AE126" s="1345">
        <f>+'P01 2022'!EJ92</f>
        <v>73595.562000000005</v>
      </c>
      <c r="AF126" s="333">
        <f>+'P01 2022'!FC88</f>
        <v>38027.883000000002</v>
      </c>
      <c r="AG126" s="19">
        <f>+'P01 2022'!GA93</f>
        <v>53266.101000000002</v>
      </c>
      <c r="AH126" s="1186">
        <f>+'P01 2022'!GX93</f>
        <v>86897.457999999999</v>
      </c>
      <c r="AI126" s="71"/>
      <c r="AJ126" s="1421"/>
      <c r="AK126" s="1421"/>
      <c r="AL126" s="1421"/>
      <c r="AM126" s="1421"/>
      <c r="AN126" s="71"/>
      <c r="AO126" s="1498"/>
      <c r="AP126" s="1498"/>
      <c r="AQ126" s="1498"/>
      <c r="AR126" s="1498"/>
      <c r="AS126" s="1480"/>
      <c r="AT126" s="417"/>
      <c r="AU126" s="803"/>
      <c r="AV126" s="803"/>
      <c r="AW126" s="803"/>
      <c r="AX126" s="803"/>
    </row>
    <row r="127" spans="1:50" s="180" customFormat="1" ht="15" customHeight="1" x14ac:dyDescent="0.25">
      <c r="A127" s="1508" t="s">
        <v>604</v>
      </c>
      <c r="B127" s="861"/>
      <c r="C127" s="185"/>
      <c r="D127" s="18" t="s">
        <v>180</v>
      </c>
      <c r="E127" s="18"/>
      <c r="F127" s="18" t="str">
        <f>+CONCATENATE($B$78,"",$C$125,"",D127)</f>
        <v>22.09.005</v>
      </c>
      <c r="G127" s="1532" t="s">
        <v>116</v>
      </c>
      <c r="H127" s="1295">
        <f>+'P01 2023'!F110</f>
        <v>37080</v>
      </c>
      <c r="I127" s="99">
        <f>+'P01 2023'!BB112</f>
        <v>37080</v>
      </c>
      <c r="J127" s="19">
        <f ca="1">SUMIF(S$3:$AH120,"ok",S127:AH127)</f>
        <v>5355.1629999999996</v>
      </c>
      <c r="K127" s="740">
        <f t="shared" ca="1" si="41"/>
        <v>0.14442187162891046</v>
      </c>
      <c r="L127" s="99">
        <f>+'P01 2023'!BC112</f>
        <v>29880</v>
      </c>
      <c r="M127" s="740">
        <f t="shared" si="62"/>
        <v>0.80582524271844658</v>
      </c>
      <c r="N127" s="99">
        <f>+'P01 2023'!BE112</f>
        <v>7200</v>
      </c>
      <c r="O127" s="631">
        <f t="shared" si="56"/>
        <v>0.1941747572815534</v>
      </c>
      <c r="P127" s="1520">
        <f>+'P01 2022'!AZ103</f>
        <v>47214.917021000001</v>
      </c>
      <c r="Q127" s="1121">
        <f ca="1">SUMIF(S$3:$AH120,"SI",S127:AH127)</f>
        <v>8049.5494289999997</v>
      </c>
      <c r="R127" s="1308">
        <f t="shared" ca="1" si="61"/>
        <v>0.17048742085938146</v>
      </c>
      <c r="S127" s="1330">
        <f>+'P01 2023'!I110</f>
        <v>1830.3989999999999</v>
      </c>
      <c r="T127" s="1186">
        <f>+'P01 2022'!F100</f>
        <v>2055.0054190000001</v>
      </c>
      <c r="U127" s="1295">
        <f>+'P01 2023'!N79</f>
        <v>1725.51</v>
      </c>
      <c r="V127" s="1345">
        <f>+'P01 2022'!M81</f>
        <v>1933.4758179999999</v>
      </c>
      <c r="W127" s="578">
        <f>+'P01 2023'!AD98</f>
        <v>1799.2539999999999</v>
      </c>
      <c r="X127" s="1345">
        <f>+'P01 2022'!AB92</f>
        <v>1973.202254</v>
      </c>
      <c r="Y127" s="1295">
        <f>+'P01 2023'!AT94</f>
        <v>0</v>
      </c>
      <c r="Z127" s="1186">
        <f>+'P01 2022'!AQ95</f>
        <v>2087.8659379999999</v>
      </c>
      <c r="AA127" s="219">
        <f>+'P01 2022'!BI84</f>
        <v>2041.19</v>
      </c>
      <c r="AB127" s="19">
        <f>+'P01 2022'!CC94</f>
        <v>2022.35</v>
      </c>
      <c r="AC127" s="19">
        <f>+'P01 2022'!CY93</f>
        <v>2009.028</v>
      </c>
      <c r="AD127" s="19">
        <f>+'P01 2022'!DR88</f>
        <v>2043.325</v>
      </c>
      <c r="AE127" s="1345">
        <f>+'P01 2022'!EJ93</f>
        <v>2217.0239999999999</v>
      </c>
      <c r="AF127" s="333">
        <f>+'P01 2022'!FC89</f>
        <v>2082.2080000000001</v>
      </c>
      <c r="AG127" s="19">
        <f>+'P01 2022'!GA94</f>
        <v>2068.2910000000002</v>
      </c>
      <c r="AH127" s="1186">
        <f>+'P01 2022'!GX94</f>
        <v>1970.345</v>
      </c>
      <c r="AI127" s="71"/>
      <c r="AJ127" s="1421"/>
      <c r="AK127" s="1421"/>
      <c r="AL127" s="1421"/>
      <c r="AM127" s="1421"/>
      <c r="AN127" s="71"/>
      <c r="AO127" s="1498"/>
      <c r="AP127" s="1498"/>
      <c r="AQ127" s="1498"/>
      <c r="AR127" s="1498"/>
      <c r="AS127" s="1480"/>
      <c r="AT127" s="417"/>
      <c r="AU127" s="803"/>
      <c r="AV127" s="803"/>
      <c r="AW127" s="803"/>
      <c r="AX127" s="803"/>
    </row>
    <row r="128" spans="1:50" s="180" customFormat="1" ht="15" customHeight="1" x14ac:dyDescent="0.25">
      <c r="A128" s="1508" t="s">
        <v>605</v>
      </c>
      <c r="B128" s="861"/>
      <c r="C128" s="185"/>
      <c r="D128" s="18" t="s">
        <v>181</v>
      </c>
      <c r="E128" s="18"/>
      <c r="F128" s="18" t="str">
        <f>+CONCATENATE($B$78,"",$C$125,"",D128)</f>
        <v>22.09.006</v>
      </c>
      <c r="G128" s="1532" t="s">
        <v>117</v>
      </c>
      <c r="H128" s="1295">
        <f>+'P01 2023'!F111</f>
        <v>85600</v>
      </c>
      <c r="I128" s="99">
        <f>+'P01 2023'!BB113</f>
        <v>60439.483999999997</v>
      </c>
      <c r="J128" s="19">
        <f ca="1">SUMIF(S$3:$AH121,"ok",S128:AH128)</f>
        <v>19909.917999999998</v>
      </c>
      <c r="K128" s="740">
        <f t="shared" ca="1" si="41"/>
        <v>0.32941905989799647</v>
      </c>
      <c r="L128" s="99">
        <f>+'P01 2023'!BC113</f>
        <v>47000</v>
      </c>
      <c r="M128" s="740">
        <f t="shared" si="62"/>
        <v>0.7776373471355249</v>
      </c>
      <c r="N128" s="99">
        <f>+'P01 2023'!BE113</f>
        <v>13439.484</v>
      </c>
      <c r="O128" s="631">
        <f t="shared" si="56"/>
        <v>0.22236265286447518</v>
      </c>
      <c r="P128" s="1520">
        <f>+'P01 2022'!AZ104</f>
        <v>100985</v>
      </c>
      <c r="Q128" s="1121">
        <f ca="1">SUMIF(S$3:$AH121,"SI",S128:AH128)</f>
        <v>15748.343936999998</v>
      </c>
      <c r="R128" s="1308">
        <f t="shared" ca="1" si="61"/>
        <v>0.15594735789473682</v>
      </c>
      <c r="S128" s="1330">
        <f>+'P01 2023'!I111</f>
        <v>5084.9780000000001</v>
      </c>
      <c r="T128" s="1186">
        <v>0</v>
      </c>
      <c r="U128" s="1295">
        <f>+'P01 2023'!N80</f>
        <v>0</v>
      </c>
      <c r="V128" s="1345">
        <f>+'P01 2022'!M82</f>
        <v>0</v>
      </c>
      <c r="W128" s="578">
        <f>+'P01 2023'!AD99</f>
        <v>9898.5720000000001</v>
      </c>
      <c r="X128" s="1345">
        <f>+'P01 2022'!AB93</f>
        <v>10499.287141999999</v>
      </c>
      <c r="Y128" s="1295">
        <f>+'P01 2023'!AT95</f>
        <v>4926.3680000000004</v>
      </c>
      <c r="Z128" s="1186">
        <f>+'P01 2022'!AQ96</f>
        <v>5249.0567949999995</v>
      </c>
      <c r="AA128" s="219">
        <f>+'P01 2022'!BI85</f>
        <v>5325.44</v>
      </c>
      <c r="AB128" s="19">
        <f>+'P01 2022'!CC95</f>
        <v>5086.5119999999997</v>
      </c>
      <c r="AC128" s="19">
        <f>+'P01 2022'!CY94</f>
        <v>9208.0149999999994</v>
      </c>
      <c r="AD128" s="19">
        <f>+'P01 2022'!DR89</f>
        <v>5457.0529999999999</v>
      </c>
      <c r="AE128" s="1345">
        <f>+'P01 2022'!EJ94</f>
        <v>5438.4</v>
      </c>
      <c r="AF128" s="333">
        <f>+'P01 2022'!FC90</f>
        <v>5730.0959999999995</v>
      </c>
      <c r="AG128" s="19">
        <f>+'P01 2022'!GA95</f>
        <v>5514.3609999999999</v>
      </c>
      <c r="AH128" s="1186">
        <f>+'P01 2022'!GX95</f>
        <v>5372.2560000000003</v>
      </c>
      <c r="AI128" s="71"/>
      <c r="AJ128" s="1421"/>
      <c r="AK128" s="1421"/>
      <c r="AL128" s="1421"/>
      <c r="AM128" s="1421"/>
      <c r="AN128" s="71"/>
      <c r="AO128" s="1498"/>
      <c r="AP128" s="1498"/>
      <c r="AQ128" s="1498"/>
      <c r="AR128" s="1498"/>
      <c r="AS128" s="1480"/>
      <c r="AT128" s="417"/>
      <c r="AU128" s="803"/>
      <c r="AV128" s="803"/>
      <c r="AW128" s="803"/>
      <c r="AX128" s="803"/>
    </row>
    <row r="129" spans="1:50" s="180" customFormat="1" ht="15" customHeight="1" x14ac:dyDescent="0.25">
      <c r="A129" s="1508" t="s">
        <v>494</v>
      </c>
      <c r="B129" s="861"/>
      <c r="C129" s="185"/>
      <c r="D129" s="18" t="s">
        <v>177</v>
      </c>
      <c r="E129" s="18"/>
      <c r="F129" s="18" t="str">
        <f>+CONCATENATE($B$78,"",$C$125,"",D129)</f>
        <v>22.09.999</v>
      </c>
      <c r="G129" s="1532" t="s">
        <v>109</v>
      </c>
      <c r="H129" s="1295">
        <f>+'P01 2023'!F112</f>
        <v>12500</v>
      </c>
      <c r="I129" s="99">
        <f>+'P01 2023'!BB114</f>
        <v>24506.25</v>
      </c>
      <c r="J129" s="19">
        <f ca="1">SUMIF(S$3:$AH122,"ok",S129:AH129)</f>
        <v>3123.75</v>
      </c>
      <c r="K129" s="740">
        <f t="shared" ca="1" si="41"/>
        <v>0.12746748278500383</v>
      </c>
      <c r="L129" s="99">
        <f>+'P01 2023'!BC114</f>
        <v>5206.25</v>
      </c>
      <c r="M129" s="740">
        <f t="shared" si="62"/>
        <v>0.21244580464167304</v>
      </c>
      <c r="N129" s="99">
        <f>+'P01 2023'!BE114</f>
        <v>19300</v>
      </c>
      <c r="O129" s="631">
        <f t="shared" si="56"/>
        <v>0.78755419535832694</v>
      </c>
      <c r="P129" s="1520">
        <f>+'P01 2022'!AZ105</f>
        <v>13287.5</v>
      </c>
      <c r="Q129" s="1121">
        <f ca="1">SUMIF(S$3:$AH122,"SI",S129:AH129)</f>
        <v>3320.5462499999994</v>
      </c>
      <c r="R129" s="1308">
        <f t="shared" ca="1" si="61"/>
        <v>0.24989999999999996</v>
      </c>
      <c r="S129" s="1330">
        <f>+'P01 2023'!I112</f>
        <v>0</v>
      </c>
      <c r="T129" s="1186">
        <v>0</v>
      </c>
      <c r="U129" s="1295">
        <f>+'P01 2023'!N81</f>
        <v>1041.25</v>
      </c>
      <c r="V129" s="1345">
        <f>+'P01 2022'!M83</f>
        <v>1106.8487499999999</v>
      </c>
      <c r="W129" s="578">
        <f>+'P01 2023'!AD100</f>
        <v>1041.25</v>
      </c>
      <c r="X129" s="1345">
        <f>+'P01 2022'!AB94</f>
        <v>1106.8487499999999</v>
      </c>
      <c r="Y129" s="1295">
        <f>+'P01 2023'!AT96</f>
        <v>1041.25</v>
      </c>
      <c r="Z129" s="1186">
        <f>+'P01 2022'!AQ97</f>
        <v>1106.8487499999999</v>
      </c>
      <c r="AA129" s="219">
        <f>+'P01 2022'!BI86</f>
        <v>1041.25</v>
      </c>
      <c r="AB129" s="19">
        <f>+'P01 2022'!CC96</f>
        <v>1041.25</v>
      </c>
      <c r="AC129" s="19">
        <f>+'P01 2022'!CY95</f>
        <v>1041.25</v>
      </c>
      <c r="AD129" s="19">
        <f>+'P01 2022'!DR90</f>
        <v>1041.25</v>
      </c>
      <c r="AE129" s="1345">
        <f>+'P01 2022'!EJ95</f>
        <v>1041.25</v>
      </c>
      <c r="AF129" s="333">
        <f>+'P01 2022'!FC91</f>
        <v>1041.25</v>
      </c>
      <c r="AG129" s="19">
        <f>+'P01 2022'!GA96</f>
        <v>1041.25</v>
      </c>
      <c r="AH129" s="1186">
        <f>+'P01 2022'!GX96</f>
        <v>2082.5</v>
      </c>
      <c r="AI129" s="71"/>
      <c r="AJ129" s="1421"/>
      <c r="AK129" s="1421"/>
      <c r="AL129" s="1421"/>
      <c r="AM129" s="1421"/>
      <c r="AN129" s="71"/>
      <c r="AO129" s="1498"/>
      <c r="AP129" s="1498"/>
      <c r="AQ129" s="1498"/>
      <c r="AR129" s="1498"/>
      <c r="AS129" s="1480"/>
      <c r="AT129" s="417"/>
      <c r="AU129" s="803"/>
      <c r="AV129" s="803"/>
      <c r="AW129" s="803"/>
      <c r="AX129" s="803"/>
    </row>
    <row r="130" spans="1:50" s="1149" customFormat="1" ht="15" customHeight="1" x14ac:dyDescent="0.25">
      <c r="A130" s="1508" t="s">
        <v>606</v>
      </c>
      <c r="B130" s="862"/>
      <c r="C130" s="187" t="s">
        <v>186</v>
      </c>
      <c r="D130" s="139"/>
      <c r="E130" s="139"/>
      <c r="F130" s="139"/>
      <c r="G130" s="1536" t="s">
        <v>118</v>
      </c>
      <c r="H130" s="1296">
        <f>+'P01 2023'!F113</f>
        <v>37000</v>
      </c>
      <c r="I130" s="17">
        <f>+'P01 2023'!BB115</f>
        <v>33915.277000000002</v>
      </c>
      <c r="J130" s="17">
        <f ca="1">SUM(J131:J132)</f>
        <v>140.74199999999999</v>
      </c>
      <c r="K130" s="739">
        <f t="shared" ca="1" si="41"/>
        <v>4.1498113077478322E-3</v>
      </c>
      <c r="L130" s="17">
        <f>+'P01 2023'!BC115</f>
        <v>140.74199999999999</v>
      </c>
      <c r="M130" s="844">
        <f t="shared" si="62"/>
        <v>4.1498113077478322E-3</v>
      </c>
      <c r="N130" s="17">
        <f>+'P01 2023'!BE115</f>
        <v>33774.535000000003</v>
      </c>
      <c r="O130" s="1526">
        <f t="shared" si="56"/>
        <v>0.99585018869225217</v>
      </c>
      <c r="P130" s="222">
        <f>SUM(P131:P132)</f>
        <v>10093.291299999999</v>
      </c>
      <c r="Q130" s="17">
        <f ca="1">SUMIF(S$3:$AH123,"SI",S130:AH130)</f>
        <v>122.35129999999998</v>
      </c>
      <c r="R130" s="737">
        <f t="shared" ca="1" si="61"/>
        <v>1.212204189529336E-2</v>
      </c>
      <c r="S130" s="1296">
        <f>+'P01 2023'!I113</f>
        <v>0</v>
      </c>
      <c r="T130" s="1209">
        <v>0</v>
      </c>
      <c r="U130" s="1296">
        <v>0</v>
      </c>
      <c r="V130" s="1346">
        <f>SUM(V131:V131)</f>
        <v>0</v>
      </c>
      <c r="W130" s="1398">
        <f>+'P01 2023'!AD101</f>
        <v>140.74199999999999</v>
      </c>
      <c r="X130" s="1346">
        <f>+X131+X132</f>
        <v>122.35129999999998</v>
      </c>
      <c r="Y130" s="1324">
        <f>SUM(Y131:Y132)</f>
        <v>0</v>
      </c>
      <c r="Z130" s="379">
        <f>SUM(Z131:Z132)</f>
        <v>0</v>
      </c>
      <c r="AA130" s="220">
        <f>SUM(AA131:AA132)</f>
        <v>0</v>
      </c>
      <c r="AB130" s="3">
        <v>0</v>
      </c>
      <c r="AC130" s="3">
        <f>+AC131+AC132</f>
        <v>8349.3070000000007</v>
      </c>
      <c r="AD130" s="3">
        <f>SUM(AD131:AD131)</f>
        <v>0</v>
      </c>
      <c r="AE130" s="1346">
        <f t="shared" ref="AE130:AF130" si="64">+AE131+AE132</f>
        <v>0</v>
      </c>
      <c r="AF130" s="3">
        <f t="shared" si="64"/>
        <v>0</v>
      </c>
      <c r="AG130" s="3">
        <f>+'P01 2022'!GA97</f>
        <v>0</v>
      </c>
      <c r="AH130" s="379">
        <f>+'P01 2022'!GX97</f>
        <v>4272.4629999999997</v>
      </c>
      <c r="AI130" s="71"/>
      <c r="AJ130" s="1421"/>
      <c r="AK130" s="1421"/>
      <c r="AL130" s="1421"/>
      <c r="AM130" s="1421"/>
      <c r="AN130" s="71"/>
      <c r="AO130" s="1498"/>
      <c r="AP130" s="1498"/>
      <c r="AQ130" s="1498"/>
      <c r="AR130" s="1498"/>
      <c r="AS130" s="1480"/>
      <c r="AT130" s="417"/>
      <c r="AU130" s="803"/>
      <c r="AV130" s="803"/>
      <c r="AW130" s="803"/>
      <c r="AX130" s="803"/>
    </row>
    <row r="131" spans="1:50" s="180" customFormat="1" ht="15" customHeight="1" x14ac:dyDescent="0.25">
      <c r="A131" s="1508" t="s">
        <v>405</v>
      </c>
      <c r="B131" s="861"/>
      <c r="C131" s="185"/>
      <c r="D131" s="18" t="s">
        <v>165</v>
      </c>
      <c r="E131" s="18"/>
      <c r="F131" s="18" t="str">
        <f>+CONCATENATE($B$78,"",$C$130,"",D131)</f>
        <v>22.10.002</v>
      </c>
      <c r="G131" s="1532" t="s">
        <v>119</v>
      </c>
      <c r="H131" s="1295">
        <f>+'P01 2023'!F114</f>
        <v>37000</v>
      </c>
      <c r="I131" s="99">
        <f>+'P01 2023'!BB116</f>
        <v>33915.277000000002</v>
      </c>
      <c r="J131" s="19">
        <f ca="1">SUMIF(S$3:$AH123,"ok",S131:AH131)</f>
        <v>140.74199999999999</v>
      </c>
      <c r="K131" s="740">
        <f t="shared" ca="1" si="41"/>
        <v>4.1498113077478322E-3</v>
      </c>
      <c r="L131" s="99">
        <f>+'P01 2023'!BC116</f>
        <v>140.74199999999999</v>
      </c>
      <c r="M131" s="740">
        <f t="shared" si="62"/>
        <v>4.1498113077478322E-3</v>
      </c>
      <c r="N131" s="99">
        <f>+'P01 2023'!BE116</f>
        <v>33774.535000000003</v>
      </c>
      <c r="O131" s="631">
        <f t="shared" si="56"/>
        <v>0.99585018869225217</v>
      </c>
      <c r="P131" s="1520">
        <f>+'P01 2022'!AZ107</f>
        <v>10093.291299999999</v>
      </c>
      <c r="Q131" s="1121">
        <f ca="1">SUMIF(S$3:$AH124,"SI",S131:AH131)</f>
        <v>122.35129999999998</v>
      </c>
      <c r="R131" s="1308">
        <f t="shared" ca="1" si="61"/>
        <v>1.212204189529336E-2</v>
      </c>
      <c r="S131" s="1330">
        <f>+'P01 2023'!I114</f>
        <v>0</v>
      </c>
      <c r="T131" s="1186">
        <v>0</v>
      </c>
      <c r="U131" s="1295">
        <v>0</v>
      </c>
      <c r="V131" s="1345">
        <v>0</v>
      </c>
      <c r="W131" s="578">
        <f>+'P01 2023'!AD102</f>
        <v>140.74199999999999</v>
      </c>
      <c r="X131" s="1345">
        <f>+'P01 2022'!AB96</f>
        <v>122.35129999999998</v>
      </c>
      <c r="Y131" s="1295">
        <f>+'P01 2023'!AT98</f>
        <v>0</v>
      </c>
      <c r="Z131" s="1186">
        <f>+'P01 2022'!AQ99</f>
        <v>0</v>
      </c>
      <c r="AA131" s="219">
        <v>0</v>
      </c>
      <c r="AB131" s="19">
        <v>0</v>
      </c>
      <c r="AC131" s="19">
        <f>+'P01 2022'!CY97</f>
        <v>8349.3070000000007</v>
      </c>
      <c r="AD131" s="19">
        <f>+'P01 2022'!DR92</f>
        <v>0</v>
      </c>
      <c r="AE131" s="1345">
        <f>+'P01 2022'!EJ97</f>
        <v>0</v>
      </c>
      <c r="AF131" s="188">
        <v>0</v>
      </c>
      <c r="AG131" s="19">
        <f>+'P01 2022'!GA98</f>
        <v>0</v>
      </c>
      <c r="AH131" s="1186">
        <f>+'P01 2022'!GX98</f>
        <v>4254.0290000000005</v>
      </c>
      <c r="AI131" s="71"/>
      <c r="AJ131" s="1421"/>
      <c r="AK131" s="1421"/>
      <c r="AL131" s="1421"/>
      <c r="AM131" s="1421"/>
      <c r="AN131" s="71"/>
      <c r="AO131" s="1498"/>
      <c r="AP131" s="1498"/>
      <c r="AQ131" s="1498"/>
      <c r="AR131" s="1498"/>
      <c r="AS131" s="1480"/>
      <c r="AT131" s="417"/>
      <c r="AU131" s="803"/>
      <c r="AV131" s="803"/>
      <c r="AW131" s="803"/>
      <c r="AX131" s="803"/>
    </row>
    <row r="132" spans="1:50" s="180" customFormat="1" ht="15" customHeight="1" x14ac:dyDescent="0.25">
      <c r="A132" s="1508" t="s">
        <v>504</v>
      </c>
      <c r="B132" s="861"/>
      <c r="C132" s="185"/>
      <c r="D132" s="18" t="s">
        <v>179</v>
      </c>
      <c r="E132" s="18"/>
      <c r="F132" s="18" t="str">
        <f>+CONCATENATE($B$78,"",$C$130,"",D132)</f>
        <v>22.10.004</v>
      </c>
      <c r="G132" s="1532" t="s">
        <v>72</v>
      </c>
      <c r="H132" s="1295">
        <v>0</v>
      </c>
      <c r="I132" s="99">
        <v>0</v>
      </c>
      <c r="J132" s="19">
        <f ca="1">SUMIF(S$3:$AH124,"ok",S132:AH132)</f>
        <v>0</v>
      </c>
      <c r="K132" s="740">
        <f ca="1">IFERROR(J132/I132,"0,00"%)</f>
        <v>0</v>
      </c>
      <c r="L132" s="99">
        <v>0</v>
      </c>
      <c r="M132" s="740">
        <f t="shared" si="62"/>
        <v>0</v>
      </c>
      <c r="N132" s="99">
        <v>0</v>
      </c>
      <c r="O132" s="631">
        <f t="shared" si="56"/>
        <v>0</v>
      </c>
      <c r="P132" s="1520">
        <v>0</v>
      </c>
      <c r="Q132" s="1121">
        <f ca="1">SUMIF(S$3:$AH125,"SI",S132:AH132)</f>
        <v>0</v>
      </c>
      <c r="R132" s="1308" t="str">
        <f ca="1">IFERROR(Q132/P132,"0,00%")</f>
        <v>0,00%</v>
      </c>
      <c r="S132" s="1323">
        <v>0</v>
      </c>
      <c r="T132" s="1186">
        <v>0</v>
      </c>
      <c r="U132" s="1295">
        <v>0</v>
      </c>
      <c r="V132" s="1345">
        <v>0</v>
      </c>
      <c r="W132" s="578">
        <v>0</v>
      </c>
      <c r="X132" s="1345">
        <v>0</v>
      </c>
      <c r="Y132" s="1295">
        <v>0</v>
      </c>
      <c r="Z132" s="1188">
        <v>0</v>
      </c>
      <c r="AA132" s="219">
        <v>0</v>
      </c>
      <c r="AB132" s="19">
        <v>0</v>
      </c>
      <c r="AC132" s="19">
        <v>0</v>
      </c>
      <c r="AD132" s="19">
        <v>0</v>
      </c>
      <c r="AE132" s="1345">
        <v>0</v>
      </c>
      <c r="AF132" s="188">
        <v>0</v>
      </c>
      <c r="AG132" s="4">
        <v>0</v>
      </c>
      <c r="AH132" s="1186">
        <f>+'P01 2022'!GX99</f>
        <v>18.434000000000001</v>
      </c>
      <c r="AI132" s="71"/>
      <c r="AJ132" s="1421"/>
      <c r="AK132" s="1421"/>
      <c r="AL132" s="1421"/>
      <c r="AM132" s="1421"/>
      <c r="AN132" s="71"/>
      <c r="AO132" s="1498"/>
      <c r="AP132" s="1498"/>
      <c r="AQ132" s="1498"/>
      <c r="AR132" s="1498"/>
      <c r="AS132" s="1480"/>
      <c r="AT132" s="417"/>
      <c r="AU132" s="803"/>
      <c r="AV132" s="803"/>
      <c r="AW132" s="803"/>
      <c r="AX132" s="803"/>
    </row>
    <row r="133" spans="1:50" s="1149" customFormat="1" ht="15" customHeight="1" x14ac:dyDescent="0.25">
      <c r="A133" s="1508" t="s">
        <v>607</v>
      </c>
      <c r="B133" s="1193"/>
      <c r="C133" s="139" t="s">
        <v>187</v>
      </c>
      <c r="D133" s="139"/>
      <c r="E133" s="139"/>
      <c r="F133" s="139"/>
      <c r="G133" s="1536" t="s">
        <v>73</v>
      </c>
      <c r="H133" s="1296">
        <f>SUM(H134:H137)</f>
        <v>882367.00200000009</v>
      </c>
      <c r="I133" s="17">
        <f>+'P01 2023'!BB117</f>
        <v>1193280.416</v>
      </c>
      <c r="J133" s="17">
        <f ca="1">SUM(J134:J137)</f>
        <v>140648.43300000002</v>
      </c>
      <c r="K133" s="739">
        <f t="shared" ca="1" si="41"/>
        <v>0.11786704207504568</v>
      </c>
      <c r="L133" s="17">
        <f>+'P01 2023'!BC117</f>
        <v>835453.97100000002</v>
      </c>
      <c r="M133" s="739">
        <f t="shared" si="62"/>
        <v>0.70013213977023825</v>
      </c>
      <c r="N133" s="17">
        <f>+'P01 2023'!BE117</f>
        <v>357826.44500000001</v>
      </c>
      <c r="O133" s="1526">
        <f t="shared" si="56"/>
        <v>0.29986786022976181</v>
      </c>
      <c r="P133" s="222">
        <f>SUM(P134:P137)</f>
        <v>976693.43549999991</v>
      </c>
      <c r="Q133" s="17">
        <f ca="1">SUMIF(S$3:$AH126,"SI",S133:AH133)</f>
        <v>159779.430078</v>
      </c>
      <c r="R133" s="737">
        <f t="shared" ca="1" si="61"/>
        <v>0.16359220229242549</v>
      </c>
      <c r="S133" s="1296">
        <f>+'P01 2023'!I115</f>
        <v>0</v>
      </c>
      <c r="T133" s="1209">
        <f t="shared" ref="T133:AE133" si="65">SUM(T134:T137)</f>
        <v>8232.5097999999998</v>
      </c>
      <c r="U133" s="1296">
        <f>+'P01 2023'!N84</f>
        <v>13606.334000000001</v>
      </c>
      <c r="V133" s="1346">
        <f t="shared" si="65"/>
        <v>2940.1591410000001</v>
      </c>
      <c r="W133" s="1398">
        <f>SUM(W134:W137)</f>
        <v>127042.099</v>
      </c>
      <c r="X133" s="1346">
        <f t="shared" si="65"/>
        <v>78177.058336999995</v>
      </c>
      <c r="Y133" s="1324">
        <f>SUM(Y134:Y137)</f>
        <v>0</v>
      </c>
      <c r="Z133" s="379">
        <f>SUM(Z134:Z137)</f>
        <v>70429.702799999999</v>
      </c>
      <c r="AA133" s="220">
        <f t="shared" si="65"/>
        <v>125703.798</v>
      </c>
      <c r="AB133" s="3">
        <f t="shared" si="65"/>
        <v>85515.548999999999</v>
      </c>
      <c r="AC133" s="3">
        <f t="shared" si="65"/>
        <v>140396.698</v>
      </c>
      <c r="AD133" s="3">
        <f t="shared" si="65"/>
        <v>86211.698999999993</v>
      </c>
      <c r="AE133" s="1346">
        <f t="shared" si="65"/>
        <v>92524.769</v>
      </c>
      <c r="AF133" s="3">
        <f>SUM(AF134:AF137)</f>
        <v>107741.69899999999</v>
      </c>
      <c r="AG133" s="3">
        <f>+'P01 2022'!GA99</f>
        <v>87860.672999999995</v>
      </c>
      <c r="AH133" s="379">
        <f>+'P01 2022'!GX100</f>
        <v>290196.95500000002</v>
      </c>
      <c r="AI133" s="71"/>
      <c r="AJ133" s="1421"/>
      <c r="AK133" s="1421"/>
      <c r="AL133" s="1421"/>
      <c r="AM133" s="1421"/>
      <c r="AN133" s="71"/>
      <c r="AO133" s="1498"/>
      <c r="AP133" s="1498"/>
      <c r="AQ133" s="1498"/>
      <c r="AR133" s="1498"/>
      <c r="AS133" s="1480"/>
      <c r="AT133" s="417"/>
      <c r="AU133" s="803"/>
      <c r="AV133" s="803"/>
      <c r="AW133" s="803"/>
      <c r="AX133" s="803"/>
    </row>
    <row r="134" spans="1:50" s="180" customFormat="1" ht="15" customHeight="1" x14ac:dyDescent="0.25">
      <c r="A134" s="1508" t="s">
        <v>406</v>
      </c>
      <c r="B134" s="861"/>
      <c r="C134" s="185"/>
      <c r="D134" s="18" t="s">
        <v>169</v>
      </c>
      <c r="E134" s="18"/>
      <c r="F134" s="18" t="str">
        <f>+CONCATENATE($B$78,"",$C$133,"",D134)</f>
        <v>22.11.001</v>
      </c>
      <c r="G134" s="1532" t="s">
        <v>74</v>
      </c>
      <c r="H134" s="1295">
        <f>+'P01 2023'!F116</f>
        <v>24323.001</v>
      </c>
      <c r="I134" s="99">
        <f>+'P01 2023'!BB118</f>
        <v>447835.97100000002</v>
      </c>
      <c r="J134" s="19">
        <f ca="1">SUMIF(S$3:$AH126,"ok",S134:AH134)</f>
        <v>68698</v>
      </c>
      <c r="K134" s="740">
        <f t="shared" ca="1" si="41"/>
        <v>0.15339991525602573</v>
      </c>
      <c r="L134" s="99">
        <f>+'P01 2023'!BC118</f>
        <v>219420.69399999999</v>
      </c>
      <c r="M134" s="740">
        <f t="shared" si="62"/>
        <v>0.4899577260621612</v>
      </c>
      <c r="N134" s="99">
        <f>+'P01 2023'!BE118</f>
        <v>228415.277</v>
      </c>
      <c r="O134" s="631">
        <f t="shared" si="56"/>
        <v>0.51004227393783874</v>
      </c>
      <c r="P134" s="1523">
        <f>+'P01 2022'!AZ109</f>
        <v>57960.074999999997</v>
      </c>
      <c r="Q134" s="1289">
        <f ca="1">SUMIF(S$3:$AH127,"SI",S134:AH134)</f>
        <v>57960.074999999997</v>
      </c>
      <c r="R134" s="1542">
        <f ca="1">IFERROR(Q134/P134,"0,00%")</f>
        <v>1</v>
      </c>
      <c r="S134" s="1295">
        <f>+'P01 2023'!I116</f>
        <v>0</v>
      </c>
      <c r="T134" s="1186">
        <v>0</v>
      </c>
      <c r="U134" s="1295">
        <f>+'P01 2023'!N85</f>
        <v>9873</v>
      </c>
      <c r="V134" s="1345">
        <v>0</v>
      </c>
      <c r="W134" s="578">
        <f>+'P01 2023'!AD104</f>
        <v>58825</v>
      </c>
      <c r="X134" s="1345">
        <f>+'P01 2022'!AB98</f>
        <v>0</v>
      </c>
      <c r="Y134" s="1295">
        <f>+'P01 2023'!AT100</f>
        <v>0</v>
      </c>
      <c r="Z134" s="1186">
        <f>+'P01 2022'!AQ101</f>
        <v>57960.074999999997</v>
      </c>
      <c r="AA134" s="219">
        <v>0</v>
      </c>
      <c r="AB134" s="19">
        <f>+'P01 2022'!CC100</f>
        <v>20000</v>
      </c>
      <c r="AC134" s="19">
        <f>+'P01 2022'!CY99</f>
        <v>19746</v>
      </c>
      <c r="AD134" s="19">
        <f>+'P01 2022'!DR94</f>
        <v>20000</v>
      </c>
      <c r="AE134" s="1345">
        <f>+'P01 2022'!EJ99</f>
        <v>33200</v>
      </c>
      <c r="AF134" s="333">
        <f>+'P01 2022'!FC93</f>
        <v>39492</v>
      </c>
      <c r="AG134" s="19">
        <f>+'P01 2022'!GA100</f>
        <v>19746</v>
      </c>
      <c r="AH134" s="1186">
        <f>+'P01 2022'!GX101</f>
        <v>80956.154999999999</v>
      </c>
      <c r="AI134" s="71"/>
      <c r="AJ134" s="1421"/>
      <c r="AK134" s="1421"/>
      <c r="AL134" s="1421"/>
      <c r="AM134" s="1421"/>
      <c r="AN134" s="71"/>
      <c r="AO134" s="1498"/>
      <c r="AP134" s="1498"/>
      <c r="AQ134" s="1498"/>
      <c r="AR134" s="1498"/>
      <c r="AS134" s="1480"/>
      <c r="AT134" s="417"/>
      <c r="AU134" s="803"/>
      <c r="AV134" s="803"/>
      <c r="AW134" s="803"/>
      <c r="AX134" s="803"/>
    </row>
    <row r="135" spans="1:50" s="180" customFormat="1" ht="15" customHeight="1" collapsed="1" x14ac:dyDescent="0.25">
      <c r="A135" s="1508" t="s">
        <v>407</v>
      </c>
      <c r="B135" s="861"/>
      <c r="C135" s="185"/>
      <c r="D135" s="18" t="s">
        <v>165</v>
      </c>
      <c r="E135" s="18"/>
      <c r="F135" s="18" t="str">
        <f>+CONCATENATE($B$78,"",$C$133,"",D135)</f>
        <v>22.11.002</v>
      </c>
      <c r="G135" s="1532" t="s">
        <v>75</v>
      </c>
      <c r="H135" s="1295">
        <f>+'P01 2023'!F117</f>
        <v>52663</v>
      </c>
      <c r="I135" s="99">
        <f>+'P01 2023'!BB119</f>
        <v>52663</v>
      </c>
      <c r="J135" s="19">
        <f ca="1">SUMIF(S$3:$AH127,"ok",S135:AH135)</f>
        <v>0</v>
      </c>
      <c r="K135" s="740">
        <f t="shared" ca="1" si="41"/>
        <v>0</v>
      </c>
      <c r="L135" s="99">
        <f>+'P01 2023'!BC119</f>
        <v>9224.9069999999992</v>
      </c>
      <c r="M135" s="740">
        <f t="shared" si="62"/>
        <v>0.17516865731158496</v>
      </c>
      <c r="N135" s="99">
        <f>+'P01 2023'!BE119</f>
        <v>43438.093000000001</v>
      </c>
      <c r="O135" s="631">
        <f t="shared" si="56"/>
        <v>0.82483134268841507</v>
      </c>
      <c r="P135" s="1520">
        <f>+'P01 2022'!AZ110</f>
        <v>58514.960999999996</v>
      </c>
      <c r="Q135" s="1121">
        <f ca="1">SUMIF(S$3:$AH128,"SI",S135:AH135)</f>
        <v>6696.9</v>
      </c>
      <c r="R135" s="1308">
        <f t="shared" ca="1" si="61"/>
        <v>0.11444765382309663</v>
      </c>
      <c r="S135" s="1295">
        <f>+'P01 2023'!I117</f>
        <v>0</v>
      </c>
      <c r="T135" s="1186">
        <v>0</v>
      </c>
      <c r="U135" s="1295">
        <v>0</v>
      </c>
      <c r="V135" s="1345">
        <v>0</v>
      </c>
      <c r="W135" s="578">
        <f>+'P01 2023'!AD105</f>
        <v>0</v>
      </c>
      <c r="X135" s="1345">
        <f>+'P01 2022'!AB99</f>
        <v>1381.8999999999999</v>
      </c>
      <c r="Y135" s="1295">
        <f>+'P01 2023'!AT101</f>
        <v>0</v>
      </c>
      <c r="Z135" s="1186">
        <f>+'P01 2022'!AQ102</f>
        <v>5315</v>
      </c>
      <c r="AA135" s="219">
        <v>0</v>
      </c>
      <c r="AB135" s="19">
        <f>+'P01 2022'!CC101</f>
        <v>0</v>
      </c>
      <c r="AC135" s="19">
        <f>+'P01 2022'!CY100</f>
        <v>0</v>
      </c>
      <c r="AD135" s="19">
        <f>+'P01 2022'!DR95</f>
        <v>0</v>
      </c>
      <c r="AE135" s="1345">
        <f>+'P01 2022'!EJ100</f>
        <v>1300</v>
      </c>
      <c r="AF135" s="333">
        <f>+'P01 2022'!FC94</f>
        <v>8288</v>
      </c>
      <c r="AG135" s="19">
        <f>+'P01 2022'!GA101</f>
        <v>6947.5739999999996</v>
      </c>
      <c r="AH135" s="1186">
        <f>+'P01 2022'!GX102</f>
        <v>28848.645</v>
      </c>
      <c r="AI135" s="71"/>
      <c r="AJ135" s="1421"/>
      <c r="AK135" s="1421"/>
      <c r="AL135" s="1421"/>
      <c r="AM135" s="1421"/>
      <c r="AN135" s="71"/>
      <c r="AO135" s="1498"/>
      <c r="AP135" s="1498"/>
      <c r="AQ135" s="1498"/>
      <c r="AR135" s="1498"/>
      <c r="AS135" s="1480"/>
      <c r="AT135" s="417"/>
      <c r="AU135" s="803"/>
      <c r="AV135" s="803"/>
      <c r="AW135" s="803"/>
      <c r="AX135" s="803"/>
    </row>
    <row r="136" spans="1:50" s="180" customFormat="1" ht="15" customHeight="1" x14ac:dyDescent="0.25">
      <c r="A136" s="1508" t="s">
        <v>408</v>
      </c>
      <c r="B136" s="861"/>
      <c r="C136" s="185"/>
      <c r="D136" s="18" t="s">
        <v>166</v>
      </c>
      <c r="E136" s="18"/>
      <c r="F136" s="18" t="str">
        <f>+CONCATENATE($B$78,"",$C$133,"",D136)</f>
        <v>22.11.003</v>
      </c>
      <c r="G136" s="1532" t="s">
        <v>208</v>
      </c>
      <c r="H136" s="1295">
        <f>+'P01 2023'!F118</f>
        <v>799881.00100000005</v>
      </c>
      <c r="I136" s="99">
        <f>+'P01 2023'!BB120</f>
        <v>687281.44499999995</v>
      </c>
      <c r="J136" s="19">
        <f ca="1">SUMIF(S$3:$AH128,"ok",S136:AH136)</f>
        <v>71950.433000000005</v>
      </c>
      <c r="K136" s="740">
        <f t="shared" ca="1" si="41"/>
        <v>0.10468845554240157</v>
      </c>
      <c r="L136" s="99">
        <f>+'P01 2023'!BC120</f>
        <v>606808.37</v>
      </c>
      <c r="M136" s="740">
        <f t="shared" si="62"/>
        <v>0.88291103217547218</v>
      </c>
      <c r="N136" s="99">
        <f>+'P01 2023'!BE120</f>
        <v>80473.074999999997</v>
      </c>
      <c r="O136" s="631">
        <f t="shared" si="56"/>
        <v>0.11708896782452785</v>
      </c>
      <c r="P136" s="1520">
        <f>+'P01 2022'!AZ111</f>
        <v>854903.39949999994</v>
      </c>
      <c r="Q136" s="1121">
        <f ca="1">SUMIF(S$3:$AH129,"SI",S136:AH136)</f>
        <v>95122.455077999999</v>
      </c>
      <c r="R136" s="1308">
        <f t="shared" ca="1" si="61"/>
        <v>0.11126690469780967</v>
      </c>
      <c r="S136" s="1295">
        <f>+'P01 2023'!I118</f>
        <v>0</v>
      </c>
      <c r="T136" s="1186">
        <f>+'P01 2022'!F108</f>
        <v>8232.5097999999998</v>
      </c>
      <c r="U136" s="1295">
        <f>+'P01 2023'!N86</f>
        <v>3733.3339999999998</v>
      </c>
      <c r="V136" s="1345">
        <f>+'P01 2022'!M87</f>
        <v>2940.1591410000001</v>
      </c>
      <c r="W136" s="578">
        <f>+'P01 2023'!AD106</f>
        <v>68217.099000000002</v>
      </c>
      <c r="X136" s="1345">
        <f>+'P01 2022'!AB100</f>
        <v>76795.158337000001</v>
      </c>
      <c r="Y136" s="1295">
        <f>+'P01 2023'!AT102</f>
        <v>0</v>
      </c>
      <c r="Z136" s="1186">
        <f>+'P01 2022'!AQ103</f>
        <v>7154.6278000000002</v>
      </c>
      <c r="AA136" s="1477">
        <f>+'P01 2022'!BI90</f>
        <v>124103.798</v>
      </c>
      <c r="AB136" s="19">
        <f>+'P01 2022'!CC102</f>
        <v>65515.548999999999</v>
      </c>
      <c r="AC136" s="19">
        <f>+'P01 2022'!CY101</f>
        <v>120400.798</v>
      </c>
      <c r="AD136" s="19">
        <f>+'P01 2022'!DR96</f>
        <v>66211.698999999993</v>
      </c>
      <c r="AE136" s="1345">
        <f>+'P01 2022'!EJ101</f>
        <v>57961.699000000001</v>
      </c>
      <c r="AF136" s="333">
        <f>+'P01 2022'!FC95</f>
        <v>57961.699000000001</v>
      </c>
      <c r="AG136" s="19">
        <f>+'P01 2022'!GA102</f>
        <v>59167.099000000002</v>
      </c>
      <c r="AH136" s="1186">
        <f>+'P01 2022'!GX103</f>
        <v>180142.255</v>
      </c>
      <c r="AI136" s="71"/>
      <c r="AJ136" s="1421"/>
      <c r="AK136" s="1421"/>
      <c r="AL136" s="1421"/>
      <c r="AM136" s="1421"/>
      <c r="AN136" s="71"/>
      <c r="AO136" s="1498"/>
      <c r="AP136" s="1498"/>
      <c r="AQ136" s="1498"/>
      <c r="AR136" s="1498"/>
      <c r="AS136" s="1480"/>
      <c r="AT136" s="417"/>
      <c r="AU136" s="803"/>
      <c r="AV136" s="803"/>
      <c r="AW136" s="803"/>
      <c r="AX136" s="803"/>
    </row>
    <row r="137" spans="1:50" s="180" customFormat="1" ht="15" customHeight="1" x14ac:dyDescent="0.25">
      <c r="A137" s="1508" t="s">
        <v>409</v>
      </c>
      <c r="B137" s="861"/>
      <c r="C137" s="185"/>
      <c r="D137" s="18" t="s">
        <v>177</v>
      </c>
      <c r="E137" s="18"/>
      <c r="F137" s="18" t="str">
        <f>+CONCATENATE($B$78,"",$C$133,"",D137)</f>
        <v>22.11.999</v>
      </c>
      <c r="G137" s="1532" t="s">
        <v>109</v>
      </c>
      <c r="H137" s="1295">
        <f>+'P01 2023'!F119</f>
        <v>5500</v>
      </c>
      <c r="I137" s="99">
        <f>+'P01 2023'!BB121</f>
        <v>5500</v>
      </c>
      <c r="J137" s="19">
        <f ca="1">SUMIF(S$3:$AH129,"ok",S137:AH137)</f>
        <v>0</v>
      </c>
      <c r="K137" s="740">
        <f t="shared" ca="1" si="41"/>
        <v>0</v>
      </c>
      <c r="L137" s="99">
        <f>+'P01 2023'!BC121</f>
        <v>0</v>
      </c>
      <c r="M137" s="740">
        <f t="shared" si="62"/>
        <v>0</v>
      </c>
      <c r="N137" s="99">
        <f>+'P01 2023'!BE121</f>
        <v>5500</v>
      </c>
      <c r="O137" s="631">
        <f t="shared" si="56"/>
        <v>1</v>
      </c>
      <c r="P137" s="1520">
        <f>+'P01 2022'!AZ112</f>
        <v>5315</v>
      </c>
      <c r="Q137" s="1121">
        <f ca="1">SUMIF(S$3:$AH130,"SI",S137:AH137)</f>
        <v>0</v>
      </c>
      <c r="R137" s="1308">
        <f t="shared" ca="1" si="61"/>
        <v>0</v>
      </c>
      <c r="S137" s="1295">
        <f>+'P01 2023'!I119</f>
        <v>0</v>
      </c>
      <c r="T137" s="1186">
        <v>0</v>
      </c>
      <c r="U137" s="1295">
        <v>0</v>
      </c>
      <c r="V137" s="1345">
        <v>0</v>
      </c>
      <c r="W137" s="578">
        <f>+'P01 2023'!AD107</f>
        <v>0</v>
      </c>
      <c r="X137" s="1345">
        <v>0</v>
      </c>
      <c r="Y137" s="1295">
        <v>0</v>
      </c>
      <c r="Z137" s="1187">
        <v>0</v>
      </c>
      <c r="AA137" s="1477">
        <f>+'P01 2022'!BI91</f>
        <v>1600</v>
      </c>
      <c r="AB137" s="19">
        <f>+'P01 2022'!CC103</f>
        <v>0</v>
      </c>
      <c r="AC137" s="19">
        <f>+'P01 2022'!CY102</f>
        <v>249.9</v>
      </c>
      <c r="AD137" s="19">
        <f>+'P01 2022'!DR97</f>
        <v>0</v>
      </c>
      <c r="AE137" s="1345">
        <f>+'P01 2022'!EJ102</f>
        <v>63.07</v>
      </c>
      <c r="AF137" s="333">
        <f>+'P01 2022'!FC96</f>
        <v>2000</v>
      </c>
      <c r="AG137" s="19">
        <f>+'P01 2022'!GA103</f>
        <v>2000</v>
      </c>
      <c r="AH137" s="1186">
        <f>+'P01 2022'!GX104</f>
        <v>249.9</v>
      </c>
      <c r="AI137" s="71"/>
      <c r="AJ137" s="1421"/>
      <c r="AK137" s="1421"/>
      <c r="AL137" s="1421"/>
      <c r="AM137" s="1421"/>
      <c r="AN137" s="71"/>
      <c r="AO137" s="1498"/>
      <c r="AP137" s="1498"/>
      <c r="AQ137" s="1498"/>
      <c r="AR137" s="1498"/>
      <c r="AS137" s="1480"/>
      <c r="AT137" s="417"/>
      <c r="AU137" s="803"/>
      <c r="AV137" s="803"/>
      <c r="AW137" s="803"/>
      <c r="AX137" s="803"/>
    </row>
    <row r="138" spans="1:50" s="1149" customFormat="1" ht="15" customHeight="1" x14ac:dyDescent="0.25">
      <c r="A138" s="1508" t="s">
        <v>608</v>
      </c>
      <c r="B138" s="1193"/>
      <c r="C138" s="139" t="s">
        <v>188</v>
      </c>
      <c r="D138" s="139"/>
      <c r="E138" s="139"/>
      <c r="F138" s="139"/>
      <c r="G138" s="1536" t="s">
        <v>76</v>
      </c>
      <c r="H138" s="1296">
        <f>+'P01 2023'!F120</f>
        <v>991.01300000000003</v>
      </c>
      <c r="I138" s="17">
        <f>+'P01 2023'!BB122</f>
        <v>8549.5550000000003</v>
      </c>
      <c r="J138" s="17">
        <f ca="1">SUM(J139:J141)</f>
        <v>8027.7449999999999</v>
      </c>
      <c r="K138" s="739">
        <f t="shared" ca="1" si="41"/>
        <v>0.93896641404143255</v>
      </c>
      <c r="L138" s="17">
        <f>+'P01 2023'!BC122</f>
        <v>8066.7449999999999</v>
      </c>
      <c r="M138" s="739">
        <f t="shared" si="62"/>
        <v>0.94352805496894276</v>
      </c>
      <c r="N138" s="17">
        <f>+'P01 2023'!BE122</f>
        <v>482.81</v>
      </c>
      <c r="O138" s="1526">
        <f t="shared" si="56"/>
        <v>5.6471945031057173E-2</v>
      </c>
      <c r="P138" s="222">
        <f>SUM(P139:P141)</f>
        <v>4061.7899689999999</v>
      </c>
      <c r="Q138" s="17">
        <f ca="1">SUM(Q139:Q141)</f>
        <v>2310.8546369999999</v>
      </c>
      <c r="R138" s="737">
        <f t="shared" ca="1" si="61"/>
        <v>0.56892519175946588</v>
      </c>
      <c r="S138" s="1296">
        <f>+'P01 2023'!I120</f>
        <v>191.01</v>
      </c>
      <c r="T138" s="1209">
        <f>SUM(T139:T141)</f>
        <v>70.863832000000002</v>
      </c>
      <c r="U138" s="1296">
        <f>+'P01 2023'!N87</f>
        <v>649.03700000000003</v>
      </c>
      <c r="V138" s="1346">
        <f>+SUM(V139:V141)</f>
        <v>339.79751699999997</v>
      </c>
      <c r="W138" s="1398">
        <f>+'P01 2023'!AD108</f>
        <v>205.97800000000001</v>
      </c>
      <c r="X138" s="1346">
        <f t="shared" ref="X138:AC138" si="66">SUM(X139:X141)</f>
        <v>1734.2164679999998</v>
      </c>
      <c r="Y138" s="1324">
        <f>SUM(Y139:Y141)</f>
        <v>6981.72</v>
      </c>
      <c r="Z138" s="379">
        <f>SUM(Z139:Z141)</f>
        <v>165.97681999999998</v>
      </c>
      <c r="AA138" s="220">
        <f t="shared" si="66"/>
        <v>595.44200000000001</v>
      </c>
      <c r="AB138" s="3">
        <f t="shared" si="66"/>
        <v>413.71100000000001</v>
      </c>
      <c r="AC138" s="3">
        <f t="shared" si="66"/>
        <v>413.67</v>
      </c>
      <c r="AD138" s="3">
        <f>SUM(AD139:AD141)</f>
        <v>608.72</v>
      </c>
      <c r="AE138" s="1346">
        <f>SUM(AE139:AE141)</f>
        <v>1678.3110000000001</v>
      </c>
      <c r="AF138" s="3">
        <f>+AF139</f>
        <v>1534.672</v>
      </c>
      <c r="AG138" s="3">
        <f>+'P01 2022'!GA104</f>
        <v>390.79</v>
      </c>
      <c r="AH138" s="379">
        <f>+'P01 2022'!GX105</f>
        <v>8156.1779999999999</v>
      </c>
      <c r="AI138" s="71"/>
      <c r="AJ138" s="1421"/>
      <c r="AK138" s="1421"/>
      <c r="AL138" s="1421"/>
      <c r="AM138" s="1421"/>
      <c r="AN138" s="71"/>
      <c r="AO138" s="1498"/>
      <c r="AP138" s="1498"/>
      <c r="AQ138" s="1498"/>
      <c r="AR138" s="1498"/>
      <c r="AS138" s="1480"/>
      <c r="AT138" s="417"/>
      <c r="AU138" s="803"/>
      <c r="AV138" s="803"/>
      <c r="AW138" s="803"/>
      <c r="AX138" s="803"/>
    </row>
    <row r="139" spans="1:50" s="180" customFormat="1" ht="15" customHeight="1" x14ac:dyDescent="0.25">
      <c r="A139" s="1508" t="s">
        <v>410</v>
      </c>
      <c r="B139" s="861"/>
      <c r="C139" s="185"/>
      <c r="D139" s="18" t="s">
        <v>165</v>
      </c>
      <c r="E139" s="18"/>
      <c r="F139" s="18" t="str">
        <f>+CONCATENATE($B$78,"",$C$138,"",D139)</f>
        <v>22.12.002</v>
      </c>
      <c r="G139" s="1532" t="s">
        <v>77</v>
      </c>
      <c r="H139" s="1295">
        <f>+'P01 2023'!F121</f>
        <v>991.01099999999997</v>
      </c>
      <c r="I139" s="99">
        <f>+'P01 2023'!BB123</f>
        <v>2974.107</v>
      </c>
      <c r="J139" s="19">
        <f ca="1">SUMIF(S$3:$AH131,"ok",S139:AH139)</f>
        <v>2494.2449999999999</v>
      </c>
      <c r="K139" s="740">
        <f t="shared" ca="1" si="41"/>
        <v>0.83865341764771739</v>
      </c>
      <c r="L139" s="99">
        <f>+'P01 2023'!BC123</f>
        <v>2533.2449999999999</v>
      </c>
      <c r="M139" s="740">
        <f t="shared" si="62"/>
        <v>0.85176659750304884</v>
      </c>
      <c r="N139" s="99">
        <f>+'P01 2023'!BE123</f>
        <v>440.86200000000002</v>
      </c>
      <c r="O139" s="631">
        <f t="shared" si="56"/>
        <v>0.14823340249695119</v>
      </c>
      <c r="P139" s="1520">
        <f>+'P01 2022'!AZ114</f>
        <v>3791.6402119999998</v>
      </c>
      <c r="Q139" s="1121">
        <f ca="1">SUMIF(S$3:$AH131,"SI",S139:AH139)</f>
        <v>2051.3348799999999</v>
      </c>
      <c r="R139" s="1308">
        <f t="shared" ca="1" si="61"/>
        <v>0.54101517161565538</v>
      </c>
      <c r="S139" s="1295">
        <f>+'P01 2023'!I121</f>
        <v>191.01</v>
      </c>
      <c r="T139" s="1186">
        <f>+'P01 2022'!F111</f>
        <v>50.773132000000004</v>
      </c>
      <c r="U139" s="1295">
        <f>+'P01 2023'!N88</f>
        <v>649.03700000000003</v>
      </c>
      <c r="V139" s="1345">
        <f>+'P01 2022'!M89</f>
        <v>103.02596</v>
      </c>
      <c r="W139" s="578">
        <f>+'P01 2023'!AD109</f>
        <v>205.97800000000001</v>
      </c>
      <c r="X139" s="1345">
        <f>+'P01 2022'!AB102</f>
        <v>1734.2164679999998</v>
      </c>
      <c r="Y139" s="1295">
        <f>+'P01 2023'!AT104</f>
        <v>1448.22</v>
      </c>
      <c r="Z139" s="1186">
        <f>+'P01 2022'!AQ105</f>
        <v>163.31931999999998</v>
      </c>
      <c r="AA139" s="219">
        <f>+'P01 2022'!BI93</f>
        <v>595.44200000000001</v>
      </c>
      <c r="AB139" s="19">
        <f>+'P01 2022'!CC105</f>
        <v>362.66</v>
      </c>
      <c r="AC139" s="19">
        <f>+'P01 2022'!CY104</f>
        <v>413.67</v>
      </c>
      <c r="AD139" s="19">
        <f>+'P01 2022'!DR99</f>
        <v>458.78</v>
      </c>
      <c r="AE139" s="1345">
        <f>+'P01 2022'!EJ104</f>
        <v>798.31100000000004</v>
      </c>
      <c r="AF139" s="333">
        <f>+'P01 2022'!FC98</f>
        <v>1534.672</v>
      </c>
      <c r="AG139" s="19">
        <f>+'P01 2022'!GA105</f>
        <v>390.79</v>
      </c>
      <c r="AH139" s="1186">
        <f>+'P01 2022'!GX106</f>
        <v>3127.143</v>
      </c>
      <c r="AI139" s="71"/>
      <c r="AJ139" s="1421"/>
      <c r="AK139" s="1421"/>
      <c r="AL139" s="1421"/>
      <c r="AM139" s="1421"/>
      <c r="AN139" s="71"/>
      <c r="AO139" s="1498"/>
      <c r="AP139" s="1498"/>
      <c r="AQ139" s="1498"/>
      <c r="AR139" s="1498"/>
      <c r="AS139" s="1480"/>
      <c r="AT139" s="417"/>
      <c r="AU139" s="803"/>
      <c r="AV139" s="803"/>
      <c r="AW139" s="803"/>
      <c r="AX139" s="803"/>
    </row>
    <row r="140" spans="1:50" s="180" customFormat="1" ht="15" customHeight="1" x14ac:dyDescent="0.25">
      <c r="A140" s="1511" t="s">
        <v>609</v>
      </c>
      <c r="B140" s="861" t="s">
        <v>337</v>
      </c>
      <c r="C140" s="185"/>
      <c r="D140" s="18" t="s">
        <v>166</v>
      </c>
      <c r="E140" s="18"/>
      <c r="F140" s="18" t="s">
        <v>209</v>
      </c>
      <c r="G140" s="1532" t="s">
        <v>78</v>
      </c>
      <c r="H140" s="1295">
        <f>+'P01 2023'!F122</f>
        <v>1E-3</v>
      </c>
      <c r="I140" s="99">
        <f>+'P01 2023'!BB124</f>
        <v>5533.5</v>
      </c>
      <c r="J140" s="19">
        <f ca="1">SUMIF(S$3:$AH132,"ok",S140:AH140)</f>
        <v>5533.5</v>
      </c>
      <c r="K140" s="740">
        <f t="shared" ca="1" si="41"/>
        <v>1</v>
      </c>
      <c r="L140" s="99">
        <f>+'P01 2023'!BC124</f>
        <v>5533.5</v>
      </c>
      <c r="M140" s="740">
        <f t="shared" si="62"/>
        <v>1</v>
      </c>
      <c r="N140" s="99">
        <f>+'P01 2023'!BE124</f>
        <v>0</v>
      </c>
      <c r="O140" s="631">
        <f t="shared" si="56"/>
        <v>0</v>
      </c>
      <c r="P140" s="1520">
        <v>0</v>
      </c>
      <c r="Q140" s="1121">
        <f ca="1">SUMIF(S$3:$AH132,"SI",S140:AH140)</f>
        <v>0</v>
      </c>
      <c r="R140" s="1308" t="str">
        <f ca="1">IFERROR(Q140/P140,"0,00%")</f>
        <v>0,00%</v>
      </c>
      <c r="S140" s="1295">
        <f>+'P01 2023'!I122</f>
        <v>0</v>
      </c>
      <c r="T140" s="1186">
        <v>0</v>
      </c>
      <c r="U140" s="1295">
        <f>+'P01 2023'!N89</f>
        <v>0</v>
      </c>
      <c r="V140" s="1345">
        <v>0</v>
      </c>
      <c r="W140" s="578">
        <f>+'P01 2023'!AD110</f>
        <v>0</v>
      </c>
      <c r="X140" s="1345">
        <v>0</v>
      </c>
      <c r="Y140" s="1295">
        <f>+'P01 2023'!AT105</f>
        <v>5533.5</v>
      </c>
      <c r="Z140" s="1186">
        <v>0</v>
      </c>
      <c r="AA140" s="219">
        <v>0</v>
      </c>
      <c r="AB140" s="19">
        <v>0</v>
      </c>
      <c r="AC140" s="19">
        <v>0</v>
      </c>
      <c r="AD140" s="19">
        <f>+'P01 2022'!DR100</f>
        <v>149.94</v>
      </c>
      <c r="AE140" s="1345">
        <f>+'P01 2022'!EJ105</f>
        <v>880</v>
      </c>
      <c r="AF140" s="333">
        <f>+'P01 2022'!FC99</f>
        <v>0</v>
      </c>
      <c r="AG140" s="19">
        <f>+'P01 2022'!GA106</f>
        <v>0</v>
      </c>
      <c r="AH140" s="1186">
        <f>+'P01 2022'!GX107</f>
        <v>5029.0349999999999</v>
      </c>
      <c r="AI140" s="71"/>
      <c r="AJ140" s="1421"/>
      <c r="AK140" s="1421"/>
      <c r="AL140" s="1421"/>
      <c r="AM140" s="1421"/>
      <c r="AN140" s="71"/>
      <c r="AO140" s="1498"/>
      <c r="AP140" s="1498"/>
      <c r="AQ140" s="1498"/>
      <c r="AR140" s="1498"/>
      <c r="AS140" s="1480"/>
      <c r="AT140" s="417"/>
      <c r="AU140" s="803"/>
      <c r="AV140" s="803"/>
      <c r="AW140" s="803"/>
      <c r="AX140" s="803"/>
    </row>
    <row r="141" spans="1:50" s="180" customFormat="1" ht="15" customHeight="1" x14ac:dyDescent="0.25">
      <c r="A141" s="1508" t="s">
        <v>411</v>
      </c>
      <c r="B141" s="861"/>
      <c r="C141" s="185"/>
      <c r="D141" s="18" t="s">
        <v>177</v>
      </c>
      <c r="E141" s="18"/>
      <c r="F141" s="18" t="str">
        <f>+CONCATENATE($B$78,"",$C$138,"",D141)</f>
        <v>22.12.999</v>
      </c>
      <c r="G141" s="1532" t="s">
        <v>51</v>
      </c>
      <c r="H141" s="1295">
        <f>+'P01 2023'!F123</f>
        <v>1E-3</v>
      </c>
      <c r="I141" s="99">
        <f>+'P01 2023'!BB125</f>
        <v>41.948</v>
      </c>
      <c r="J141" s="19">
        <f ca="1">SUMIF(S$3:$AH133,"ok",S141:AH141)</f>
        <v>0</v>
      </c>
      <c r="K141" s="740">
        <f t="shared" ca="1" si="41"/>
        <v>0</v>
      </c>
      <c r="L141" s="99">
        <f>+'P01 2023'!BC125</f>
        <v>0</v>
      </c>
      <c r="M141" s="740">
        <f t="shared" si="62"/>
        <v>0</v>
      </c>
      <c r="N141" s="99">
        <f>+'P01 2023'!BE125</f>
        <v>41.948</v>
      </c>
      <c r="O141" s="631">
        <f t="shared" si="56"/>
        <v>1</v>
      </c>
      <c r="P141" s="1523">
        <f>+'P01 2022'!AZ115</f>
        <v>270.14975700000002</v>
      </c>
      <c r="Q141" s="1289">
        <f ca="1">SUMIF(S$3:$AH133,"SI",S141:AH141)</f>
        <v>259.51975700000003</v>
      </c>
      <c r="R141" s="1542">
        <f ca="1">IFERROR(Q141/P141,"0%")</f>
        <v>0.96065145451898371</v>
      </c>
      <c r="S141" s="1295">
        <f>+'P01 2023'!I123</f>
        <v>0</v>
      </c>
      <c r="T141" s="1186">
        <f>+'P01 2022'!F112</f>
        <v>20.090699999999998</v>
      </c>
      <c r="U141" s="1295">
        <v>0</v>
      </c>
      <c r="V141" s="1345">
        <f>+'P01 2022'!M90</f>
        <v>236.771557</v>
      </c>
      <c r="W141" s="578">
        <f>+'P01 2023'!AD111</f>
        <v>0</v>
      </c>
      <c r="X141" s="1345">
        <v>0</v>
      </c>
      <c r="Y141" s="1295">
        <f>+'P01 2023'!AT106</f>
        <v>0</v>
      </c>
      <c r="Z141" s="1186">
        <f>+'P01 2022'!AQ106</f>
        <v>2.6574999999999998</v>
      </c>
      <c r="AA141" s="219">
        <f>+'P01 2022'!BI94</f>
        <v>0</v>
      </c>
      <c r="AB141" s="19">
        <f>+'P01 2022'!CC107</f>
        <v>51.051000000000002</v>
      </c>
      <c r="AC141" s="19">
        <v>0</v>
      </c>
      <c r="AD141" s="19">
        <f>+'P01 2022'!DR101</f>
        <v>0</v>
      </c>
      <c r="AE141" s="1345">
        <f>+'P01 2022'!EJ106</f>
        <v>0</v>
      </c>
      <c r="AF141" s="188">
        <v>0</v>
      </c>
      <c r="AG141" s="19">
        <f>+'P01 2022'!GA107</f>
        <v>0</v>
      </c>
      <c r="AH141" s="1187">
        <v>0</v>
      </c>
      <c r="AI141" s="71"/>
      <c r="AJ141" s="1421"/>
      <c r="AK141" s="1421"/>
      <c r="AL141" s="1421"/>
      <c r="AM141" s="1421"/>
      <c r="AN141" s="71"/>
      <c r="AO141" s="1498"/>
      <c r="AP141" s="1498"/>
      <c r="AQ141" s="1498"/>
      <c r="AR141" s="1498"/>
      <c r="AS141" s="1480"/>
      <c r="AT141" s="417"/>
      <c r="AU141" s="803"/>
      <c r="AV141" s="803"/>
      <c r="AW141" s="803"/>
      <c r="AX141" s="803"/>
    </row>
    <row r="142" spans="1:50" s="180" customFormat="1" ht="15" customHeight="1" x14ac:dyDescent="0.25">
      <c r="A142" s="1508" t="s">
        <v>610</v>
      </c>
      <c r="B142" s="1193" t="s">
        <v>1007</v>
      </c>
      <c r="C142" s="139"/>
      <c r="D142" s="139"/>
      <c r="E142" s="139"/>
      <c r="F142" s="139"/>
      <c r="G142" s="1536" t="s">
        <v>280</v>
      </c>
      <c r="H142" s="1296">
        <f>+'P01 2023'!F124</f>
        <v>10</v>
      </c>
      <c r="I142" s="17">
        <f>+'P01 2023'!BB126</f>
        <v>10</v>
      </c>
      <c r="J142" s="17">
        <f ca="1">+J143</f>
        <v>0</v>
      </c>
      <c r="K142" s="739">
        <f t="shared" ref="K142:K178" ca="1" si="67">IFERROR(J142/I142,"0.00"%)</f>
        <v>0</v>
      </c>
      <c r="L142" s="17">
        <f>+'P01 2023'!BC126</f>
        <v>0</v>
      </c>
      <c r="M142" s="844">
        <f t="shared" si="62"/>
        <v>0</v>
      </c>
      <c r="N142" s="17">
        <f>+'P01 2023'!BE126</f>
        <v>10</v>
      </c>
      <c r="O142" s="737">
        <f t="shared" si="56"/>
        <v>1</v>
      </c>
      <c r="P142" s="3">
        <f>+P143</f>
        <v>4634.6799999999994</v>
      </c>
      <c r="Q142" s="3">
        <f ca="1">SUMIF(S$3:$AH135,"SI",S142:AH142)</f>
        <v>4634.6799999999994</v>
      </c>
      <c r="R142" s="1544">
        <f ca="1">IFERROR(Q142/P142,"0,00%")</f>
        <v>1</v>
      </c>
      <c r="S142" s="222">
        <f>+'P01 2023'!I124</f>
        <v>0</v>
      </c>
      <c r="T142" s="1209">
        <v>0</v>
      </c>
      <c r="U142" s="1296">
        <v>0</v>
      </c>
      <c r="V142" s="1346">
        <v>0</v>
      </c>
      <c r="W142" s="1398">
        <v>0</v>
      </c>
      <c r="X142" s="1346">
        <v>0</v>
      </c>
      <c r="Y142" s="1324">
        <f>+Y143</f>
        <v>0</v>
      </c>
      <c r="Z142" s="379">
        <f>+Z143</f>
        <v>4634.6799999999994</v>
      </c>
      <c r="AA142" s="220">
        <f>SUM(AA143:AA144)</f>
        <v>0</v>
      </c>
      <c r="AB142" s="3">
        <v>0</v>
      </c>
      <c r="AC142" s="3">
        <v>0</v>
      </c>
      <c r="AD142" s="3">
        <v>0</v>
      </c>
      <c r="AE142" s="1346">
        <v>0</v>
      </c>
      <c r="AF142" s="3">
        <v>0</v>
      </c>
      <c r="AG142" s="3">
        <v>0</v>
      </c>
      <c r="AH142" s="379">
        <f>+'P01 2022'!GX108</f>
        <v>165784</v>
      </c>
      <c r="AI142" s="71"/>
      <c r="AJ142" s="1421"/>
      <c r="AK142" s="1421"/>
      <c r="AL142" s="1421"/>
      <c r="AM142" s="1421"/>
      <c r="AN142" s="71"/>
      <c r="AO142" s="1498"/>
      <c r="AP142" s="1498"/>
      <c r="AQ142" s="1498"/>
      <c r="AR142" s="1498"/>
      <c r="AS142" s="1480"/>
      <c r="AT142" s="417"/>
      <c r="AU142" s="803"/>
      <c r="AV142" s="803"/>
      <c r="AW142" s="803"/>
      <c r="AX142" s="803"/>
    </row>
    <row r="143" spans="1:50" s="180" customFormat="1" ht="15" customHeight="1" x14ac:dyDescent="0.25">
      <c r="A143" s="1508" t="s">
        <v>611</v>
      </c>
      <c r="B143" s="861"/>
      <c r="C143" s="185" t="s">
        <v>163</v>
      </c>
      <c r="D143" s="18"/>
      <c r="E143" s="18"/>
      <c r="F143" s="18" t="s">
        <v>348</v>
      </c>
      <c r="G143" s="1532" t="s">
        <v>799</v>
      </c>
      <c r="H143" s="1295">
        <f>+'P01 2023'!F125</f>
        <v>10</v>
      </c>
      <c r="I143" s="99">
        <f>+'P01 2023'!BB127</f>
        <v>10</v>
      </c>
      <c r="J143" s="99">
        <f ca="1">+J144+J145</f>
        <v>0</v>
      </c>
      <c r="K143" s="740">
        <f t="shared" ca="1" si="67"/>
        <v>0</v>
      </c>
      <c r="L143" s="99">
        <f>+'P01 2023'!BC127</f>
        <v>0</v>
      </c>
      <c r="M143" s="740">
        <f t="shared" si="62"/>
        <v>0</v>
      </c>
      <c r="N143" s="99">
        <f>+'P01 2023'!BE127</f>
        <v>10</v>
      </c>
      <c r="O143" s="631">
        <f t="shared" si="56"/>
        <v>1</v>
      </c>
      <c r="P143" s="1523">
        <f>+'P01 2022'!AZ116</f>
        <v>4634.6799999999994</v>
      </c>
      <c r="Q143" s="1289">
        <f ca="1">SUMIF(S$3:$AH136,"SI",S143:AH143)</f>
        <v>4634.6799999999994</v>
      </c>
      <c r="R143" s="1542">
        <f ca="1">IFERROR(Q143/P143,"0,00%")</f>
        <v>1</v>
      </c>
      <c r="S143" s="1295">
        <f>+'P01 2023'!I125</f>
        <v>0</v>
      </c>
      <c r="T143" s="1331">
        <v>0</v>
      </c>
      <c r="U143" s="1330">
        <v>0</v>
      </c>
      <c r="V143" s="1354">
        <v>0</v>
      </c>
      <c r="W143" s="1401">
        <v>0</v>
      </c>
      <c r="X143" s="1354">
        <v>0</v>
      </c>
      <c r="Y143" s="1330">
        <v>0</v>
      </c>
      <c r="Z143" s="1331">
        <f>+'P01 2022'!AQ108</f>
        <v>4634.6799999999994</v>
      </c>
      <c r="AA143" s="221">
        <v>0</v>
      </c>
      <c r="AB143" s="99">
        <v>0</v>
      </c>
      <c r="AC143" s="99">
        <v>0</v>
      </c>
      <c r="AD143" s="19">
        <v>0</v>
      </c>
      <c r="AE143" s="1345">
        <v>0</v>
      </c>
      <c r="AF143" s="188">
        <v>0</v>
      </c>
      <c r="AG143" s="99">
        <v>0</v>
      </c>
      <c r="AH143" s="1186">
        <f>+'P01 2022'!GX109</f>
        <v>165784</v>
      </c>
      <c r="AI143" s="71"/>
      <c r="AJ143" s="1421"/>
      <c r="AK143" s="1421"/>
      <c r="AL143" s="1421"/>
      <c r="AM143" s="1421"/>
      <c r="AN143" s="71"/>
      <c r="AO143" s="1498"/>
      <c r="AP143" s="1498"/>
      <c r="AQ143" s="1498"/>
      <c r="AR143" s="1498"/>
      <c r="AS143" s="1480"/>
      <c r="AT143" s="417"/>
      <c r="AU143" s="803"/>
      <c r="AV143" s="803"/>
      <c r="AW143" s="803"/>
      <c r="AX143" s="803"/>
    </row>
    <row r="144" spans="1:50" s="180" customFormat="1" ht="15" customHeight="1" x14ac:dyDescent="0.25">
      <c r="A144" s="1508" t="s">
        <v>612</v>
      </c>
      <c r="B144" s="861"/>
      <c r="C144" s="185"/>
      <c r="D144" s="18" t="s">
        <v>166</v>
      </c>
      <c r="E144" s="18"/>
      <c r="F144" s="18" t="s">
        <v>282</v>
      </c>
      <c r="G144" s="1532" t="s">
        <v>281</v>
      </c>
      <c r="H144" s="1295">
        <f>+'P01 2023'!F126</f>
        <v>10</v>
      </c>
      <c r="I144" s="99">
        <f>+'P01 2023'!BB128</f>
        <v>10</v>
      </c>
      <c r="J144" s="19">
        <f ca="1">SUMIF(S$3:$AH136,"ok",S144:AH144)</f>
        <v>0</v>
      </c>
      <c r="K144" s="740">
        <f t="shared" ca="1" si="67"/>
        <v>0</v>
      </c>
      <c r="L144" s="99">
        <f>+'P01 2023'!BC128</f>
        <v>0</v>
      </c>
      <c r="M144" s="740">
        <f t="shared" si="62"/>
        <v>0</v>
      </c>
      <c r="N144" s="99">
        <f>+'P01 2023'!BE128</f>
        <v>10</v>
      </c>
      <c r="O144" s="631">
        <f t="shared" si="56"/>
        <v>1</v>
      </c>
      <c r="P144" s="1523">
        <f>+'P01 2022'!AZ117</f>
        <v>4634.6799999999994</v>
      </c>
      <c r="Q144" s="1289">
        <f ca="1">SUMIF(S$3:$AH137,"SI",S144:AH144)</f>
        <v>4634.6799999999994</v>
      </c>
      <c r="R144" s="1542">
        <f ca="1">IFERROR(Q144/P144,"0,00%")</f>
        <v>1</v>
      </c>
      <c r="S144" s="1295">
        <f>+'P01 2023'!I126</f>
        <v>0</v>
      </c>
      <c r="T144" s="1331">
        <v>0</v>
      </c>
      <c r="U144" s="1330">
        <v>0</v>
      </c>
      <c r="V144" s="1354">
        <v>0</v>
      </c>
      <c r="W144" s="1401">
        <v>0</v>
      </c>
      <c r="X144" s="1354">
        <v>0</v>
      </c>
      <c r="Y144" s="1330">
        <v>0</v>
      </c>
      <c r="Z144" s="1331">
        <f>+'P01 2022'!AQ109</f>
        <v>4634.6799999999994</v>
      </c>
      <c r="AA144" s="221">
        <v>0</v>
      </c>
      <c r="AB144" s="99">
        <v>0</v>
      </c>
      <c r="AC144" s="99">
        <v>0</v>
      </c>
      <c r="AD144" s="19">
        <v>0</v>
      </c>
      <c r="AE144" s="1345">
        <v>0</v>
      </c>
      <c r="AF144" s="188">
        <v>0</v>
      </c>
      <c r="AG144" s="99">
        <v>0</v>
      </c>
      <c r="AH144" s="1186">
        <f>+'P01 2022'!GX110</f>
        <v>163527.82500000001</v>
      </c>
      <c r="AI144" s="71"/>
      <c r="AJ144" s="1421"/>
      <c r="AK144" s="1421"/>
      <c r="AL144" s="1421"/>
      <c r="AM144" s="1421"/>
      <c r="AN144" s="71"/>
      <c r="AO144" s="1498"/>
      <c r="AP144" s="1498"/>
      <c r="AQ144" s="1498"/>
      <c r="AR144" s="1498"/>
      <c r="AS144" s="1480"/>
      <c r="AT144" s="417"/>
      <c r="AU144" s="803"/>
      <c r="AV144" s="803"/>
      <c r="AW144" s="803"/>
      <c r="AX144" s="803"/>
    </row>
    <row r="145" spans="1:50" s="180" customFormat="1" ht="15" customHeight="1" x14ac:dyDescent="0.25">
      <c r="A145" s="1508" t="s">
        <v>927</v>
      </c>
      <c r="B145" s="861"/>
      <c r="C145" s="185"/>
      <c r="D145" s="18"/>
      <c r="E145" s="18"/>
      <c r="F145" s="18" t="s">
        <v>934</v>
      </c>
      <c r="G145" s="1532" t="s">
        <v>932</v>
      </c>
      <c r="H145" s="1295">
        <v>0</v>
      </c>
      <c r="I145" s="99">
        <v>0</v>
      </c>
      <c r="J145" s="19">
        <f ca="1">SUMIF(S$3:$AH137,"ok",S145:AH145)</f>
        <v>0</v>
      </c>
      <c r="K145" s="740">
        <f ca="1">IFERROR(J145/I145,"0,00"%)</f>
        <v>0</v>
      </c>
      <c r="L145" s="99">
        <v>0</v>
      </c>
      <c r="M145" s="740">
        <v>0</v>
      </c>
      <c r="N145" s="99">
        <v>0</v>
      </c>
      <c r="O145" s="631">
        <f t="shared" si="56"/>
        <v>0</v>
      </c>
      <c r="P145" s="1520">
        <v>0</v>
      </c>
      <c r="Q145" s="1121">
        <f ca="1">SUMIF(S$3:$AH138,"SI",S145:AH145)</f>
        <v>0</v>
      </c>
      <c r="R145" s="1308" t="str">
        <f ca="1">IFERROR(Q145/P145,"0,00%")</f>
        <v>0,00%</v>
      </c>
      <c r="S145" s="1328">
        <v>0</v>
      </c>
      <c r="T145" s="1331">
        <v>0</v>
      </c>
      <c r="U145" s="1330">
        <v>0</v>
      </c>
      <c r="V145" s="1354">
        <v>0</v>
      </c>
      <c r="W145" s="1401">
        <v>0</v>
      </c>
      <c r="X145" s="1354">
        <v>0</v>
      </c>
      <c r="Y145" s="1330">
        <v>0</v>
      </c>
      <c r="Z145" s="1331">
        <v>0</v>
      </c>
      <c r="AA145" s="221">
        <v>0</v>
      </c>
      <c r="AB145" s="99">
        <v>0</v>
      </c>
      <c r="AC145" s="99">
        <v>0</v>
      </c>
      <c r="AD145" s="99">
        <v>0</v>
      </c>
      <c r="AE145" s="1354">
        <v>0</v>
      </c>
      <c r="AF145" s="99">
        <v>0</v>
      </c>
      <c r="AG145" s="99">
        <v>0</v>
      </c>
      <c r="AH145" s="1186">
        <f>+'P01 2022'!GX111</f>
        <v>2256.1750000000002</v>
      </c>
      <c r="AI145" s="71"/>
      <c r="AJ145" s="1421"/>
      <c r="AK145" s="1421"/>
      <c r="AL145" s="1421"/>
      <c r="AM145" s="1421"/>
      <c r="AN145" s="71"/>
      <c r="AO145" s="1498"/>
      <c r="AP145" s="1498"/>
      <c r="AQ145" s="1498"/>
      <c r="AR145" s="1498"/>
      <c r="AS145" s="1480"/>
      <c r="AT145" s="417"/>
      <c r="AU145" s="803"/>
      <c r="AV145" s="803"/>
      <c r="AW145" s="803"/>
      <c r="AX145" s="803"/>
    </row>
    <row r="146" spans="1:50" s="180" customFormat="1" ht="15" customHeight="1" x14ac:dyDescent="0.25">
      <c r="A146" s="1508" t="s">
        <v>412</v>
      </c>
      <c r="B146" s="859">
        <v>24</v>
      </c>
      <c r="C146" s="130" t="s">
        <v>2</v>
      </c>
      <c r="D146" s="135"/>
      <c r="E146" s="135"/>
      <c r="F146" s="135"/>
      <c r="G146" s="1531" t="s">
        <v>148</v>
      </c>
      <c r="H146" s="1293">
        <f>+H154+H161+H147</f>
        <v>136431</v>
      </c>
      <c r="I146" s="129">
        <f t="shared" ref="I146:T146" si="68">+I154+I161+I147</f>
        <v>136431</v>
      </c>
      <c r="J146" s="129">
        <f t="shared" ca="1" si="68"/>
        <v>27571.937000000002</v>
      </c>
      <c r="K146" s="844">
        <f ca="1">IFERROR(J146/I146,"0,00"%)</f>
        <v>0.20209437004786304</v>
      </c>
      <c r="L146" s="129">
        <f t="shared" si="68"/>
        <v>68812.995999999999</v>
      </c>
      <c r="M146" s="844">
        <f t="shared" si="68"/>
        <v>0</v>
      </c>
      <c r="N146" s="129">
        <f t="shared" si="68"/>
        <v>67618.004000000001</v>
      </c>
      <c r="O146" s="1294">
        <f t="shared" si="68"/>
        <v>0.95936486718390135</v>
      </c>
      <c r="P146" s="1207">
        <f>+P154+P161+P147</f>
        <v>269873.37699999998</v>
      </c>
      <c r="Q146" s="129">
        <f t="shared" ca="1" si="68"/>
        <v>103320.898917</v>
      </c>
      <c r="R146" s="1306">
        <f t="shared" ca="1" si="68"/>
        <v>0.38284954249859188</v>
      </c>
      <c r="S146" s="1293">
        <f t="shared" si="68"/>
        <v>8886.1550000000007</v>
      </c>
      <c r="T146" s="1216">
        <f t="shared" si="68"/>
        <v>16445.831386999998</v>
      </c>
      <c r="U146" s="1293">
        <f>+'P01 2023'!N90</f>
        <v>7734.8440000000001</v>
      </c>
      <c r="V146" s="1355">
        <f>+V154+V161+V147</f>
        <v>14796.281805999999</v>
      </c>
      <c r="W146" s="1402">
        <f>+W147+W154+W161</f>
        <v>9175.4689999999991</v>
      </c>
      <c r="X146" s="1355">
        <f>+X147+X154+X161</f>
        <v>34431.257761000001</v>
      </c>
      <c r="Y146" s="1293">
        <f>+Y154+Y161+Y147</f>
        <v>1775.4690000000001</v>
      </c>
      <c r="Z146" s="1216">
        <f>+Z154+Z161+Z147</f>
        <v>37647.527963</v>
      </c>
      <c r="AA146" s="1207">
        <f>+AA147+AA154+AA161</f>
        <v>17219.156999999999</v>
      </c>
      <c r="AB146" s="129">
        <f t="shared" ref="AB146:AE146" si="69">+AB154+AB161+AB147</f>
        <v>14581.45</v>
      </c>
      <c r="AC146" s="129">
        <f t="shared" si="69"/>
        <v>11510.314</v>
      </c>
      <c r="AD146" s="129">
        <f t="shared" si="69"/>
        <v>10767.513000000001</v>
      </c>
      <c r="AE146" s="1355">
        <f t="shared" si="69"/>
        <v>33609.771999999997</v>
      </c>
      <c r="AF146" s="129">
        <f>+AF154+AF161+AF147</f>
        <v>11418.412</v>
      </c>
      <c r="AG146" s="129">
        <f>+AG147+AG154+AG161</f>
        <v>52753.813000000002</v>
      </c>
      <c r="AH146" s="1185">
        <f>+'P01 2022'!GX112</f>
        <v>327021.03700000001</v>
      </c>
      <c r="AI146" s="71"/>
      <c r="AJ146" s="1421"/>
      <c r="AK146" s="1421"/>
      <c r="AL146" s="1421"/>
      <c r="AM146" s="1421"/>
      <c r="AN146" s="71"/>
      <c r="AO146" s="1498"/>
      <c r="AP146" s="1498"/>
      <c r="AQ146" s="1498"/>
      <c r="AR146" s="1498"/>
      <c r="AS146" s="1480"/>
      <c r="AT146" s="417"/>
      <c r="AU146" s="803"/>
      <c r="AV146" s="803"/>
      <c r="AW146" s="803"/>
      <c r="AX146" s="803"/>
    </row>
    <row r="147" spans="1:50" s="180" customFormat="1" ht="15" customHeight="1" x14ac:dyDescent="0.25">
      <c r="A147" s="1508" t="s">
        <v>538</v>
      </c>
      <c r="B147" s="859" t="s">
        <v>2</v>
      </c>
      <c r="C147" s="1163" t="s">
        <v>311</v>
      </c>
      <c r="D147" s="135"/>
      <c r="E147" s="1164"/>
      <c r="F147" s="1164"/>
      <c r="G147" s="1531" t="s">
        <v>309</v>
      </c>
      <c r="H147" s="1293">
        <v>0</v>
      </c>
      <c r="I147" s="129">
        <v>0</v>
      </c>
      <c r="J147" s="129">
        <f ca="1">SUM(J148:J151)</f>
        <v>0</v>
      </c>
      <c r="K147" s="844">
        <f ca="1">IFERROR(J147/I147,"0,00"%)</f>
        <v>0</v>
      </c>
      <c r="L147" s="129">
        <f>+'P01 2023'!BC135</f>
        <v>0</v>
      </c>
      <c r="M147" s="844">
        <f t="shared" si="60"/>
        <v>0</v>
      </c>
      <c r="N147" s="129">
        <v>0</v>
      </c>
      <c r="O147" s="1294">
        <f t="shared" si="56"/>
        <v>0</v>
      </c>
      <c r="P147" s="1522">
        <v>0</v>
      </c>
      <c r="Q147" s="1122">
        <f ca="1">SUM(Q148:Q153)</f>
        <v>0</v>
      </c>
      <c r="R147" s="1304" t="str">
        <f ca="1">IFERROR(Q147/P147,"0,00%")</f>
        <v>0,00%</v>
      </c>
      <c r="S147" s="1327">
        <v>0</v>
      </c>
      <c r="T147" s="1216">
        <v>0</v>
      </c>
      <c r="U147" s="1293">
        <v>0</v>
      </c>
      <c r="V147" s="1355">
        <v>0</v>
      </c>
      <c r="W147" s="1402">
        <f>SUM(W148:W153)</f>
        <v>0</v>
      </c>
      <c r="X147" s="1355">
        <v>0</v>
      </c>
      <c r="Y147" s="1293">
        <f>SUM(Y148:Y153)</f>
        <v>0</v>
      </c>
      <c r="Z147" s="1216">
        <f>SUM(Z148:Z153)</f>
        <v>0</v>
      </c>
      <c r="AA147" s="1207">
        <f>SUM(AA148:AA151)</f>
        <v>0</v>
      </c>
      <c r="AB147" s="129">
        <f>+AB148+AB149+AB150+AB151</f>
        <v>0</v>
      </c>
      <c r="AC147" s="129">
        <v>0</v>
      </c>
      <c r="AD147" s="129">
        <v>0</v>
      </c>
      <c r="AE147" s="1355">
        <v>0</v>
      </c>
      <c r="AF147" s="129">
        <f>SUM(AF148:AF153)</f>
        <v>0</v>
      </c>
      <c r="AG147" s="129">
        <v>0</v>
      </c>
      <c r="AH147" s="1185">
        <f>+'P01 2022'!GX113</f>
        <v>81155</v>
      </c>
      <c r="AI147" s="71"/>
      <c r="AJ147" s="1421"/>
      <c r="AK147" s="1421"/>
      <c r="AL147" s="1421"/>
      <c r="AM147" s="1421"/>
      <c r="AN147" s="71"/>
      <c r="AO147" s="1498"/>
      <c r="AP147" s="1498"/>
      <c r="AQ147" s="1498"/>
      <c r="AR147" s="1498"/>
      <c r="AS147" s="1480"/>
      <c r="AT147" s="417"/>
      <c r="AU147" s="803"/>
      <c r="AV147" s="803"/>
      <c r="AW147" s="803"/>
      <c r="AX147" s="803"/>
    </row>
    <row r="148" spans="1:50" s="180" customFormat="1" ht="15" customHeight="1" x14ac:dyDescent="0.25">
      <c r="A148" s="1508" t="s">
        <v>688</v>
      </c>
      <c r="B148" s="1194"/>
      <c r="C148" s="1165"/>
      <c r="D148" s="1178"/>
      <c r="E148" s="191"/>
      <c r="F148" s="18" t="s">
        <v>310</v>
      </c>
      <c r="G148" s="1539" t="s">
        <v>647</v>
      </c>
      <c r="H148" s="1295">
        <v>0</v>
      </c>
      <c r="I148" s="1157">
        <v>0</v>
      </c>
      <c r="J148" s="99">
        <v>0</v>
      </c>
      <c r="K148" s="740">
        <v>0</v>
      </c>
      <c r="L148" s="1157">
        <v>0</v>
      </c>
      <c r="M148" s="740">
        <f>+IFERROR(L150/I150,0)</f>
        <v>0</v>
      </c>
      <c r="N148" s="1157">
        <v>0</v>
      </c>
      <c r="O148" s="631">
        <f>+IFERROR(N150/I150,0)</f>
        <v>0</v>
      </c>
      <c r="P148" s="1520">
        <v>0</v>
      </c>
      <c r="Q148" s="1123">
        <f ca="1">SUMIF(S$3:$AH141,"SI",S148:AH148)</f>
        <v>0</v>
      </c>
      <c r="R148" s="1308" t="str">
        <f ca="1">IFERROR(Q148/P148,"0,00%")</f>
        <v>0,00%</v>
      </c>
      <c r="S148" s="1332">
        <v>0</v>
      </c>
      <c r="T148" s="1331">
        <v>0</v>
      </c>
      <c r="U148" s="1330">
        <v>0</v>
      </c>
      <c r="V148" s="1354">
        <v>0</v>
      </c>
      <c r="W148" s="1401">
        <v>0</v>
      </c>
      <c r="X148" s="1354">
        <v>0</v>
      </c>
      <c r="Y148" s="1330">
        <v>0</v>
      </c>
      <c r="Z148" s="1331">
        <v>0</v>
      </c>
      <c r="AA148" s="221">
        <v>0</v>
      </c>
      <c r="AB148" s="99">
        <v>0</v>
      </c>
      <c r="AC148" s="99">
        <v>0</v>
      </c>
      <c r="AD148" s="19">
        <v>0</v>
      </c>
      <c r="AE148" s="1345">
        <v>0</v>
      </c>
      <c r="AF148" s="333">
        <f>+'P01 2022'!FC102</f>
        <v>0</v>
      </c>
      <c r="AG148" s="99">
        <v>0</v>
      </c>
      <c r="AH148" s="1186">
        <v>0</v>
      </c>
      <c r="AI148" s="71"/>
      <c r="AJ148" s="1421"/>
      <c r="AK148" s="1421"/>
      <c r="AL148" s="1421"/>
      <c r="AM148" s="1421"/>
      <c r="AN148" s="71"/>
      <c r="AO148" s="1498"/>
      <c r="AP148" s="1498"/>
      <c r="AQ148" s="1498"/>
      <c r="AR148" s="1498"/>
      <c r="AS148" s="1480"/>
      <c r="AT148" s="417"/>
      <c r="AU148" s="803"/>
      <c r="AV148" s="803"/>
      <c r="AW148" s="803"/>
      <c r="AX148" s="803"/>
    </row>
    <row r="149" spans="1:50" s="180" customFormat="1" ht="15" customHeight="1" x14ac:dyDescent="0.25">
      <c r="A149" s="1508" t="s">
        <v>689</v>
      </c>
      <c r="B149" s="1194"/>
      <c r="C149" s="1165"/>
      <c r="D149" s="1178"/>
      <c r="E149" s="191"/>
      <c r="F149" s="18" t="s">
        <v>317</v>
      </c>
      <c r="G149" s="1539" t="s">
        <v>654</v>
      </c>
      <c r="H149" s="1295">
        <v>0</v>
      </c>
      <c r="I149" s="1157">
        <v>0</v>
      </c>
      <c r="J149" s="99">
        <v>0</v>
      </c>
      <c r="K149" s="740">
        <v>0</v>
      </c>
      <c r="L149" s="1157">
        <v>0</v>
      </c>
      <c r="M149" s="740">
        <f>+IFERROR(L154/I154,0)</f>
        <v>0.50437947387323989</v>
      </c>
      <c r="N149" s="1157">
        <v>0</v>
      </c>
      <c r="O149" s="631">
        <f>+IFERROR(N154/I154,0)</f>
        <v>0.49562052612676005</v>
      </c>
      <c r="P149" s="1520">
        <v>0</v>
      </c>
      <c r="Q149" s="1123">
        <f ca="1">SUMIF(S$3:$AH142,"SI",S149:AH149)</f>
        <v>0</v>
      </c>
      <c r="R149" s="1308" t="str">
        <f ca="1">IFERROR(Q149/P149,"0,00%")</f>
        <v>0,00%</v>
      </c>
      <c r="S149" s="1332">
        <v>0</v>
      </c>
      <c r="T149" s="1331">
        <v>0</v>
      </c>
      <c r="U149" s="1330">
        <v>0</v>
      </c>
      <c r="V149" s="1354">
        <v>0</v>
      </c>
      <c r="W149" s="1401">
        <v>0</v>
      </c>
      <c r="X149" s="1354">
        <v>0</v>
      </c>
      <c r="Y149" s="1330">
        <v>0</v>
      </c>
      <c r="Z149" s="1331">
        <v>0</v>
      </c>
      <c r="AA149" s="219">
        <v>0</v>
      </c>
      <c r="AB149" s="99">
        <v>0</v>
      </c>
      <c r="AC149" s="99">
        <v>0</v>
      </c>
      <c r="AD149" s="99">
        <v>0</v>
      </c>
      <c r="AE149" s="1345">
        <v>0</v>
      </c>
      <c r="AF149" s="188">
        <v>0</v>
      </c>
      <c r="AG149" s="99">
        <v>0</v>
      </c>
      <c r="AH149" s="1186">
        <v>0</v>
      </c>
      <c r="AI149" s="71"/>
      <c r="AJ149" s="1421"/>
      <c r="AK149" s="1421"/>
      <c r="AL149" s="1421"/>
      <c r="AM149" s="1421"/>
      <c r="AN149" s="71"/>
      <c r="AO149" s="1498"/>
      <c r="AP149" s="1498"/>
      <c r="AQ149" s="1498"/>
      <c r="AR149" s="1498"/>
      <c r="AS149" s="1480"/>
      <c r="AT149" s="417"/>
      <c r="AU149" s="803"/>
      <c r="AV149" s="803"/>
      <c r="AW149" s="803"/>
      <c r="AX149" s="803"/>
    </row>
    <row r="150" spans="1:50" s="180" customFormat="1" ht="15" customHeight="1" x14ac:dyDescent="0.25">
      <c r="A150" s="1508" t="s">
        <v>690</v>
      </c>
      <c r="B150" s="1194"/>
      <c r="C150" s="1165"/>
      <c r="D150" s="1178"/>
      <c r="E150" s="191"/>
      <c r="F150" s="18" t="s">
        <v>338</v>
      </c>
      <c r="G150" s="1539" t="s">
        <v>754</v>
      </c>
      <c r="H150" s="1295">
        <v>0</v>
      </c>
      <c r="I150" s="99">
        <v>0</v>
      </c>
      <c r="J150" s="99">
        <f ca="1">SUMIF(S$3:$AH141,"ok",S150:AH150)</f>
        <v>0</v>
      </c>
      <c r="K150" s="740">
        <f ca="1">IFERROR(J150/I150,"0,00"%)</f>
        <v>0</v>
      </c>
      <c r="L150" s="1157">
        <v>0</v>
      </c>
      <c r="M150" s="740">
        <f>+IFERROR(L155/I155,0)</f>
        <v>0</v>
      </c>
      <c r="N150" s="1157">
        <v>0</v>
      </c>
      <c r="O150" s="631">
        <f>+IFERROR(N155/I155,0)</f>
        <v>1</v>
      </c>
      <c r="P150" s="1520">
        <v>0</v>
      </c>
      <c r="Q150" s="1123">
        <f ca="1">SUMIF(S$3:$AH143,"SI",S150:AH150)</f>
        <v>0</v>
      </c>
      <c r="R150" s="1308" t="str">
        <f ca="1">IFERROR(Q150/P150,"0,00%")</f>
        <v>0,00%</v>
      </c>
      <c r="S150" s="1332">
        <v>0</v>
      </c>
      <c r="T150" s="1331">
        <v>0</v>
      </c>
      <c r="U150" s="1330">
        <v>0</v>
      </c>
      <c r="V150" s="1354">
        <v>0</v>
      </c>
      <c r="W150" s="1401">
        <v>0</v>
      </c>
      <c r="X150" s="1354">
        <v>0</v>
      </c>
      <c r="Y150" s="1330">
        <v>0</v>
      </c>
      <c r="Z150" s="1331">
        <v>0</v>
      </c>
      <c r="AA150" s="221">
        <v>0</v>
      </c>
      <c r="AB150" s="99">
        <v>0</v>
      </c>
      <c r="AC150" s="99">
        <v>0</v>
      </c>
      <c r="AD150" s="99">
        <v>0</v>
      </c>
      <c r="AE150" s="1345">
        <v>0</v>
      </c>
      <c r="AF150" s="333">
        <f>+'P01 2022'!FC104</f>
        <v>0</v>
      </c>
      <c r="AG150" s="99">
        <v>0</v>
      </c>
      <c r="AH150" s="1186">
        <f>+'P01 2022'!GX114</f>
        <v>81155</v>
      </c>
      <c r="AI150" s="71"/>
      <c r="AJ150" s="1421"/>
      <c r="AK150" s="1421"/>
      <c r="AL150" s="1421"/>
      <c r="AM150" s="1421"/>
      <c r="AN150" s="71"/>
      <c r="AO150" s="1498"/>
      <c r="AP150" s="1498"/>
      <c r="AQ150" s="1498"/>
      <c r="AR150" s="1498"/>
      <c r="AS150" s="1480"/>
      <c r="AT150" s="417"/>
      <c r="AU150" s="803"/>
      <c r="AV150" s="803"/>
      <c r="AW150" s="803"/>
      <c r="AX150" s="803"/>
    </row>
    <row r="151" spans="1:50" s="180" customFormat="1" ht="15" customHeight="1" x14ac:dyDescent="0.25">
      <c r="A151" s="1508" t="s">
        <v>613</v>
      </c>
      <c r="B151" s="1194"/>
      <c r="C151" s="1165"/>
      <c r="D151" s="1178"/>
      <c r="E151" s="191"/>
      <c r="F151" s="18" t="s">
        <v>753</v>
      </c>
      <c r="G151" s="1539" t="s">
        <v>755</v>
      </c>
      <c r="H151" s="1295">
        <v>0</v>
      </c>
      <c r="I151" s="1157">
        <v>0</v>
      </c>
      <c r="J151" s="99">
        <v>0</v>
      </c>
      <c r="K151" s="740">
        <v>0</v>
      </c>
      <c r="L151" s="1157">
        <v>0</v>
      </c>
      <c r="M151" s="740">
        <f>+IFERROR(L156/I156,0)</f>
        <v>0</v>
      </c>
      <c r="N151" s="1157">
        <v>0</v>
      </c>
      <c r="O151" s="631">
        <f>+IFERROR(N156/I156,0)</f>
        <v>0</v>
      </c>
      <c r="P151" s="1520">
        <v>0</v>
      </c>
      <c r="Q151" s="1123">
        <f ca="1">SUMIF(S$3:$AH144,"SI",S151:AH151)</f>
        <v>0</v>
      </c>
      <c r="R151" s="1308" t="str">
        <f ca="1">IFERROR(Q151/P151,"0,00%")</f>
        <v>0,00%</v>
      </c>
      <c r="S151" s="1332">
        <v>0</v>
      </c>
      <c r="T151" s="1331">
        <v>0</v>
      </c>
      <c r="U151" s="1330">
        <v>0</v>
      </c>
      <c r="V151" s="1354">
        <v>0</v>
      </c>
      <c r="W151" s="1401">
        <v>0</v>
      </c>
      <c r="X151" s="1354">
        <v>0</v>
      </c>
      <c r="Y151" s="1330">
        <v>0</v>
      </c>
      <c r="Z151" s="1331">
        <v>0</v>
      </c>
      <c r="AA151" s="221">
        <v>0</v>
      </c>
      <c r="AB151" s="99">
        <v>0</v>
      </c>
      <c r="AC151" s="99">
        <v>0</v>
      </c>
      <c r="AD151" s="99">
        <v>0</v>
      </c>
      <c r="AE151" s="1345">
        <v>0</v>
      </c>
      <c r="AF151" s="188">
        <v>0</v>
      </c>
      <c r="AG151" s="99">
        <v>0</v>
      </c>
      <c r="AH151" s="1186">
        <v>0</v>
      </c>
      <c r="AI151" s="71"/>
      <c r="AJ151" s="1421"/>
      <c r="AK151" s="1421"/>
      <c r="AL151" s="1421"/>
      <c r="AM151" s="1421"/>
      <c r="AN151" s="71"/>
      <c r="AO151" s="1498"/>
      <c r="AP151" s="1498"/>
      <c r="AQ151" s="1498"/>
      <c r="AR151" s="1498"/>
      <c r="AS151" s="1480"/>
      <c r="AT151" s="417"/>
      <c r="AU151" s="803"/>
      <c r="AV151" s="803"/>
      <c r="AW151" s="803"/>
      <c r="AX151" s="803"/>
    </row>
    <row r="152" spans="1:50" s="180" customFormat="1" ht="15" customHeight="1" x14ac:dyDescent="0.25">
      <c r="A152" s="1508" t="s">
        <v>700</v>
      </c>
      <c r="B152" s="1194"/>
      <c r="C152" s="1165"/>
      <c r="D152" s="1178"/>
      <c r="E152" s="191"/>
      <c r="F152" s="18" t="s">
        <v>921</v>
      </c>
      <c r="G152" s="1539" t="s">
        <v>873</v>
      </c>
      <c r="H152" s="1295">
        <v>0</v>
      </c>
      <c r="I152" s="1157">
        <v>0</v>
      </c>
      <c r="J152" s="99">
        <v>0</v>
      </c>
      <c r="K152" s="740">
        <v>0</v>
      </c>
      <c r="L152" s="1157">
        <v>0</v>
      </c>
      <c r="M152" s="740">
        <f>+IFERROR(L158/I158,0)</f>
        <v>0.50441644614832026</v>
      </c>
      <c r="N152" s="1157">
        <v>0</v>
      </c>
      <c r="O152" s="631">
        <f>+IFERROR(N158/I158,0)</f>
        <v>0.49558355385167974</v>
      </c>
      <c r="P152" s="1520">
        <v>0</v>
      </c>
      <c r="Q152" s="1123">
        <f ca="1">SUMIF(S$3:$AH145,"SI",S152:AH152)</f>
        <v>0</v>
      </c>
      <c r="R152" s="1308">
        <v>0</v>
      </c>
      <c r="S152" s="1332">
        <v>0</v>
      </c>
      <c r="T152" s="1331">
        <v>0</v>
      </c>
      <c r="U152" s="1330">
        <v>0</v>
      </c>
      <c r="V152" s="1354">
        <v>0</v>
      </c>
      <c r="W152" s="1401">
        <v>0</v>
      </c>
      <c r="X152" s="1354">
        <v>0</v>
      </c>
      <c r="Y152" s="1330">
        <v>0</v>
      </c>
      <c r="Z152" s="1331">
        <v>0</v>
      </c>
      <c r="AA152" s="221">
        <v>0</v>
      </c>
      <c r="AB152" s="99">
        <v>0</v>
      </c>
      <c r="AC152" s="99">
        <v>0</v>
      </c>
      <c r="AD152" s="99">
        <v>0</v>
      </c>
      <c r="AE152" s="1345">
        <v>0</v>
      </c>
      <c r="AF152" s="333">
        <f>+'P01 2022'!FC106</f>
        <v>0</v>
      </c>
      <c r="AG152" s="99">
        <v>0</v>
      </c>
      <c r="AH152" s="1186">
        <v>0</v>
      </c>
      <c r="AI152" s="71"/>
      <c r="AJ152" s="1421"/>
      <c r="AK152" s="1421"/>
      <c r="AL152" s="1421"/>
      <c r="AM152" s="1421"/>
      <c r="AN152" s="71"/>
      <c r="AO152" s="1498"/>
      <c r="AP152" s="1498"/>
      <c r="AQ152" s="1498"/>
      <c r="AR152" s="1498"/>
      <c r="AS152" s="1480"/>
      <c r="AT152" s="417"/>
      <c r="AU152" s="803"/>
      <c r="AV152" s="803"/>
      <c r="AW152" s="803"/>
      <c r="AX152" s="803"/>
    </row>
    <row r="153" spans="1:50" s="180" customFormat="1" ht="15" customHeight="1" x14ac:dyDescent="0.25">
      <c r="A153" s="1508" t="s">
        <v>701</v>
      </c>
      <c r="B153" s="1194"/>
      <c r="C153" s="1165"/>
      <c r="D153" s="1178"/>
      <c r="E153" s="191"/>
      <c r="F153" s="18" t="s">
        <v>922</v>
      </c>
      <c r="G153" s="1539" t="s">
        <v>874</v>
      </c>
      <c r="H153" s="1295">
        <v>0</v>
      </c>
      <c r="I153" s="1157">
        <v>0</v>
      </c>
      <c r="J153" s="99">
        <v>0</v>
      </c>
      <c r="K153" s="740">
        <v>0</v>
      </c>
      <c r="L153" s="1157">
        <v>0</v>
      </c>
      <c r="M153" s="740">
        <f>+IFERROR(L160/I160,0)</f>
        <v>0</v>
      </c>
      <c r="N153" s="1157">
        <v>0</v>
      </c>
      <c r="O153" s="631">
        <f>+IFERROR(N160/I160,0)</f>
        <v>0</v>
      </c>
      <c r="P153" s="1520">
        <v>0</v>
      </c>
      <c r="Q153" s="1123">
        <f ca="1">SUMIF(S$3:$AH146,"SI",S153:AH153)</f>
        <v>0</v>
      </c>
      <c r="R153" s="1308">
        <v>0</v>
      </c>
      <c r="S153" s="1332">
        <v>0</v>
      </c>
      <c r="T153" s="1331">
        <v>0</v>
      </c>
      <c r="U153" s="1330">
        <v>0</v>
      </c>
      <c r="V153" s="1354">
        <v>0</v>
      </c>
      <c r="W153" s="1401">
        <v>0</v>
      </c>
      <c r="X153" s="1354">
        <v>0</v>
      </c>
      <c r="Y153" s="1330">
        <v>0</v>
      </c>
      <c r="Z153" s="1331">
        <v>0</v>
      </c>
      <c r="AA153" s="221">
        <v>0</v>
      </c>
      <c r="AB153" s="99">
        <v>0</v>
      </c>
      <c r="AC153" s="99">
        <v>0</v>
      </c>
      <c r="AD153" s="99">
        <v>0</v>
      </c>
      <c r="AE153" s="1345">
        <v>0</v>
      </c>
      <c r="AF153" s="188">
        <v>0</v>
      </c>
      <c r="AG153" s="99">
        <v>0</v>
      </c>
      <c r="AH153" s="1186">
        <v>0</v>
      </c>
      <c r="AI153" s="71"/>
      <c r="AJ153" s="1421"/>
      <c r="AK153" s="1421"/>
      <c r="AL153" s="1421"/>
      <c r="AM153" s="1421"/>
      <c r="AN153" s="71"/>
      <c r="AO153" s="1498"/>
      <c r="AP153" s="1498"/>
      <c r="AQ153" s="1498"/>
      <c r="AR153" s="1498"/>
      <c r="AS153" s="1480"/>
      <c r="AT153" s="417"/>
      <c r="AU153" s="803"/>
      <c r="AV153" s="803"/>
      <c r="AW153" s="803"/>
      <c r="AX153" s="803"/>
    </row>
    <row r="154" spans="1:50" s="180" customFormat="1" ht="15" customHeight="1" x14ac:dyDescent="0.25">
      <c r="A154" s="1508" t="s">
        <v>413</v>
      </c>
      <c r="B154" s="859" t="s">
        <v>2</v>
      </c>
      <c r="C154" s="130" t="s">
        <v>167</v>
      </c>
      <c r="D154" s="135"/>
      <c r="E154" s="1164"/>
      <c r="F154" s="1164"/>
      <c r="G154" s="1531" t="s">
        <v>314</v>
      </c>
      <c r="H154" s="1293">
        <f>SUM(H155:H160)</f>
        <v>136431</v>
      </c>
      <c r="I154" s="129">
        <f>SUM(I155:I160)</f>
        <v>136431</v>
      </c>
      <c r="J154" s="129">
        <f ca="1">SUM(J155:J160)</f>
        <v>27571.937000000002</v>
      </c>
      <c r="K154" s="844">
        <f t="shared" ca="1" si="67"/>
        <v>0.20209437004786304</v>
      </c>
      <c r="L154" s="129">
        <f>SUM(L155:L160)</f>
        <v>68812.995999999999</v>
      </c>
      <c r="M154" s="844">
        <f>+IFERROR(L161/I161,0)</f>
        <v>0</v>
      </c>
      <c r="N154" s="129">
        <f>SUM(N155:N160)</f>
        <v>67618.004000000001</v>
      </c>
      <c r="O154" s="1294">
        <f>+IFERROR(N161/I161,0)</f>
        <v>0</v>
      </c>
      <c r="P154" s="1522">
        <f>SUM(P155:P160)</f>
        <v>269873.37699999998</v>
      </c>
      <c r="Q154" s="1122">
        <f ca="1">SUM(Q155:Q160)</f>
        <v>103320.898917</v>
      </c>
      <c r="R154" s="1304">
        <f t="shared" ref="R154:R160" ca="1" si="70">IFERROR(Q154/P154,"0%")</f>
        <v>0.38284954249859188</v>
      </c>
      <c r="S154" s="1327">
        <f>SUM(S155:S160)</f>
        <v>8886.1550000000007</v>
      </c>
      <c r="T154" s="1216">
        <f t="shared" ref="T154:X154" si="71">+SUM(T155:T160)</f>
        <v>16445.831386999998</v>
      </c>
      <c r="U154" s="1293">
        <f>+'P01 2023'!N91</f>
        <v>7734.8440000000001</v>
      </c>
      <c r="V154" s="1355">
        <f t="shared" si="71"/>
        <v>14796.281805999999</v>
      </c>
      <c r="W154" s="1402">
        <f>SUM(W155:W160)</f>
        <v>9175.4689999999991</v>
      </c>
      <c r="X154" s="1355">
        <f t="shared" si="71"/>
        <v>34431.257761000001</v>
      </c>
      <c r="Y154" s="1293">
        <f>+SUM(Y155:Y160)</f>
        <v>1775.4690000000001</v>
      </c>
      <c r="Z154" s="1216">
        <f>+SUM(Z155:Z160)</f>
        <v>37647.527963</v>
      </c>
      <c r="AA154" s="1207">
        <f>SUM(AA155:AA160)</f>
        <v>17219.156999999999</v>
      </c>
      <c r="AB154" s="129">
        <f t="shared" ref="AB154:AE154" si="72">+SUM(AB155:AB160)</f>
        <v>14581.45</v>
      </c>
      <c r="AC154" s="129">
        <f t="shared" si="72"/>
        <v>11510.314</v>
      </c>
      <c r="AD154" s="129">
        <f t="shared" si="72"/>
        <v>10767.513000000001</v>
      </c>
      <c r="AE154" s="1355">
        <f t="shared" si="72"/>
        <v>33609.771999999997</v>
      </c>
      <c r="AF154" s="129">
        <f>+SUM(AF155:AF160)</f>
        <v>11418.412</v>
      </c>
      <c r="AG154" s="129">
        <f>+AG158</f>
        <v>12753.813</v>
      </c>
      <c r="AH154" s="1185">
        <f>+'P01 2022'!GX115</f>
        <v>121075.757</v>
      </c>
      <c r="AI154" s="71"/>
      <c r="AJ154" s="1421"/>
      <c r="AK154" s="1421"/>
      <c r="AL154" s="1421"/>
      <c r="AM154" s="1421"/>
      <c r="AN154" s="71"/>
      <c r="AO154" s="1498"/>
      <c r="AP154" s="1498"/>
      <c r="AQ154" s="1498"/>
      <c r="AR154" s="1498"/>
      <c r="AS154" s="1480"/>
      <c r="AT154" s="417"/>
      <c r="AU154" s="803"/>
      <c r="AV154" s="803"/>
      <c r="AW154" s="803"/>
      <c r="AX154" s="803"/>
    </row>
    <row r="155" spans="1:50" s="180" customFormat="1" ht="15" customHeight="1" x14ac:dyDescent="0.25">
      <c r="A155" s="1508" t="s">
        <v>614</v>
      </c>
      <c r="B155" s="126"/>
      <c r="C155" s="1166"/>
      <c r="D155" s="1230" t="s">
        <v>195</v>
      </c>
      <c r="E155" s="50"/>
      <c r="F155" s="18" t="str">
        <f>+CONCATENATE($B$146,"",$C$154,"",D155)</f>
        <v>24.03.024</v>
      </c>
      <c r="G155" s="1539" t="s">
        <v>242</v>
      </c>
      <c r="H155" s="1295">
        <f>+'P01 2023'!F129</f>
        <v>10</v>
      </c>
      <c r="I155" s="99">
        <f>+'P01 2023'!BB131</f>
        <v>10</v>
      </c>
      <c r="J155" s="99">
        <f ca="1">SUMIF(S$3:$AH146,"ok",S155:AH155)</f>
        <v>0</v>
      </c>
      <c r="K155" s="740">
        <f ca="1">IFERROR(J155/I155,"0,00"%)</f>
        <v>0</v>
      </c>
      <c r="L155" s="99">
        <f>+'P01 2023'!BC131</f>
        <v>0</v>
      </c>
      <c r="M155" s="740">
        <f>+IFERROR(L162/I162,0)</f>
        <v>0</v>
      </c>
      <c r="N155" s="99">
        <f>+'P01 2023'!BE131</f>
        <v>10</v>
      </c>
      <c r="O155" s="631">
        <f>+IFERROR(N162/I162,0)</f>
        <v>0</v>
      </c>
      <c r="P155" s="1520">
        <f>+'P01 2022'!AZ121</f>
        <v>10.629999999999999</v>
      </c>
      <c r="Q155" s="1121">
        <f ca="1">SUMIF(S$3:$AH147,"SI",S155:AH155)</f>
        <v>0</v>
      </c>
      <c r="R155" s="1308">
        <f t="shared" ca="1" si="70"/>
        <v>0</v>
      </c>
      <c r="S155" s="1323">
        <v>0</v>
      </c>
      <c r="T155" s="1331">
        <v>0</v>
      </c>
      <c r="U155" s="1330">
        <v>0</v>
      </c>
      <c r="V155" s="1354">
        <v>0</v>
      </c>
      <c r="W155" s="1401">
        <v>0</v>
      </c>
      <c r="X155" s="1354">
        <v>0</v>
      </c>
      <c r="Y155" s="1330">
        <v>0</v>
      </c>
      <c r="Z155" s="1331">
        <v>0</v>
      </c>
      <c r="AA155" s="221">
        <v>0</v>
      </c>
      <c r="AB155" s="99">
        <v>0</v>
      </c>
      <c r="AC155" s="99">
        <v>0</v>
      </c>
      <c r="AD155" s="99">
        <v>0</v>
      </c>
      <c r="AE155" s="1345">
        <f>+'P01 2022'!EJ109</f>
        <v>22000</v>
      </c>
      <c r="AF155" s="333">
        <f>+'P01 2022'!FC104</f>
        <v>0</v>
      </c>
      <c r="AG155" s="99">
        <v>0</v>
      </c>
      <c r="AH155" s="1186">
        <f>+'P01 2022'!GX116</f>
        <v>33000</v>
      </c>
      <c r="AI155" s="71"/>
      <c r="AJ155" s="1421"/>
      <c r="AK155" s="1421"/>
      <c r="AL155" s="1421"/>
      <c r="AM155" s="1421"/>
      <c r="AN155" s="71"/>
      <c r="AO155" s="1498"/>
      <c r="AP155" s="1498"/>
      <c r="AQ155" s="1498"/>
      <c r="AR155" s="1498"/>
      <c r="AS155" s="1480"/>
      <c r="AT155" s="417"/>
      <c r="AU155" s="803"/>
      <c r="AV155" s="803"/>
      <c r="AW155" s="803"/>
      <c r="AX155" s="803"/>
    </row>
    <row r="156" spans="1:50" s="180" customFormat="1" ht="15" customHeight="1" x14ac:dyDescent="0.25">
      <c r="A156" s="1508" t="s">
        <v>928</v>
      </c>
      <c r="B156" s="126"/>
      <c r="C156" s="1166"/>
      <c r="D156" s="1230" t="s">
        <v>939</v>
      </c>
      <c r="E156" s="50"/>
      <c r="F156" s="18" t="str">
        <f>+CONCATENATE($B$146,"",$C$154,"",D156)</f>
        <v>24.03.027</v>
      </c>
      <c r="G156" s="1539" t="s">
        <v>933</v>
      </c>
      <c r="H156" s="1295">
        <v>0</v>
      </c>
      <c r="I156" s="99">
        <v>0</v>
      </c>
      <c r="J156" s="99">
        <f ca="1">SUMIF(S$3:$AH147,"ok",S156:AH156)</f>
        <v>0</v>
      </c>
      <c r="K156" s="740">
        <f t="shared" ref="K156:K160" ca="1" si="73">IFERROR(J156/I156,"0,00"%)</f>
        <v>0</v>
      </c>
      <c r="L156" s="99">
        <v>0</v>
      </c>
      <c r="M156" s="740">
        <v>0</v>
      </c>
      <c r="N156" s="99">
        <v>0</v>
      </c>
      <c r="O156" s="631">
        <v>0</v>
      </c>
      <c r="P156" s="1520">
        <v>0</v>
      </c>
      <c r="Q156" s="1121">
        <f ca="1">SUMIF(S$3:$AH148,"SI",S156:AH156)</f>
        <v>0</v>
      </c>
      <c r="R156" s="1308" t="str">
        <f ca="1">IFERROR(Q156/P156,"0,00%")</f>
        <v>0,00%</v>
      </c>
      <c r="S156" s="1330">
        <v>0</v>
      </c>
      <c r="T156" s="1331">
        <v>0</v>
      </c>
      <c r="U156" s="1330">
        <v>0</v>
      </c>
      <c r="V156" s="1354">
        <v>0</v>
      </c>
      <c r="W156" s="1401">
        <v>0</v>
      </c>
      <c r="X156" s="1354">
        <v>0</v>
      </c>
      <c r="Y156" s="1330">
        <v>0</v>
      </c>
      <c r="Z156" s="1331">
        <v>0</v>
      </c>
      <c r="AA156" s="221">
        <v>0</v>
      </c>
      <c r="AB156" s="99">
        <v>0</v>
      </c>
      <c r="AC156" s="99">
        <v>0</v>
      </c>
      <c r="AD156" s="99">
        <v>0</v>
      </c>
      <c r="AE156" s="1354">
        <v>0</v>
      </c>
      <c r="AF156" s="99">
        <v>0</v>
      </c>
      <c r="AG156" s="99">
        <v>0</v>
      </c>
      <c r="AH156" s="1186">
        <f>+'P01 2022'!GX117</f>
        <v>70000</v>
      </c>
      <c r="AI156" s="71"/>
      <c r="AJ156" s="1421"/>
      <c r="AK156" s="1421"/>
      <c r="AL156" s="1421"/>
      <c r="AM156" s="1421"/>
      <c r="AN156" s="71"/>
      <c r="AO156" s="1498"/>
      <c r="AP156" s="1498"/>
      <c r="AQ156" s="1498"/>
      <c r="AR156" s="1498"/>
      <c r="AS156" s="1480"/>
      <c r="AT156" s="417"/>
      <c r="AU156" s="803"/>
      <c r="AV156" s="803"/>
      <c r="AW156" s="803"/>
      <c r="AX156" s="803"/>
    </row>
    <row r="157" spans="1:50" s="180" customFormat="1" ht="15" customHeight="1" x14ac:dyDescent="0.25">
      <c r="A157" s="1511" t="s">
        <v>702</v>
      </c>
      <c r="B157" s="126" t="s">
        <v>337</v>
      </c>
      <c r="C157" s="1166"/>
      <c r="D157" s="1230" t="s">
        <v>780</v>
      </c>
      <c r="E157" s="50"/>
      <c r="F157" s="18" t="s">
        <v>880</v>
      </c>
      <c r="G157" s="1188" t="s">
        <v>874</v>
      </c>
      <c r="H157" s="1295">
        <v>0</v>
      </c>
      <c r="I157" s="1157">
        <v>0</v>
      </c>
      <c r="J157" s="99">
        <v>0</v>
      </c>
      <c r="K157" s="740">
        <f t="shared" si="73"/>
        <v>0</v>
      </c>
      <c r="L157" s="1157">
        <v>0</v>
      </c>
      <c r="M157" s="740">
        <v>0</v>
      </c>
      <c r="N157" s="1157">
        <v>0</v>
      </c>
      <c r="O157" s="631">
        <v>0</v>
      </c>
      <c r="P157" s="1520">
        <v>0</v>
      </c>
      <c r="Q157" s="1121">
        <f ca="1">SUMIF(S$3:$AH149,"SI",S157:AH157)</f>
        <v>0</v>
      </c>
      <c r="R157" s="1308" t="str">
        <f ca="1">IFERROR(Q157/P157,"0,00%")</f>
        <v>0,00%</v>
      </c>
      <c r="S157" s="1330">
        <v>0</v>
      </c>
      <c r="T157" s="1331">
        <v>0</v>
      </c>
      <c r="U157" s="1330">
        <v>0</v>
      </c>
      <c r="V157" s="1354">
        <v>0</v>
      </c>
      <c r="W157" s="1401">
        <v>0</v>
      </c>
      <c r="X157" s="1354">
        <v>0</v>
      </c>
      <c r="Y157" s="1330">
        <v>0</v>
      </c>
      <c r="Z157" s="1331">
        <v>0</v>
      </c>
      <c r="AA157" s="221">
        <v>0</v>
      </c>
      <c r="AB157" s="99">
        <v>0</v>
      </c>
      <c r="AC157" s="99">
        <v>0</v>
      </c>
      <c r="AD157" s="99">
        <v>0</v>
      </c>
      <c r="AE157" s="1354">
        <v>0</v>
      </c>
      <c r="AF157" s="188">
        <v>0</v>
      </c>
      <c r="AG157" s="99">
        <v>0</v>
      </c>
      <c r="AH157" s="1186">
        <v>0</v>
      </c>
      <c r="AI157" s="71"/>
      <c r="AJ157" s="1421"/>
      <c r="AK157" s="1421"/>
      <c r="AL157" s="1421"/>
      <c r="AM157" s="1421"/>
      <c r="AN157" s="71"/>
      <c r="AO157" s="1498"/>
      <c r="AP157" s="1498"/>
      <c r="AQ157" s="1498"/>
      <c r="AR157" s="1498"/>
      <c r="AS157" s="1480"/>
      <c r="AT157" s="417"/>
      <c r="AU157" s="803"/>
      <c r="AV157" s="803"/>
      <c r="AW157" s="803"/>
      <c r="AX157" s="803"/>
    </row>
    <row r="158" spans="1:50" s="180" customFormat="1" ht="15" customHeight="1" x14ac:dyDescent="0.25">
      <c r="A158" s="1508" t="s">
        <v>532</v>
      </c>
      <c r="B158" s="126" t="s">
        <v>2</v>
      </c>
      <c r="C158" s="1166"/>
      <c r="D158" s="1230" t="s">
        <v>257</v>
      </c>
      <c r="E158" s="50"/>
      <c r="F158" s="18" t="str">
        <f>+CONCATENATE($B$146,"",$C$154,"",D158)</f>
        <v>24.03.409</v>
      </c>
      <c r="G158" s="1539" t="s">
        <v>261</v>
      </c>
      <c r="H158" s="1295">
        <f>+'P01 2023'!F130</f>
        <v>136421</v>
      </c>
      <c r="I158" s="99">
        <f>+'P01 2023'!BB132</f>
        <v>136421</v>
      </c>
      <c r="J158" s="99">
        <f ca="1">SUMIF(S$3:$AH147,"ok",S158:AH158)</f>
        <v>27571.937000000002</v>
      </c>
      <c r="K158" s="740">
        <f t="shared" ca="1" si="73"/>
        <v>0.20210918406990128</v>
      </c>
      <c r="L158" s="99">
        <f>+'P01 2023'!BC132</f>
        <v>68812.995999999999</v>
      </c>
      <c r="M158" s="740">
        <f>+IFERROR(L166/I166,0)</f>
        <v>0</v>
      </c>
      <c r="N158" s="99">
        <f>+'P01 2023'!BE132</f>
        <v>67608.004000000001</v>
      </c>
      <c r="O158" s="631">
        <f>+IFERROR(N166/I166,0)</f>
        <v>0</v>
      </c>
      <c r="P158" s="1520">
        <f>+'P01 2022'!AZ122</f>
        <v>221616.36599999998</v>
      </c>
      <c r="Q158" s="1121">
        <f ca="1">SUMIF(S$3:$AH150,"SI",S158:AH158)</f>
        <v>58377.258916999999</v>
      </c>
      <c r="R158" s="1308">
        <f t="shared" ca="1" si="70"/>
        <v>0.26341582966395183</v>
      </c>
      <c r="S158" s="1330">
        <f>+'P01 2023'!I130</f>
        <v>8886.1550000000007</v>
      </c>
      <c r="T158" s="1331">
        <f>+'P01 2022'!F116</f>
        <v>16445.831386999998</v>
      </c>
      <c r="U158" s="1330">
        <f>+'P01 2023'!N92</f>
        <v>7734.8440000000001</v>
      </c>
      <c r="V158" s="1354">
        <f>+'P01 2022'!M93</f>
        <v>14796.281805999999</v>
      </c>
      <c r="W158" s="1401">
        <f>+'P01 2023'!AD113</f>
        <v>9175.4689999999991</v>
      </c>
      <c r="X158" s="1354">
        <f>+'P01 2022'!AB105</f>
        <v>15424.817761</v>
      </c>
      <c r="Y158" s="1295">
        <f>+'P01 2023'!AT109</f>
        <v>1775.4690000000001</v>
      </c>
      <c r="Z158" s="1331">
        <f>+'P01 2022'!AQ112</f>
        <v>11710.327963</v>
      </c>
      <c r="AA158" s="221">
        <f>+'P01 2022'!BI97</f>
        <v>17219.156999999999</v>
      </c>
      <c r="AB158" s="99">
        <f>+'P01 2022'!CC111</f>
        <v>14581.45</v>
      </c>
      <c r="AC158" s="99">
        <f>+'P01 2022'!CY108</f>
        <v>11510.314</v>
      </c>
      <c r="AD158" s="99">
        <f>+'P01 2022'!DR104</f>
        <v>10767.513000000001</v>
      </c>
      <c r="AE158" s="1345">
        <f>+'P01 2022'!EJ110</f>
        <v>11609.772000000001</v>
      </c>
      <c r="AF158" s="333">
        <f>+'P01 2022'!FC105</f>
        <v>11418.412</v>
      </c>
      <c r="AG158" s="99">
        <f>+'P01 2022'!GA112</f>
        <v>12753.813</v>
      </c>
      <c r="AH158" s="1186">
        <f>+'P01 2022'!GX118</f>
        <v>18075.757000000001</v>
      </c>
      <c r="AI158" s="71"/>
      <c r="AJ158" s="1421"/>
      <c r="AK158" s="1421"/>
      <c r="AL158" s="1421"/>
      <c r="AM158" s="1421"/>
      <c r="AN158" s="71"/>
      <c r="AO158" s="1498"/>
      <c r="AP158" s="1498"/>
      <c r="AQ158" s="1498"/>
      <c r="AR158" s="1498"/>
      <c r="AS158" s="1480"/>
      <c r="AT158" s="417"/>
      <c r="AU158" s="803"/>
      <c r="AV158" s="803"/>
      <c r="AW158" s="803"/>
      <c r="AX158" s="803"/>
    </row>
    <row r="159" spans="1:50" s="180" customFormat="1" ht="15" customHeight="1" x14ac:dyDescent="0.25">
      <c r="A159" s="1508" t="s">
        <v>706</v>
      </c>
      <c r="B159" s="126"/>
      <c r="C159" s="1166"/>
      <c r="D159" s="1230" t="s">
        <v>935</v>
      </c>
      <c r="E159" s="50"/>
      <c r="F159" s="18" t="s">
        <v>920</v>
      </c>
      <c r="G159" s="1539" t="s">
        <v>919</v>
      </c>
      <c r="H159" s="1295">
        <v>0</v>
      </c>
      <c r="I159" s="1157">
        <v>0</v>
      </c>
      <c r="J159" s="99">
        <v>0</v>
      </c>
      <c r="K159" s="740">
        <f t="shared" si="73"/>
        <v>0</v>
      </c>
      <c r="L159" s="1157">
        <v>0</v>
      </c>
      <c r="M159" s="846">
        <v>0</v>
      </c>
      <c r="N159" s="1157">
        <v>0</v>
      </c>
      <c r="O159" s="631">
        <v>0</v>
      </c>
      <c r="P159" s="1520">
        <v>0</v>
      </c>
      <c r="Q159" s="1121">
        <f ca="1">SUMIF(S$3:$AH151,"SI",S159:AH159)</f>
        <v>0</v>
      </c>
      <c r="R159" s="1308" t="str">
        <f ca="1">IFERROR(Q159/P159,"0,00%")</f>
        <v>0,00%</v>
      </c>
      <c r="S159" s="1330">
        <v>0</v>
      </c>
      <c r="T159" s="1331">
        <v>0</v>
      </c>
      <c r="U159" s="1330">
        <v>0</v>
      </c>
      <c r="V159" s="1354">
        <v>0</v>
      </c>
      <c r="W159" s="1401">
        <v>0</v>
      </c>
      <c r="X159" s="1354">
        <v>0</v>
      </c>
      <c r="Y159" s="1330">
        <v>0</v>
      </c>
      <c r="Z159" s="1331">
        <v>0</v>
      </c>
      <c r="AA159" s="221">
        <v>0</v>
      </c>
      <c r="AB159" s="99">
        <v>0</v>
      </c>
      <c r="AC159" s="99">
        <v>0</v>
      </c>
      <c r="AD159" s="99">
        <v>0</v>
      </c>
      <c r="AE159" s="1354">
        <v>0</v>
      </c>
      <c r="AF159" s="99">
        <v>0</v>
      </c>
      <c r="AG159" s="99">
        <v>0</v>
      </c>
      <c r="AH159" s="1186">
        <v>0</v>
      </c>
      <c r="AI159" s="71"/>
      <c r="AJ159" s="1421"/>
      <c r="AK159" s="1421"/>
      <c r="AL159" s="1421"/>
      <c r="AM159" s="1421"/>
      <c r="AN159" s="71"/>
      <c r="AO159" s="1498"/>
      <c r="AP159" s="1498"/>
      <c r="AQ159" s="1498"/>
      <c r="AR159" s="1498"/>
      <c r="AS159" s="1480"/>
      <c r="AT159" s="417"/>
      <c r="AU159" s="803"/>
      <c r="AV159" s="803"/>
      <c r="AW159" s="803"/>
      <c r="AX159" s="803"/>
    </row>
    <row r="160" spans="1:50" s="180" customFormat="1" ht="15" customHeight="1" x14ac:dyDescent="0.25">
      <c r="A160" s="1508" t="s">
        <v>531</v>
      </c>
      <c r="B160" s="126" t="s">
        <v>2</v>
      </c>
      <c r="C160" s="1166"/>
      <c r="D160" s="1230" t="s">
        <v>258</v>
      </c>
      <c r="E160" s="50"/>
      <c r="F160" s="18" t="str">
        <f>+CONCATENATE($B$146,"",$C$154,"",D160)</f>
        <v>24.03.415</v>
      </c>
      <c r="G160" s="1539" t="s">
        <v>262</v>
      </c>
      <c r="H160" s="1295">
        <v>0</v>
      </c>
      <c r="I160" s="99">
        <v>0</v>
      </c>
      <c r="J160" s="99">
        <f ca="1">SUMIF(S$3:$AH148,"ok",S160:AH160)</f>
        <v>0</v>
      </c>
      <c r="K160" s="740">
        <f t="shared" ca="1" si="73"/>
        <v>0</v>
      </c>
      <c r="L160" s="99">
        <v>0</v>
      </c>
      <c r="M160" s="740">
        <v>0</v>
      </c>
      <c r="N160" s="99">
        <v>0</v>
      </c>
      <c r="O160" s="631">
        <v>0</v>
      </c>
      <c r="P160" s="1523">
        <f>+'P01 2022'!AZ123</f>
        <v>48246.380999999994</v>
      </c>
      <c r="Q160" s="1289">
        <f ca="1">SUMIF(S$3:$AH152,"SI",S160:AH160)</f>
        <v>44943.64</v>
      </c>
      <c r="R160" s="1542">
        <f t="shared" ca="1" si="70"/>
        <v>0.93154427479234148</v>
      </c>
      <c r="S160" s="1330">
        <v>0</v>
      </c>
      <c r="T160" s="1331">
        <v>0</v>
      </c>
      <c r="U160" s="1330">
        <v>0</v>
      </c>
      <c r="V160" s="1354">
        <v>0</v>
      </c>
      <c r="W160" s="1401">
        <v>0</v>
      </c>
      <c r="X160" s="1354">
        <f>+'P01 2022'!AB106</f>
        <v>19006.439999999999</v>
      </c>
      <c r="Y160" s="1330">
        <v>0</v>
      </c>
      <c r="Z160" s="1331">
        <f>+'P01 2022'!AQ113</f>
        <v>25937.199999999997</v>
      </c>
      <c r="AA160" s="221">
        <v>0</v>
      </c>
      <c r="AB160" s="99">
        <v>0</v>
      </c>
      <c r="AC160" s="99">
        <v>0</v>
      </c>
      <c r="AD160" s="99">
        <v>0</v>
      </c>
      <c r="AE160" s="1345">
        <v>0</v>
      </c>
      <c r="AF160" s="333">
        <f>+'P01 2022'!FC107</f>
        <v>0</v>
      </c>
      <c r="AG160" s="99">
        <v>0</v>
      </c>
      <c r="AH160" s="1186">
        <v>0</v>
      </c>
      <c r="AI160" s="71"/>
      <c r="AJ160" s="1421"/>
      <c r="AK160" s="1421"/>
      <c r="AL160" s="1421"/>
      <c r="AM160" s="1421"/>
      <c r="AN160" s="71"/>
      <c r="AO160" s="1498"/>
      <c r="AP160" s="1498"/>
      <c r="AQ160" s="1498"/>
      <c r="AR160" s="1498"/>
      <c r="AS160" s="1480"/>
      <c r="AT160" s="417"/>
      <c r="AU160" s="803"/>
      <c r="AV160" s="803"/>
      <c r="AW160" s="803"/>
      <c r="AX160" s="803"/>
    </row>
    <row r="161" spans="1:50" s="180" customFormat="1" ht="15" customHeight="1" x14ac:dyDescent="0.25">
      <c r="A161" s="1508" t="s">
        <v>495</v>
      </c>
      <c r="B161" s="21" t="s">
        <v>2</v>
      </c>
      <c r="C161" s="1167" t="s">
        <v>183</v>
      </c>
      <c r="D161" s="24"/>
      <c r="E161" s="192"/>
      <c r="F161" s="192"/>
      <c r="G161" s="558" t="s">
        <v>135</v>
      </c>
      <c r="H161" s="1296">
        <v>0</v>
      </c>
      <c r="I161" s="129">
        <v>0</v>
      </c>
      <c r="J161" s="129">
        <f ca="1">SUMIF(S$3:$AH149,"ok",S161:AH161)</f>
        <v>0</v>
      </c>
      <c r="K161" s="844">
        <f ca="1">IFERROR(J161/I161,"0,00"%)</f>
        <v>0</v>
      </c>
      <c r="L161" s="129">
        <v>0</v>
      </c>
      <c r="M161" s="844">
        <f>+IFERROR(#REF!/I168,0)</f>
        <v>0</v>
      </c>
      <c r="N161" s="129">
        <v>0</v>
      </c>
      <c r="O161" s="1294">
        <f t="shared" ref="O161:O162" si="74">+IFERROR(N169/I169,0)</f>
        <v>0.95936486718390135</v>
      </c>
      <c r="P161" s="1522">
        <f>SUM(P162:P166)</f>
        <v>0</v>
      </c>
      <c r="Q161" s="1153">
        <f ca="1">SUMIF(S$3:$AH151,"SI",S161:AH161)</f>
        <v>0</v>
      </c>
      <c r="R161" s="1304" t="str">
        <f t="shared" ref="R161:R166" ca="1" si="75">IFERROR(Q161/P161,"0,00%")</f>
        <v>0,00%</v>
      </c>
      <c r="S161" s="1293">
        <v>0</v>
      </c>
      <c r="T161" s="1216">
        <v>0</v>
      </c>
      <c r="U161" s="1293">
        <v>0</v>
      </c>
      <c r="V161" s="1355">
        <f>SUM(V162:V163)</f>
        <v>0</v>
      </c>
      <c r="W161" s="1402">
        <f>SUM(W162:W166)</f>
        <v>0</v>
      </c>
      <c r="X161" s="1355">
        <f>+SUM(X162:X165)</f>
        <v>0</v>
      </c>
      <c r="Y161" s="1293">
        <f>SUM(Y162:Y166)</f>
        <v>0</v>
      </c>
      <c r="Z161" s="1216">
        <f>SUM(Z162:Z166)</f>
        <v>0</v>
      </c>
      <c r="AA161" s="1207">
        <f>SUM(AA162:AA165)</f>
        <v>0</v>
      </c>
      <c r="AB161" s="129">
        <f>SUM(AB162:AB165)</f>
        <v>0</v>
      </c>
      <c r="AC161" s="129">
        <v>0</v>
      </c>
      <c r="AD161" s="129">
        <v>0</v>
      </c>
      <c r="AE161" s="1355">
        <f>SUM(AE162:AE165)</f>
        <v>0</v>
      </c>
      <c r="AF161" s="129">
        <f>SUM(AF162:AF165)</f>
        <v>0</v>
      </c>
      <c r="AG161" s="129">
        <f>+AG166</f>
        <v>40000</v>
      </c>
      <c r="AH161" s="1185">
        <f>+'P01 2022'!GX119</f>
        <v>124790.28</v>
      </c>
      <c r="AI161" s="71"/>
      <c r="AJ161" s="1421"/>
      <c r="AK161" s="1421"/>
      <c r="AL161" s="1421"/>
      <c r="AM161" s="1421"/>
      <c r="AN161" s="71"/>
      <c r="AO161" s="1498"/>
      <c r="AP161" s="1498"/>
      <c r="AQ161" s="1498"/>
      <c r="AR161" s="1498"/>
      <c r="AS161" s="1480"/>
      <c r="AT161" s="417"/>
      <c r="AU161" s="803"/>
      <c r="AV161" s="803"/>
      <c r="AW161" s="803"/>
      <c r="AX161" s="803"/>
    </row>
    <row r="162" spans="1:50" s="180" customFormat="1" ht="15" customHeight="1" x14ac:dyDescent="0.25">
      <c r="A162" s="1508" t="s">
        <v>615</v>
      </c>
      <c r="B162" s="126"/>
      <c r="C162" s="1168"/>
      <c r="D162" s="1231" t="s">
        <v>758</v>
      </c>
      <c r="E162" s="193"/>
      <c r="F162" s="18" t="s">
        <v>244</v>
      </c>
      <c r="G162" s="1539" t="s">
        <v>757</v>
      </c>
      <c r="H162" s="1295">
        <v>0</v>
      </c>
      <c r="I162" s="99">
        <v>0</v>
      </c>
      <c r="J162" s="99">
        <f ca="1">SUMIF(S$3:$AH150,"ok",S162:AH162)</f>
        <v>0</v>
      </c>
      <c r="K162" s="740">
        <f ca="1">IFERROR(J162/I162,"0,00"%)</f>
        <v>0</v>
      </c>
      <c r="L162" s="99">
        <v>0</v>
      </c>
      <c r="M162" s="740">
        <f t="shared" ref="M162:M163" si="76">+IFERROR(L169/I169,0)</f>
        <v>4.06351328160987E-2</v>
      </c>
      <c r="N162" s="99">
        <v>0</v>
      </c>
      <c r="O162" s="631">
        <f t="shared" si="74"/>
        <v>1</v>
      </c>
      <c r="P162" s="1520">
        <v>0</v>
      </c>
      <c r="Q162" s="1121">
        <f ca="1">SUMIF(S$3:$AH149,"SI",S162:AH162)</f>
        <v>0</v>
      </c>
      <c r="R162" s="1308" t="str">
        <f t="shared" ca="1" si="75"/>
        <v>0,00%</v>
      </c>
      <c r="S162" s="1330">
        <v>0</v>
      </c>
      <c r="T162" s="1331">
        <v>0</v>
      </c>
      <c r="U162" s="1330">
        <v>0</v>
      </c>
      <c r="V162" s="1354">
        <v>0</v>
      </c>
      <c r="W162" s="1401">
        <v>0</v>
      </c>
      <c r="X162" s="1354">
        <v>0</v>
      </c>
      <c r="Y162" s="1330">
        <v>0</v>
      </c>
      <c r="Z162" s="1331">
        <v>0</v>
      </c>
      <c r="AA162" s="221">
        <v>0</v>
      </c>
      <c r="AB162" s="99">
        <v>0</v>
      </c>
      <c r="AC162" s="99">
        <v>0</v>
      </c>
      <c r="AD162" s="99">
        <v>0</v>
      </c>
      <c r="AE162" s="1345">
        <f>+'P01 2022'!EJ124</f>
        <v>0</v>
      </c>
      <c r="AF162" s="188">
        <v>0</v>
      </c>
      <c r="AG162" s="99">
        <v>0</v>
      </c>
      <c r="AH162" s="1186">
        <f>+'P01 2022'!GX120</f>
        <v>4762.68</v>
      </c>
      <c r="AI162" s="71"/>
      <c r="AJ162" s="1421"/>
      <c r="AK162" s="1421"/>
      <c r="AL162" s="1421"/>
      <c r="AM162" s="1421"/>
      <c r="AN162" s="71"/>
      <c r="AO162" s="1498"/>
      <c r="AP162" s="1498"/>
      <c r="AQ162" s="1498"/>
      <c r="AR162" s="1498"/>
      <c r="AS162" s="1480"/>
      <c r="AT162" s="417"/>
      <c r="AU162" s="803"/>
      <c r="AV162" s="803"/>
      <c r="AW162" s="803"/>
      <c r="AX162" s="803"/>
    </row>
    <row r="163" spans="1:50" s="180" customFormat="1" ht="15" customHeight="1" x14ac:dyDescent="0.25">
      <c r="A163" s="1508" t="s">
        <v>616</v>
      </c>
      <c r="B163" s="126"/>
      <c r="C163" s="1168"/>
      <c r="D163" s="1231" t="s">
        <v>759</v>
      </c>
      <c r="E163" s="193"/>
      <c r="F163" s="18" t="s">
        <v>326</v>
      </c>
      <c r="G163" s="1539" t="s">
        <v>327</v>
      </c>
      <c r="H163" s="1295">
        <v>0</v>
      </c>
      <c r="I163" s="99">
        <v>0</v>
      </c>
      <c r="J163" s="99">
        <f ca="1">SUMIF(S$3:$AH151,"ok",S163:AH163)</f>
        <v>0</v>
      </c>
      <c r="K163" s="740">
        <f t="shared" ref="K163:K166" ca="1" si="77">IFERROR(J163/I163,"0,00"%)</f>
        <v>0</v>
      </c>
      <c r="L163" s="99">
        <v>0</v>
      </c>
      <c r="M163" s="740">
        <f t="shared" si="76"/>
        <v>0</v>
      </c>
      <c r="N163" s="99">
        <v>0</v>
      </c>
      <c r="O163" s="631">
        <f t="shared" ref="O163:O168" si="78">+IFERROR(N172/I172,0)</f>
        <v>0</v>
      </c>
      <c r="P163" s="1520">
        <v>0</v>
      </c>
      <c r="Q163" s="1121">
        <f ca="1">SUMIF(S$3:$AH150,"SI",S163:AH163)</f>
        <v>0</v>
      </c>
      <c r="R163" s="1308" t="str">
        <f t="shared" ca="1" si="75"/>
        <v>0,00%</v>
      </c>
      <c r="S163" s="1330">
        <v>0</v>
      </c>
      <c r="T163" s="1331">
        <v>0</v>
      </c>
      <c r="U163" s="1330">
        <v>0</v>
      </c>
      <c r="V163" s="1354">
        <v>0</v>
      </c>
      <c r="W163" s="1401">
        <v>0</v>
      </c>
      <c r="X163" s="1354">
        <v>0</v>
      </c>
      <c r="Y163" s="1330">
        <v>0</v>
      </c>
      <c r="Z163" s="1331">
        <v>0</v>
      </c>
      <c r="AA163" s="221">
        <v>0</v>
      </c>
      <c r="AB163" s="99">
        <v>0</v>
      </c>
      <c r="AC163" s="99">
        <v>0</v>
      </c>
      <c r="AD163" s="99">
        <v>0</v>
      </c>
      <c r="AE163" s="1345">
        <f>+'P01 2022'!EJ125</f>
        <v>0</v>
      </c>
      <c r="AF163" s="188">
        <v>0</v>
      </c>
      <c r="AG163" s="99">
        <v>0</v>
      </c>
      <c r="AH163" s="1186">
        <f>+'P01 2022'!GX121</f>
        <v>120027.6</v>
      </c>
      <c r="AI163" s="71"/>
      <c r="AJ163" s="1421"/>
      <c r="AK163" s="1421"/>
      <c r="AL163" s="1421"/>
      <c r="AM163" s="1421"/>
      <c r="AN163" s="71"/>
      <c r="AO163" s="1498"/>
      <c r="AP163" s="1498"/>
      <c r="AQ163" s="1498"/>
      <c r="AR163" s="1498"/>
      <c r="AS163" s="1480"/>
      <c r="AT163" s="417"/>
      <c r="AU163" s="803"/>
      <c r="AV163" s="803"/>
      <c r="AW163" s="803"/>
      <c r="AX163" s="803"/>
    </row>
    <row r="164" spans="1:50" s="180" customFormat="1" ht="15" customHeight="1" x14ac:dyDescent="0.25">
      <c r="A164" s="1508" t="s">
        <v>505</v>
      </c>
      <c r="B164" s="126"/>
      <c r="C164" s="1168"/>
      <c r="D164" s="1231" t="s">
        <v>336</v>
      </c>
      <c r="E164" s="193"/>
      <c r="F164" s="18" t="s">
        <v>756</v>
      </c>
      <c r="G164" s="1539" t="s">
        <v>501</v>
      </c>
      <c r="H164" s="1295">
        <v>0</v>
      </c>
      <c r="I164" s="1157">
        <v>0</v>
      </c>
      <c r="J164" s="99">
        <f ca="1">SUMIF(S$3:$AH152,"ok",S164:AH164)</f>
        <v>0</v>
      </c>
      <c r="K164" s="740">
        <f t="shared" ca="1" si="77"/>
        <v>0</v>
      </c>
      <c r="L164" s="1157">
        <v>0</v>
      </c>
      <c r="M164" s="740">
        <f t="shared" ref="M164:M170" si="79">+IFERROR(L172/I172,0)</f>
        <v>0</v>
      </c>
      <c r="N164" s="1157">
        <v>0</v>
      </c>
      <c r="O164" s="631">
        <f t="shared" si="78"/>
        <v>0</v>
      </c>
      <c r="P164" s="1520">
        <v>0</v>
      </c>
      <c r="Q164" s="1121">
        <f ca="1">SUMIF(S$3:$AH151,"SI",S164:AH164)</f>
        <v>0</v>
      </c>
      <c r="R164" s="1308" t="str">
        <f t="shared" ca="1" si="75"/>
        <v>0,00%</v>
      </c>
      <c r="S164" s="1330">
        <v>0</v>
      </c>
      <c r="T164" s="1331">
        <v>0</v>
      </c>
      <c r="U164" s="1330">
        <v>0</v>
      </c>
      <c r="V164" s="1354">
        <v>0</v>
      </c>
      <c r="W164" s="1401">
        <v>0</v>
      </c>
      <c r="X164" s="1354">
        <v>0</v>
      </c>
      <c r="Y164" s="1330">
        <v>0</v>
      </c>
      <c r="Z164" s="1331">
        <v>0</v>
      </c>
      <c r="AA164" s="221">
        <v>0</v>
      </c>
      <c r="AB164" s="99">
        <v>0</v>
      </c>
      <c r="AC164" s="99">
        <v>0</v>
      </c>
      <c r="AD164" s="99">
        <v>0</v>
      </c>
      <c r="AE164" s="1345">
        <f>+'P01 2022'!EJ126</f>
        <v>0</v>
      </c>
      <c r="AF164" s="188">
        <v>0</v>
      </c>
      <c r="AG164" s="99">
        <v>0</v>
      </c>
      <c r="AH164" s="1186">
        <v>0</v>
      </c>
      <c r="AI164" s="71"/>
      <c r="AJ164" s="1421"/>
      <c r="AK164" s="1421"/>
      <c r="AL164" s="1421"/>
      <c r="AM164" s="1421"/>
      <c r="AN164" s="71"/>
      <c r="AO164" s="1498"/>
      <c r="AP164" s="1498"/>
      <c r="AQ164" s="1498"/>
      <c r="AR164" s="1498"/>
      <c r="AS164" s="1480"/>
      <c r="AT164" s="417"/>
      <c r="AU164" s="803"/>
      <c r="AV164" s="803"/>
      <c r="AW164" s="803"/>
      <c r="AX164" s="803"/>
    </row>
    <row r="165" spans="1:50" s="180" customFormat="1" ht="15" customHeight="1" x14ac:dyDescent="0.25">
      <c r="A165" s="1508" t="s">
        <v>617</v>
      </c>
      <c r="B165" s="126"/>
      <c r="C165" s="1168"/>
      <c r="D165" s="1231" t="s">
        <v>319</v>
      </c>
      <c r="E165" s="193"/>
      <c r="F165" s="18" t="s">
        <v>760</v>
      </c>
      <c r="G165" s="1539" t="s">
        <v>761</v>
      </c>
      <c r="H165" s="1295">
        <v>0</v>
      </c>
      <c r="I165" s="99">
        <v>0</v>
      </c>
      <c r="J165" s="1157">
        <v>0</v>
      </c>
      <c r="K165" s="740">
        <f t="shared" si="77"/>
        <v>0</v>
      </c>
      <c r="L165" s="99">
        <v>0</v>
      </c>
      <c r="M165" s="740">
        <f t="shared" si="79"/>
        <v>0</v>
      </c>
      <c r="N165" s="99">
        <v>0</v>
      </c>
      <c r="O165" s="631">
        <f t="shared" si="78"/>
        <v>0.94200550855286624</v>
      </c>
      <c r="P165" s="1520">
        <v>0</v>
      </c>
      <c r="Q165" s="1121">
        <f ca="1">SUMIF(S$3:$AH152,"SI",S165:AH165)</f>
        <v>0</v>
      </c>
      <c r="R165" s="1308" t="str">
        <f t="shared" ca="1" si="75"/>
        <v>0,00%</v>
      </c>
      <c r="S165" s="1330">
        <v>0</v>
      </c>
      <c r="T165" s="1331">
        <v>0</v>
      </c>
      <c r="U165" s="1330">
        <v>0</v>
      </c>
      <c r="V165" s="1354">
        <v>0</v>
      </c>
      <c r="W165" s="1401">
        <v>0</v>
      </c>
      <c r="X165" s="1354">
        <v>0</v>
      </c>
      <c r="Y165" s="1330">
        <v>0</v>
      </c>
      <c r="Z165" s="1331">
        <v>0</v>
      </c>
      <c r="AA165" s="221">
        <v>0</v>
      </c>
      <c r="AB165" s="99">
        <v>0</v>
      </c>
      <c r="AC165" s="99">
        <v>0</v>
      </c>
      <c r="AD165" s="99">
        <v>0</v>
      </c>
      <c r="AE165" s="1345">
        <f>+'P01 2022'!EJ127</f>
        <v>0</v>
      </c>
      <c r="AF165" s="188">
        <v>0</v>
      </c>
      <c r="AG165" s="99">
        <v>0</v>
      </c>
      <c r="AH165" s="1186">
        <v>0</v>
      </c>
      <c r="AI165" s="71"/>
      <c r="AJ165" s="1421"/>
      <c r="AK165" s="1421"/>
      <c r="AL165" s="1421"/>
      <c r="AM165" s="1421"/>
      <c r="AN165" s="71"/>
      <c r="AO165" s="1498"/>
      <c r="AP165" s="1498"/>
      <c r="AQ165" s="1498"/>
      <c r="AR165" s="1498"/>
      <c r="AS165" s="1480"/>
      <c r="AT165" s="417"/>
      <c r="AU165" s="803"/>
      <c r="AV165" s="803"/>
      <c r="AW165" s="803"/>
      <c r="AX165" s="803"/>
    </row>
    <row r="166" spans="1:50" s="180" customFormat="1" ht="15" customHeight="1" x14ac:dyDescent="0.25">
      <c r="A166" s="1508" t="s">
        <v>904</v>
      </c>
      <c r="B166" s="126"/>
      <c r="C166" s="1168"/>
      <c r="D166" s="1231"/>
      <c r="E166" s="193"/>
      <c r="F166" s="18" t="s">
        <v>906</v>
      </c>
      <c r="G166" s="1539" t="s">
        <v>905</v>
      </c>
      <c r="H166" s="1295">
        <v>0</v>
      </c>
      <c r="I166" s="99">
        <v>0</v>
      </c>
      <c r="J166" s="1157">
        <f ca="1">SUMIF(S$3:$AH154,"ok",S166:AH166)</f>
        <v>0</v>
      </c>
      <c r="K166" s="740">
        <f t="shared" ca="1" si="77"/>
        <v>0</v>
      </c>
      <c r="L166" s="99">
        <v>0</v>
      </c>
      <c r="M166" s="740">
        <f t="shared" si="79"/>
        <v>5.7994491447133791E-2</v>
      </c>
      <c r="N166" s="99">
        <v>0</v>
      </c>
      <c r="O166" s="631">
        <f t="shared" si="78"/>
        <v>0.95906627178035686</v>
      </c>
      <c r="P166" s="1520">
        <v>0</v>
      </c>
      <c r="Q166" s="1121">
        <f ca="1">SUMIF(S$3:$AH153,"SI",S166:AH166)</f>
        <v>0</v>
      </c>
      <c r="R166" s="1308" t="str">
        <f t="shared" ca="1" si="75"/>
        <v>0,00%</v>
      </c>
      <c r="S166" s="1330">
        <v>0</v>
      </c>
      <c r="T166" s="1331">
        <v>0</v>
      </c>
      <c r="U166" s="1330">
        <v>0</v>
      </c>
      <c r="V166" s="1354">
        <v>0</v>
      </c>
      <c r="W166" s="1401">
        <v>0</v>
      </c>
      <c r="X166" s="1354">
        <v>0</v>
      </c>
      <c r="Y166" s="1330">
        <v>0</v>
      </c>
      <c r="Z166" s="1331">
        <v>0</v>
      </c>
      <c r="AA166" s="221">
        <v>0</v>
      </c>
      <c r="AB166" s="99">
        <v>0</v>
      </c>
      <c r="AC166" s="99">
        <v>0</v>
      </c>
      <c r="AD166" s="99">
        <v>0</v>
      </c>
      <c r="AE166" s="1354">
        <v>0</v>
      </c>
      <c r="AF166" s="99">
        <v>0</v>
      </c>
      <c r="AG166" s="99">
        <f>+'P01 2022'!GA114</f>
        <v>40000</v>
      </c>
      <c r="AH166" s="1186">
        <v>0</v>
      </c>
      <c r="AI166" s="71"/>
      <c r="AJ166" s="1421"/>
      <c r="AK166" s="1421"/>
      <c r="AL166" s="1421"/>
      <c r="AM166" s="1421"/>
      <c r="AN166" s="71"/>
      <c r="AO166" s="1498"/>
      <c r="AP166" s="1498"/>
      <c r="AQ166" s="1498"/>
      <c r="AR166" s="1498"/>
      <c r="AS166" s="1480"/>
      <c r="AT166" s="417"/>
      <c r="AU166" s="803"/>
      <c r="AV166" s="803"/>
      <c r="AW166" s="803"/>
      <c r="AX166" s="803"/>
    </row>
    <row r="167" spans="1:50" s="1149" customFormat="1" ht="15" customHeight="1" x14ac:dyDescent="0.25">
      <c r="A167" s="1508" t="s">
        <v>638</v>
      </c>
      <c r="B167" s="21">
        <v>25</v>
      </c>
      <c r="C167" s="1169"/>
      <c r="D167" s="1232"/>
      <c r="E167" s="1170"/>
      <c r="F167" s="192"/>
      <c r="G167" s="558" t="s">
        <v>644</v>
      </c>
      <c r="H167" s="1293">
        <f>+H168</f>
        <v>165389</v>
      </c>
      <c r="I167" s="129">
        <f>+I168</f>
        <v>165389</v>
      </c>
      <c r="J167" s="129">
        <f ca="1">SUMIF(S$3:$AH155,"ok",S167:AH167)</f>
        <v>73747.995999999999</v>
      </c>
      <c r="K167" s="844">
        <f t="shared" ca="1" si="67"/>
        <v>0.44590629364709866</v>
      </c>
      <c r="L167" s="129">
        <f>+L168</f>
        <v>73747.995999999999</v>
      </c>
      <c r="M167" s="844">
        <f t="shared" si="79"/>
        <v>4.0933728219643112E-2</v>
      </c>
      <c r="N167" s="129">
        <f>+N168</f>
        <v>91641.004000000001</v>
      </c>
      <c r="O167" s="1294">
        <f t="shared" si="78"/>
        <v>0</v>
      </c>
      <c r="P167" s="1522">
        <f>+'P01 2022'!AZ124</f>
        <v>165388.981</v>
      </c>
      <c r="Q167" s="1153">
        <f ca="1">SUMIF(S$3:$AH160,"SI",S167:AH167)</f>
        <v>0</v>
      </c>
      <c r="R167" s="1304">
        <f ca="1">IFERROR(Q167,"0%")</f>
        <v>0</v>
      </c>
      <c r="S167" s="1327">
        <f>+S168</f>
        <v>35780.627999999997</v>
      </c>
      <c r="T167" s="1216">
        <v>0</v>
      </c>
      <c r="U167" s="1293">
        <f>+U168</f>
        <v>7589.4160000000002</v>
      </c>
      <c r="V167" s="1355">
        <v>0</v>
      </c>
      <c r="W167" s="1402">
        <v>0</v>
      </c>
      <c r="X167" s="1355">
        <f>SUM(X168:X168)</f>
        <v>0</v>
      </c>
      <c r="Y167" s="1293">
        <f>+Y168</f>
        <v>30377.952000000001</v>
      </c>
      <c r="Z167" s="1216">
        <f>+Z168</f>
        <v>0</v>
      </c>
      <c r="AA167" s="1207">
        <f>+AA168</f>
        <v>392905.70799999998</v>
      </c>
      <c r="AB167" s="129">
        <v>0</v>
      </c>
      <c r="AC167" s="129">
        <f>+AC168</f>
        <v>81363.726999999999</v>
      </c>
      <c r="AD167" s="129">
        <v>0</v>
      </c>
      <c r="AE167" s="1355">
        <f>+AE168</f>
        <v>60505.544999999998</v>
      </c>
      <c r="AF167" s="129">
        <f>+AF168</f>
        <v>25328.784</v>
      </c>
      <c r="AG167" s="129">
        <f>+'P01 2022'!GA115</f>
        <v>34813.769999999997</v>
      </c>
      <c r="AH167" s="1185">
        <f>+'P01 2022'!GX122</f>
        <v>35078.995999999999</v>
      </c>
      <c r="AI167" s="71"/>
      <c r="AJ167" s="1421"/>
      <c r="AK167" s="1421"/>
      <c r="AL167" s="1421"/>
      <c r="AM167" s="1421"/>
      <c r="AN167" s="71"/>
      <c r="AO167" s="1498"/>
      <c r="AP167" s="1498"/>
      <c r="AQ167" s="1498"/>
      <c r="AR167" s="1498"/>
      <c r="AS167" s="1480"/>
      <c r="AT167" s="417"/>
      <c r="AU167" s="803"/>
      <c r="AV167" s="803"/>
      <c r="AW167" s="803"/>
      <c r="AX167" s="803"/>
    </row>
    <row r="168" spans="1:50" s="180" customFormat="1" ht="15" customHeight="1" x14ac:dyDescent="0.25">
      <c r="A168" s="1508" t="s">
        <v>639</v>
      </c>
      <c r="B168" s="25"/>
      <c r="C168" s="1171">
        <v>99</v>
      </c>
      <c r="D168" s="1171"/>
      <c r="E168" s="1171"/>
      <c r="F168" s="1171" t="s">
        <v>728</v>
      </c>
      <c r="G168" s="1540" t="s">
        <v>643</v>
      </c>
      <c r="H168" s="1295">
        <f>+'P01 2023'!F132</f>
        <v>165389</v>
      </c>
      <c r="I168" s="99">
        <f>+'P01 2023'!BB134</f>
        <v>165389</v>
      </c>
      <c r="J168" s="1157">
        <f ca="1">SUMIF(S$3:$AH156,"ok",S168:AH168)</f>
        <v>73747.995999999999</v>
      </c>
      <c r="K168" s="740">
        <f t="shared" ca="1" si="67"/>
        <v>0.44590629364709866</v>
      </c>
      <c r="L168" s="1233">
        <f>+'P01 2023'!BC134</f>
        <v>73747.995999999999</v>
      </c>
      <c r="M168" s="740">
        <f t="shared" si="79"/>
        <v>1</v>
      </c>
      <c r="N168" s="99">
        <f>+I168-L168</f>
        <v>91641.004000000001</v>
      </c>
      <c r="O168" s="1528">
        <f t="shared" si="78"/>
        <v>0.48857867714608061</v>
      </c>
      <c r="P168" s="1520">
        <f>+P167</f>
        <v>165388.981</v>
      </c>
      <c r="Q168" s="1158">
        <f ca="1">SUMIF(S$3:$AH161,"SI",S168:AH168)</f>
        <v>0</v>
      </c>
      <c r="R168" s="1308">
        <f ca="1">IFERROR(Q168,"0%")</f>
        <v>0</v>
      </c>
      <c r="S168" s="1328">
        <f>+'P01 2023'!I132</f>
        <v>35780.627999999997</v>
      </c>
      <c r="T168" s="1217">
        <v>0</v>
      </c>
      <c r="U168" s="1299">
        <f>+'P01 2023'!N94</f>
        <v>7589.4160000000002</v>
      </c>
      <c r="V168" s="1356">
        <v>0</v>
      </c>
      <c r="W168" s="1403">
        <v>0</v>
      </c>
      <c r="X168" s="1356">
        <v>0</v>
      </c>
      <c r="Y168" s="1295">
        <f>+'P01 2023'!AT111</f>
        <v>30377.952000000001</v>
      </c>
      <c r="Z168" s="1217">
        <v>0</v>
      </c>
      <c r="AA168" s="1313">
        <f>+'P01 2022'!BI99</f>
        <v>392905.70799999998</v>
      </c>
      <c r="AB168" s="1156">
        <v>0</v>
      </c>
      <c r="AC168" s="1156">
        <f>+'P01 2022'!CY110</f>
        <v>81363.726999999999</v>
      </c>
      <c r="AD168" s="1156">
        <v>0</v>
      </c>
      <c r="AE168" s="1356">
        <f>+'P01 2022'!EJ112</f>
        <v>60505.544999999998</v>
      </c>
      <c r="AF168" s="1358">
        <f>+'P01 2022'!FC110</f>
        <v>25328.784</v>
      </c>
      <c r="AG168" s="99">
        <f>+'P01 2022'!GA116</f>
        <v>34813.769999999997</v>
      </c>
      <c r="AH168" s="1186">
        <f>+'P01 2022'!GX123</f>
        <v>35078.995999999999</v>
      </c>
      <c r="AI168" s="71"/>
      <c r="AJ168" s="1421"/>
      <c r="AK168" s="1421"/>
      <c r="AL168" s="1421"/>
      <c r="AM168" s="1421"/>
      <c r="AN168" s="71"/>
      <c r="AO168" s="1498"/>
      <c r="AP168" s="1498"/>
      <c r="AQ168" s="1498"/>
      <c r="AR168" s="1498"/>
      <c r="AS168" s="1480"/>
      <c r="AT168" s="417"/>
      <c r="AU168" s="803"/>
      <c r="AV168" s="803"/>
      <c r="AW168" s="803"/>
      <c r="AX168" s="803"/>
    </row>
    <row r="169" spans="1:50" s="180" customFormat="1" ht="15" customHeight="1" x14ac:dyDescent="0.25">
      <c r="A169" s="1508" t="s">
        <v>618</v>
      </c>
      <c r="B169" s="21">
        <v>29</v>
      </c>
      <c r="C169" s="1169" t="s">
        <v>2</v>
      </c>
      <c r="D169" s="24"/>
      <c r="E169" s="24"/>
      <c r="F169" s="1172"/>
      <c r="G169" s="558" t="s">
        <v>315</v>
      </c>
      <c r="H169" s="1293">
        <f>+'P01 2023'!F135</f>
        <v>332151</v>
      </c>
      <c r="I169" s="129">
        <f>+I170+I171+I172+I174</f>
        <v>332151</v>
      </c>
      <c r="J169" s="129">
        <f ca="1">SUMIF(S$3:$AH157,"ok",S169:AH169)</f>
        <v>4140</v>
      </c>
      <c r="K169" s="844">
        <f t="shared" ca="1" si="67"/>
        <v>1.246421055483801E-2</v>
      </c>
      <c r="L169" s="129">
        <f>+L170+L171+L172+L174</f>
        <v>13497</v>
      </c>
      <c r="M169" s="844">
        <f t="shared" si="79"/>
        <v>0.51142132285391939</v>
      </c>
      <c r="N169" s="129">
        <f>+N170+N171+N172+N174</f>
        <v>318654</v>
      </c>
      <c r="O169" s="1294">
        <f>+IFERROR(#REF!/I178,0)</f>
        <v>0</v>
      </c>
      <c r="P169" s="1522">
        <f>+P170+P171+P172+P174</f>
        <v>178095.02</v>
      </c>
      <c r="Q169" s="1153">
        <f ca="1">SUMIF(S$3:$AH161,"SI",S169:AH169)</f>
        <v>685.63499999999999</v>
      </c>
      <c r="R169" s="1304" t="str">
        <f ca="1">IFERROR(Q169/#REF!,"0,00%")</f>
        <v>0,00%</v>
      </c>
      <c r="S169" s="1293">
        <v>0</v>
      </c>
      <c r="T169" s="1209">
        <f t="shared" ref="T169:AE169" si="80">+T172+T174</f>
        <v>0</v>
      </c>
      <c r="U169" s="1296">
        <v>0</v>
      </c>
      <c r="V169" s="247">
        <f t="shared" si="80"/>
        <v>0</v>
      </c>
      <c r="W169" s="385">
        <v>0</v>
      </c>
      <c r="X169" s="247">
        <f t="shared" si="80"/>
        <v>685.63499999999999</v>
      </c>
      <c r="Y169" s="1296">
        <f>+Y172+Y174</f>
        <v>4140</v>
      </c>
      <c r="Z169" s="1209">
        <f>+Z172+Z174</f>
        <v>0</v>
      </c>
      <c r="AA169" s="222">
        <f t="shared" si="80"/>
        <v>15029.54</v>
      </c>
      <c r="AB169" s="17">
        <f t="shared" si="80"/>
        <v>8799.9989999999998</v>
      </c>
      <c r="AC169" s="17">
        <f t="shared" si="80"/>
        <v>14694.842000000001</v>
      </c>
      <c r="AD169" s="17">
        <f t="shared" si="80"/>
        <v>8321.1460000000006</v>
      </c>
      <c r="AE169" s="247">
        <f t="shared" si="80"/>
        <v>57335.999000000003</v>
      </c>
      <c r="AF169" s="134">
        <f>+'P01 2022'!FC111</f>
        <v>4412.5</v>
      </c>
      <c r="AG169" s="129">
        <f>+'P01 2022'!GA117</f>
        <v>104.18300000000001</v>
      </c>
      <c r="AH169" s="1185">
        <f>+'P01 2022'!GX124</f>
        <v>76271.471000000005</v>
      </c>
      <c r="AI169" s="71"/>
      <c r="AJ169" s="1421"/>
      <c r="AK169" s="1421"/>
      <c r="AL169" s="1421"/>
      <c r="AM169" s="1421"/>
      <c r="AN169" s="71"/>
      <c r="AO169" s="1498"/>
      <c r="AP169" s="1498"/>
      <c r="AQ169" s="1498"/>
      <c r="AR169" s="1498"/>
      <c r="AS169" s="1480"/>
      <c r="AT169" s="417"/>
      <c r="AU169" s="803"/>
      <c r="AV169" s="803"/>
      <c r="AW169" s="803"/>
      <c r="AX169" s="803"/>
    </row>
    <row r="170" spans="1:50" s="180" customFormat="1" ht="15" customHeight="1" x14ac:dyDescent="0.25">
      <c r="A170" s="1508" t="s">
        <v>929</v>
      </c>
      <c r="B170" s="21"/>
      <c r="C170" s="1169" t="s">
        <v>167</v>
      </c>
      <c r="D170" s="24"/>
      <c r="E170" s="24"/>
      <c r="F170" s="1173" t="s">
        <v>938</v>
      </c>
      <c r="G170" s="558" t="s">
        <v>937</v>
      </c>
      <c r="H170" s="1293">
        <f>+'P01 2023'!F136</f>
        <v>82914</v>
      </c>
      <c r="I170" s="129">
        <f>+'P01 2023'!BB138</f>
        <v>82914</v>
      </c>
      <c r="J170" s="129">
        <f ca="1">SUMIF(S$3:$AH158,"ok",S170:AH170)</f>
        <v>0</v>
      </c>
      <c r="K170" s="844">
        <f t="shared" ca="1" si="67"/>
        <v>0</v>
      </c>
      <c r="L170" s="129">
        <f>+'P01 2023'!BC138</f>
        <v>0</v>
      </c>
      <c r="M170" s="844">
        <f t="shared" si="79"/>
        <v>0.47451478808902881</v>
      </c>
      <c r="N170" s="129">
        <f>+'P01 2023'!BE138</f>
        <v>82914</v>
      </c>
      <c r="O170" s="1294">
        <v>0</v>
      </c>
      <c r="P170" s="1207">
        <v>0</v>
      </c>
      <c r="Q170" s="129">
        <v>0</v>
      </c>
      <c r="R170" s="1306">
        <v>0</v>
      </c>
      <c r="S170" s="1293">
        <v>0</v>
      </c>
      <c r="T170" s="1209">
        <v>0</v>
      </c>
      <c r="U170" s="1296">
        <v>0</v>
      </c>
      <c r="V170" s="247">
        <v>0</v>
      </c>
      <c r="W170" s="385">
        <v>0</v>
      </c>
      <c r="X170" s="247">
        <v>0</v>
      </c>
      <c r="Y170" s="1296">
        <v>0</v>
      </c>
      <c r="Z170" s="1209">
        <v>0</v>
      </c>
      <c r="AA170" s="222">
        <v>0</v>
      </c>
      <c r="AB170" s="17">
        <v>0</v>
      </c>
      <c r="AC170" s="17">
        <v>0</v>
      </c>
      <c r="AD170" s="17">
        <v>0</v>
      </c>
      <c r="AE170" s="247">
        <v>0</v>
      </c>
      <c r="AF170" s="17">
        <v>0</v>
      </c>
      <c r="AG170" s="17">
        <v>0</v>
      </c>
      <c r="AH170" s="1185">
        <f>+'P01 2022'!GX125</f>
        <v>26956.633999999998</v>
      </c>
      <c r="AI170" s="71"/>
      <c r="AJ170" s="1421"/>
      <c r="AK170" s="1421"/>
      <c r="AL170" s="1421"/>
      <c r="AM170" s="1421"/>
      <c r="AN170" s="71"/>
      <c r="AO170" s="1498"/>
      <c r="AP170" s="1498"/>
      <c r="AQ170" s="1498"/>
      <c r="AR170" s="1498"/>
      <c r="AS170" s="1480"/>
      <c r="AT170" s="417"/>
      <c r="AU170" s="803"/>
      <c r="AV170" s="803"/>
      <c r="AW170" s="803"/>
      <c r="AX170" s="803"/>
    </row>
    <row r="171" spans="1:50" s="180" customFormat="1" ht="15" customHeight="1" x14ac:dyDescent="0.25">
      <c r="A171" s="1513" t="s">
        <v>997</v>
      </c>
      <c r="B171" s="21"/>
      <c r="C171" s="1169" t="s">
        <v>168</v>
      </c>
      <c r="D171" s="24"/>
      <c r="E171" s="24"/>
      <c r="F171" s="1173" t="s">
        <v>1023</v>
      </c>
      <c r="G171" s="558" t="s">
        <v>999</v>
      </c>
      <c r="H171" s="1293">
        <f>+'P01 2023'!F137</f>
        <v>16508</v>
      </c>
      <c r="I171" s="129">
        <f>+'P01 2023'!BB139</f>
        <v>16508</v>
      </c>
      <c r="J171" s="129">
        <f ca="1">SUMIF(S$3:$AH159,"ok",S171:AH171)</f>
        <v>0</v>
      </c>
      <c r="K171" s="844">
        <f t="shared" ca="1" si="67"/>
        <v>0</v>
      </c>
      <c r="L171" s="129">
        <f>+'P01 2023'!BC139</f>
        <v>0</v>
      </c>
      <c r="M171" s="844">
        <v>0</v>
      </c>
      <c r="N171" s="129">
        <f>+'P01 2023'!BE139</f>
        <v>16508</v>
      </c>
      <c r="O171" s="1294">
        <v>0</v>
      </c>
      <c r="P171" s="1207">
        <v>0</v>
      </c>
      <c r="Q171" s="129">
        <v>0</v>
      </c>
      <c r="R171" s="1306">
        <v>0</v>
      </c>
      <c r="S171" s="1293">
        <v>0</v>
      </c>
      <c r="T171" s="1209">
        <v>0</v>
      </c>
      <c r="U171" s="1296">
        <v>0</v>
      </c>
      <c r="V171" s="247">
        <v>0</v>
      </c>
      <c r="W171" s="385">
        <v>0</v>
      </c>
      <c r="X171" s="247">
        <v>0</v>
      </c>
      <c r="Y171" s="1296">
        <v>0</v>
      </c>
      <c r="Z171" s="1209">
        <v>0</v>
      </c>
      <c r="AA171" s="222">
        <v>0</v>
      </c>
      <c r="AB171" s="17">
        <v>0</v>
      </c>
      <c r="AC171" s="17">
        <v>0</v>
      </c>
      <c r="AD171" s="17">
        <v>0</v>
      </c>
      <c r="AE171" s="247">
        <v>0</v>
      </c>
      <c r="AF171" s="17">
        <v>0</v>
      </c>
      <c r="AG171" s="17">
        <v>0</v>
      </c>
      <c r="AH171" s="1185">
        <v>0</v>
      </c>
      <c r="AI171" s="71"/>
      <c r="AJ171" s="1421"/>
      <c r="AK171" s="1421"/>
      <c r="AL171" s="1421"/>
      <c r="AM171" s="1421"/>
      <c r="AN171" s="71"/>
      <c r="AO171" s="1498"/>
      <c r="AP171" s="1498"/>
      <c r="AQ171" s="1498"/>
      <c r="AR171" s="1498"/>
      <c r="AS171" s="1480"/>
      <c r="AT171" s="417"/>
      <c r="AU171" s="803"/>
      <c r="AV171" s="803"/>
      <c r="AW171" s="803"/>
      <c r="AX171" s="803"/>
    </row>
    <row r="172" spans="1:50" s="180" customFormat="1" ht="15" customHeight="1" x14ac:dyDescent="0.25">
      <c r="A172" s="1508" t="s">
        <v>414</v>
      </c>
      <c r="B172" s="1411"/>
      <c r="C172" s="1291" t="s">
        <v>182</v>
      </c>
      <c r="D172" s="1291"/>
      <c r="E172" s="1291"/>
      <c r="F172" s="1173" t="s">
        <v>212</v>
      </c>
      <c r="G172" s="558" t="s">
        <v>81</v>
      </c>
      <c r="H172" s="1293">
        <f>+H173</f>
        <v>0</v>
      </c>
      <c r="I172" s="129">
        <f>+'P01 2023'!BB151</f>
        <v>0</v>
      </c>
      <c r="J172" s="129">
        <f ca="1">SUMIF(S$3:$AH159,"ok",S172:AH172)</f>
        <v>0</v>
      </c>
      <c r="K172" s="844">
        <f ca="1">IFERROR(J172/I172,"0,00"%)</f>
        <v>0</v>
      </c>
      <c r="L172" s="129">
        <f>+'P01 2023'!BC151</f>
        <v>0</v>
      </c>
      <c r="M172" s="844">
        <v>0</v>
      </c>
      <c r="N172" s="129">
        <f>+'P01 2023'!BE151</f>
        <v>0</v>
      </c>
      <c r="O172" s="1294">
        <f>+IFERROR(#REF!/I179,0)</f>
        <v>0</v>
      </c>
      <c r="P172" s="1207">
        <f>+P173</f>
        <v>8982.35</v>
      </c>
      <c r="Q172" s="1207">
        <f ca="1">SUMIF(S$3:$AH162,"SI",S172:AH172)</f>
        <v>0</v>
      </c>
      <c r="R172" s="1306">
        <f ca="1">IFERROR(Q172/P172,"0,00%")</f>
        <v>0</v>
      </c>
      <c r="S172" s="1330">
        <v>0</v>
      </c>
      <c r="T172" s="1186">
        <v>0</v>
      </c>
      <c r="U172" s="1295">
        <v>0</v>
      </c>
      <c r="V172" s="1394">
        <v>0</v>
      </c>
      <c r="W172" s="385">
        <v>0</v>
      </c>
      <c r="X172" s="247">
        <v>0</v>
      </c>
      <c r="Y172" s="1296">
        <v>0</v>
      </c>
      <c r="Z172" s="1209">
        <v>0</v>
      </c>
      <c r="AA172" s="1206">
        <f>+AA173</f>
        <v>0</v>
      </c>
      <c r="AB172" s="1182"/>
      <c r="AC172" s="1182">
        <f>+AC173</f>
        <v>0</v>
      </c>
      <c r="AD172" s="1182">
        <f>+AD173</f>
        <v>8321.1460000000006</v>
      </c>
      <c r="AE172" s="1353">
        <v>0</v>
      </c>
      <c r="AF172" s="1359">
        <v>0</v>
      </c>
      <c r="AG172" s="99">
        <f>+'P01 2022'!GA118</f>
        <v>104.18300000000001</v>
      </c>
      <c r="AH172" s="1186">
        <v>0</v>
      </c>
      <c r="AI172" s="71"/>
      <c r="AJ172" s="1421"/>
      <c r="AK172" s="1421"/>
      <c r="AL172" s="1421"/>
      <c r="AM172" s="1421"/>
      <c r="AN172" s="71"/>
      <c r="AO172" s="1498"/>
      <c r="AP172" s="1498"/>
      <c r="AQ172" s="1498"/>
      <c r="AR172" s="1498"/>
      <c r="AS172" s="1480"/>
      <c r="AT172" s="417"/>
      <c r="AU172" s="803"/>
      <c r="AV172" s="803"/>
      <c r="AW172" s="803"/>
      <c r="AX172" s="803"/>
    </row>
    <row r="173" spans="1:50" s="180" customFormat="1" ht="15" customHeight="1" x14ac:dyDescent="0.25">
      <c r="A173" s="1508" t="s">
        <v>619</v>
      </c>
      <c r="B173" s="126"/>
      <c r="C173" s="1166"/>
      <c r="D173" s="1175" t="s">
        <v>169</v>
      </c>
      <c r="E173" s="1175"/>
      <c r="F173" s="1174" t="s">
        <v>213</v>
      </c>
      <c r="G173" s="559" t="s">
        <v>214</v>
      </c>
      <c r="H173" s="1295">
        <v>0</v>
      </c>
      <c r="I173" s="99">
        <f>+'P01 2023'!BB152</f>
        <v>0</v>
      </c>
      <c r="J173" s="1157">
        <f ca="1">SUMIF(S$3:$AH160,"ok",S173:AH173)</f>
        <v>0</v>
      </c>
      <c r="K173" s="740">
        <f t="shared" ref="K173:K176" ca="1" si="81">IFERROR(J173/I173,"0,00"%)</f>
        <v>0</v>
      </c>
      <c r="L173" s="99">
        <f>+'P01 2023'!BC152</f>
        <v>0</v>
      </c>
      <c r="M173" s="740">
        <f>+IFERROR(L179/I179,0)</f>
        <v>0.65031221942522766</v>
      </c>
      <c r="N173" s="99">
        <f>+'P01 2023'!BE152</f>
        <v>0</v>
      </c>
      <c r="O173" s="631">
        <f>+IFERROR(#REF!/#REF!,0)</f>
        <v>0</v>
      </c>
      <c r="P173" s="1520">
        <f>+'P01 2022'!AZ127</f>
        <v>8982.35</v>
      </c>
      <c r="Q173" s="1121">
        <f ca="1">SUMIF(S$3:$AH163,"SI",S173:AH173)</f>
        <v>0</v>
      </c>
      <c r="R173" s="1308">
        <f ca="1">IFERROR(Q173/P173,"0,00%")</f>
        <v>0</v>
      </c>
      <c r="S173" s="1330">
        <v>0</v>
      </c>
      <c r="T173" s="1186">
        <v>0</v>
      </c>
      <c r="U173" s="1295">
        <v>0</v>
      </c>
      <c r="V173" s="1345">
        <v>0</v>
      </c>
      <c r="W173" s="578">
        <v>0</v>
      </c>
      <c r="X173" s="1345">
        <v>0</v>
      </c>
      <c r="Y173" s="1295">
        <v>0</v>
      </c>
      <c r="Z173" s="1188">
        <v>0</v>
      </c>
      <c r="AA173" s="245">
        <v>0</v>
      </c>
      <c r="AB173" s="4">
        <v>0</v>
      </c>
      <c r="AC173" s="4">
        <v>0</v>
      </c>
      <c r="AD173" s="4">
        <f>+'P01 2022'!DR107</f>
        <v>8321.1460000000006</v>
      </c>
      <c r="AE173" s="1345">
        <f>+'P01 2022'!EJ132</f>
        <v>0</v>
      </c>
      <c r="AF173" s="1359">
        <v>0</v>
      </c>
      <c r="AG173" s="99">
        <f>+'P01 2022'!GA119</f>
        <v>104.18300000000001</v>
      </c>
      <c r="AH173" s="1186">
        <v>0</v>
      </c>
      <c r="AI173" s="71"/>
      <c r="AJ173" s="1421"/>
      <c r="AK173" s="1421"/>
      <c r="AL173" s="1421"/>
      <c r="AM173" s="1421"/>
      <c r="AN173" s="71"/>
      <c r="AO173" s="1498"/>
      <c r="AP173" s="1498"/>
      <c r="AQ173" s="1498"/>
      <c r="AR173" s="1498"/>
      <c r="AS173" s="1480"/>
      <c r="AT173" s="417"/>
      <c r="AU173" s="803"/>
      <c r="AV173" s="803"/>
      <c r="AW173" s="803"/>
      <c r="AX173" s="803"/>
    </row>
    <row r="174" spans="1:50" s="180" customFormat="1" ht="15" customHeight="1" x14ac:dyDescent="0.25">
      <c r="A174" s="1508" t="s">
        <v>415</v>
      </c>
      <c r="B174" s="1411" t="s">
        <v>2</v>
      </c>
      <c r="C174" s="1291" t="s">
        <v>183</v>
      </c>
      <c r="D174" s="1291"/>
      <c r="E174" s="1291"/>
      <c r="F174" s="1291" t="str">
        <f>+CONCATENATE($B$169,"",C174,"",D174)</f>
        <v>29.07</v>
      </c>
      <c r="G174" s="558" t="s">
        <v>80</v>
      </c>
      <c r="H174" s="1293">
        <f>+H175</f>
        <v>232729</v>
      </c>
      <c r="I174" s="129">
        <f>+I175+I176</f>
        <v>232729</v>
      </c>
      <c r="J174" s="129">
        <f ca="1">SUMIF(S$3:$AH161,"ok",S174:AH174)</f>
        <v>4140</v>
      </c>
      <c r="K174" s="844">
        <f t="shared" ca="1" si="81"/>
        <v>1.7788930472781649E-2</v>
      </c>
      <c r="L174" s="129">
        <f>+L175+L176</f>
        <v>13497</v>
      </c>
      <c r="M174" s="844">
        <f>+IFERROR(#REF!/#REF!,0)</f>
        <v>0</v>
      </c>
      <c r="N174" s="129">
        <f>+N175+N176</f>
        <v>219232</v>
      </c>
      <c r="O174" s="1294">
        <f>+IFERROR(#REF!/#REF!,0)</f>
        <v>0</v>
      </c>
      <c r="P174" s="1207">
        <f>+P175</f>
        <v>169112.66999999998</v>
      </c>
      <c r="Q174" s="1207">
        <f ca="1">SUMIF(S$3:$AH164,"SI",S174:AH174)</f>
        <v>685.63499999999999</v>
      </c>
      <c r="R174" s="1306">
        <f t="shared" ref="R174:R181" ca="1" si="82">IFERROR(Q174/P174,"0%")</f>
        <v>4.054308881765039E-3</v>
      </c>
      <c r="S174" s="1330">
        <v>0</v>
      </c>
      <c r="T174" s="1331">
        <v>0</v>
      </c>
      <c r="U174" s="1330">
        <v>0</v>
      </c>
      <c r="V174" s="1356">
        <v>0</v>
      </c>
      <c r="W174" s="385">
        <v>0</v>
      </c>
      <c r="X174" s="247">
        <f>+X175</f>
        <v>685.63499999999999</v>
      </c>
      <c r="Y174" s="1296">
        <f>+Y175+Y176</f>
        <v>4140</v>
      </c>
      <c r="Z174" s="1209">
        <f>+Z175+Z176</f>
        <v>0</v>
      </c>
      <c r="AA174" s="1313">
        <f>+AA175</f>
        <v>15029.54</v>
      </c>
      <c r="AB174" s="1156">
        <f>+AB175</f>
        <v>8799.9989999999998</v>
      </c>
      <c r="AC174" s="1156">
        <f>+AC175</f>
        <v>14694.842000000001</v>
      </c>
      <c r="AD174" s="1156">
        <v>0</v>
      </c>
      <c r="AE174" s="1356">
        <f>+AE175</f>
        <v>57335.999000000003</v>
      </c>
      <c r="AF174" s="333">
        <f>+'P01 2022'!FC112</f>
        <v>4412.5</v>
      </c>
      <c r="AG174" s="1156">
        <v>0</v>
      </c>
      <c r="AH174" s="1186">
        <f>+'P01 2022'!GX126</f>
        <v>49314.837</v>
      </c>
      <c r="AI174" s="71"/>
      <c r="AJ174" s="1421"/>
      <c r="AK174" s="1421"/>
      <c r="AL174" s="1421"/>
      <c r="AM174" s="1421"/>
      <c r="AN174" s="71"/>
      <c r="AO174" s="1498"/>
      <c r="AP174" s="1498"/>
      <c r="AQ174" s="1498"/>
      <c r="AR174" s="1498"/>
      <c r="AS174" s="1480"/>
      <c r="AT174" s="417"/>
      <c r="AU174" s="803"/>
      <c r="AV174" s="803"/>
      <c r="AW174" s="803"/>
      <c r="AX174" s="803"/>
    </row>
    <row r="175" spans="1:50" s="180" customFormat="1" ht="15" customHeight="1" x14ac:dyDescent="0.25">
      <c r="A175" s="1508" t="s">
        <v>620</v>
      </c>
      <c r="B175" s="126"/>
      <c r="C175" s="1166"/>
      <c r="D175" s="1175" t="s">
        <v>169</v>
      </c>
      <c r="E175" s="1175"/>
      <c r="F175" s="18" t="str">
        <f>+CONCATENATE($B$169,"",$C$174,"",D175)</f>
        <v>29.07.001</v>
      </c>
      <c r="G175" s="1532" t="s">
        <v>216</v>
      </c>
      <c r="H175" s="1295">
        <f>+'P01 2023'!F138</f>
        <v>232729</v>
      </c>
      <c r="I175" s="99">
        <f>+'P01 2023'!BB141</f>
        <v>228589</v>
      </c>
      <c r="J175" s="1157">
        <f ca="1">SUMIF(S$3:$AH162,"ok",S175:AH175)</f>
        <v>0</v>
      </c>
      <c r="K175" s="740">
        <f t="shared" ca="1" si="81"/>
        <v>0</v>
      </c>
      <c r="L175" s="99">
        <f>+'P01 2023'!BC141</f>
        <v>9357</v>
      </c>
      <c r="M175" s="740">
        <f>+M176+M177</f>
        <v>0.99999798534238249</v>
      </c>
      <c r="N175" s="99">
        <f>+'P01 2023'!BE141</f>
        <v>219232</v>
      </c>
      <c r="O175" s="631">
        <f>+IFERROR(N180/I180,0)</f>
        <v>0</v>
      </c>
      <c r="P175" s="1520">
        <f>+'P01 2022'!AZ129</f>
        <v>169112.66999999998</v>
      </c>
      <c r="Q175" s="1121">
        <f ca="1">SUMIF(S$3:$AH165,"SI",S175:AH175)</f>
        <v>685.63499999999999</v>
      </c>
      <c r="R175" s="1308">
        <f t="shared" ca="1" si="82"/>
        <v>4.054308881765039E-3</v>
      </c>
      <c r="S175" s="1330">
        <v>0</v>
      </c>
      <c r="T175" s="1186">
        <v>0</v>
      </c>
      <c r="U175" s="1295">
        <v>0</v>
      </c>
      <c r="V175" s="1345">
        <v>0</v>
      </c>
      <c r="W175" s="578">
        <v>0</v>
      </c>
      <c r="X175" s="1345">
        <f>+'P01 2022'!AB111</f>
        <v>685.63499999999999</v>
      </c>
      <c r="Y175" s="1295">
        <f>+'P01 2023'!AT114</f>
        <v>0</v>
      </c>
      <c r="Z175" s="1186">
        <f>+'P01 2022'!AQ116</f>
        <v>0</v>
      </c>
      <c r="AA175" s="219">
        <f>+'P01 2022'!BI102</f>
        <v>15029.54</v>
      </c>
      <c r="AB175" s="19">
        <f>+'P01 2022'!CC114</f>
        <v>8799.9989999999998</v>
      </c>
      <c r="AC175" s="19">
        <f>+'P01 2022'!CY113</f>
        <v>14694.842000000001</v>
      </c>
      <c r="AD175" s="19">
        <v>0</v>
      </c>
      <c r="AE175" s="1345">
        <f>+'P01 2022'!EJ117</f>
        <v>57335.999000000003</v>
      </c>
      <c r="AF175" s="333">
        <f>+'P01 2022'!FC113</f>
        <v>4412.5</v>
      </c>
      <c r="AG175" s="4">
        <v>0</v>
      </c>
      <c r="AH175" s="1186">
        <f>+'P01 2022'!GX127</f>
        <v>29366.056</v>
      </c>
      <c r="AI175" s="71"/>
      <c r="AJ175" s="1421"/>
      <c r="AK175" s="1421"/>
      <c r="AL175" s="1421"/>
      <c r="AM175" s="1421"/>
      <c r="AN175" s="71"/>
      <c r="AO175" s="1498"/>
      <c r="AP175" s="1498"/>
      <c r="AQ175" s="1498"/>
      <c r="AR175" s="1498"/>
      <c r="AS175" s="1480"/>
      <c r="AT175" s="417"/>
      <c r="AU175" s="803"/>
      <c r="AV175" s="803"/>
      <c r="AW175" s="803"/>
      <c r="AX175" s="803"/>
    </row>
    <row r="176" spans="1:50" s="180" customFormat="1" ht="15" customHeight="1" x14ac:dyDescent="0.25">
      <c r="A176" s="1508" t="s">
        <v>914</v>
      </c>
      <c r="B176" s="126"/>
      <c r="C176" s="1166"/>
      <c r="D176" s="1175"/>
      <c r="E176" s="1175"/>
      <c r="F176" s="18" t="s">
        <v>1022</v>
      </c>
      <c r="G176" s="1532" t="s">
        <v>1021</v>
      </c>
      <c r="H176" s="1295">
        <v>0</v>
      </c>
      <c r="I176" s="99">
        <f>+'P01 2023'!BB142</f>
        <v>4140</v>
      </c>
      <c r="J176" s="1157">
        <f ca="1">SUMIF(S$3:$AH163,"ok",S176:AH176)</f>
        <v>4140</v>
      </c>
      <c r="K176" s="740">
        <f t="shared" ca="1" si="81"/>
        <v>1</v>
      </c>
      <c r="L176" s="99">
        <f>+'P01 2023'!BC142</f>
        <v>4140</v>
      </c>
      <c r="M176" s="740">
        <f>+IFERROR(L180/I180,0)</f>
        <v>0</v>
      </c>
      <c r="N176" s="99">
        <f>+'P01 2023'!BE142</f>
        <v>0</v>
      </c>
      <c r="O176" s="631">
        <f>+IFERROR(#REF!/#REF!,0)</f>
        <v>0</v>
      </c>
      <c r="P176" s="1520">
        <v>0</v>
      </c>
      <c r="Q176" s="1121">
        <f ca="1">SUMIF(S$3:$AH166,"SI",S176:AH176)</f>
        <v>0</v>
      </c>
      <c r="R176" s="1308" t="str">
        <f ca="1">IFERROR(Q176/P176,"0,00%")</f>
        <v>0,00%</v>
      </c>
      <c r="S176" s="1323">
        <v>0</v>
      </c>
      <c r="T176" s="1186">
        <v>0</v>
      </c>
      <c r="U176" s="1295">
        <v>0</v>
      </c>
      <c r="V176" s="1345">
        <v>0</v>
      </c>
      <c r="W176" s="578">
        <v>0</v>
      </c>
      <c r="X176" s="1345">
        <v>0</v>
      </c>
      <c r="Y176" s="1295">
        <f>+'P01 2023'!AT115</f>
        <v>4140</v>
      </c>
      <c r="Z176" s="1186">
        <v>0</v>
      </c>
      <c r="AA176" s="219"/>
      <c r="AB176" s="19"/>
      <c r="AC176" s="19"/>
      <c r="AD176" s="19"/>
      <c r="AE176" s="1345"/>
      <c r="AF176" s="333"/>
      <c r="AG176" s="4">
        <v>0</v>
      </c>
      <c r="AH176" s="1186">
        <f>+'P01 2022'!GX128</f>
        <v>19948.780999999999</v>
      </c>
      <c r="AI176" s="71"/>
      <c r="AJ176" s="1421"/>
      <c r="AK176" s="1421"/>
      <c r="AL176" s="1421"/>
      <c r="AM176" s="1421"/>
      <c r="AN176" s="71"/>
      <c r="AO176" s="1498"/>
      <c r="AP176" s="1498"/>
      <c r="AQ176" s="1498"/>
      <c r="AR176" s="1498"/>
      <c r="AS176" s="1480"/>
      <c r="AT176" s="417"/>
      <c r="AU176" s="803"/>
      <c r="AV176" s="803"/>
      <c r="AW176" s="803"/>
      <c r="AX176" s="803"/>
    </row>
    <row r="177" spans="1:50" s="180" customFormat="1" ht="15" customHeight="1" x14ac:dyDescent="0.25">
      <c r="A177" s="1508" t="s">
        <v>416</v>
      </c>
      <c r="B177" s="21">
        <v>34</v>
      </c>
      <c r="C177" s="1169"/>
      <c r="D177" s="24"/>
      <c r="E177" s="24"/>
      <c r="F177" s="24"/>
      <c r="G177" s="558" t="s">
        <v>83</v>
      </c>
      <c r="H177" s="1296">
        <f>SUM(H178:H181)</f>
        <v>17962478</v>
      </c>
      <c r="I177" s="17">
        <f>SUM(I178:I181)</f>
        <v>18420114</v>
      </c>
      <c r="J177" s="129">
        <f ca="1">+J178+J179+J180+J181</f>
        <v>9420439.0690000001</v>
      </c>
      <c r="K177" s="844">
        <f t="shared" ca="1" si="67"/>
        <v>0.51142132285391939</v>
      </c>
      <c r="L177" s="129">
        <f>+L178+L179+L180+L181</f>
        <v>9420439.0690000001</v>
      </c>
      <c r="M177" s="844">
        <f t="shared" ref="M177" si="83">+M178+M179+M180+M181</f>
        <v>0.99999798534238249</v>
      </c>
      <c r="N177" s="129">
        <f>SUM(N178:N181)</f>
        <v>8999674.9309999999</v>
      </c>
      <c r="O177" s="1294">
        <f>+IFERROR(#REF!/#REF!,0)</f>
        <v>0</v>
      </c>
      <c r="P177" s="1522">
        <f>+P178+P179+P180+P181</f>
        <v>16661089.949999999</v>
      </c>
      <c r="Q177" s="1154">
        <f ca="1">SUM(Q178:Q181)</f>
        <v>9862627.8430479988</v>
      </c>
      <c r="R177" s="1309">
        <f t="shared" ca="1" si="82"/>
        <v>0.591955740749602</v>
      </c>
      <c r="S177" s="1333">
        <f>SUM(S178:S181)</f>
        <v>1044492.824</v>
      </c>
      <c r="T177" s="1213">
        <f>SUM(T178:T181)</f>
        <v>319927.23961699998</v>
      </c>
      <c r="U177" s="1325">
        <f>+'P01 2023'!N95</f>
        <v>1149.0160000000001</v>
      </c>
      <c r="V177" s="1348">
        <f>+SUM(V178:V181)</f>
        <v>254638.957421</v>
      </c>
      <c r="W177" s="1404">
        <f>+'P01 2023'!AD118</f>
        <v>7043505.9409999996</v>
      </c>
      <c r="X177" s="1348">
        <f>SUM(X178:X181)</f>
        <v>7881772.2622389998</v>
      </c>
      <c r="Y177" s="1489">
        <f>SUM(Y178:Y181)</f>
        <v>1331291.2879999999</v>
      </c>
      <c r="Z177" s="1211">
        <f>SUM(Z178:Z181)</f>
        <v>1406289.383771</v>
      </c>
      <c r="AA177" s="1203"/>
      <c r="AB177" s="190">
        <f>SUM(AB178:AB181)</f>
        <v>141744.19500000001</v>
      </c>
      <c r="AC177" s="190">
        <f>+AC178+AC179+AC180+AC181</f>
        <v>255895.592</v>
      </c>
      <c r="AD177" s="190">
        <v>0</v>
      </c>
      <c r="AE177" s="1348">
        <f>+AE178+AE179+AE180+AE181</f>
        <v>0</v>
      </c>
      <c r="AF177" s="134">
        <f>+'P01 2022'!FC114</f>
        <v>1513006.736</v>
      </c>
      <c r="AG177" s="190">
        <v>0</v>
      </c>
      <c r="AH177" s="1185">
        <f>+'P01 2022'!GX129</f>
        <v>8417250.4969999995</v>
      </c>
      <c r="AI177" s="71"/>
      <c r="AJ177" s="1421"/>
      <c r="AK177" s="1421"/>
      <c r="AL177" s="1421"/>
      <c r="AM177" s="1421"/>
      <c r="AN177" s="71"/>
      <c r="AO177" s="1498"/>
      <c r="AP177" s="1498"/>
      <c r="AQ177" s="1498"/>
      <c r="AR177" s="1498"/>
      <c r="AS177" s="1480"/>
      <c r="AT177" s="417"/>
      <c r="AU177" s="803"/>
      <c r="AV177" s="803"/>
      <c r="AW177" s="803"/>
      <c r="AX177" s="803"/>
    </row>
    <row r="178" spans="1:50" s="180" customFormat="1" ht="15" customHeight="1" x14ac:dyDescent="0.25">
      <c r="A178" s="1508" t="s">
        <v>417</v>
      </c>
      <c r="B178" s="126"/>
      <c r="C178" s="1176">
        <v>2</v>
      </c>
      <c r="D178" s="1175"/>
      <c r="E178" s="1175"/>
      <c r="F178" s="1177" t="s">
        <v>203</v>
      </c>
      <c r="G178" s="1539" t="s">
        <v>872</v>
      </c>
      <c r="H178" s="1295">
        <f>+'P01 2023'!F141</f>
        <v>15463357</v>
      </c>
      <c r="I178" s="99">
        <f>+'P01 2023'!BB144</f>
        <v>15463357</v>
      </c>
      <c r="J178" s="1157">
        <f ca="1">SUMIF(S$3:$AH168,"ok",S178:AH178)</f>
        <v>7337591.5699999994</v>
      </c>
      <c r="K178" s="740">
        <f t="shared" ca="1" si="67"/>
        <v>0.47451478808902875</v>
      </c>
      <c r="L178" s="99">
        <f>+'P01 2023'!BC144</f>
        <v>7337591.5700000003</v>
      </c>
      <c r="M178" s="740">
        <f>+IFERROR(L181/I181,0)</f>
        <v>0.99999798534238249</v>
      </c>
      <c r="N178" s="99">
        <f>+'P01 2023'!BE144</f>
        <v>8125765.4299999997</v>
      </c>
      <c r="O178" s="631">
        <f>+IFERROR(N183/I182,0)</f>
        <v>0</v>
      </c>
      <c r="P178" s="221">
        <f>+'P01 2022'!AZ132</f>
        <v>14023529.704</v>
      </c>
      <c r="Q178" s="99">
        <f ca="1">SUMIF(S$3:$AH169,"SI",S178:AH178)</f>
        <v>7890517.7014290001</v>
      </c>
      <c r="R178" s="1310">
        <f t="shared" ca="1" si="82"/>
        <v>0.56266274382963288</v>
      </c>
      <c r="S178" s="1330">
        <v>0</v>
      </c>
      <c r="T178" s="1186">
        <f>+'P01 2022'!F124</f>
        <v>0</v>
      </c>
      <c r="U178" s="1295">
        <v>0</v>
      </c>
      <c r="V178" s="1345">
        <v>0</v>
      </c>
      <c r="W178" s="578">
        <f>+'P01 2023'!AD119</f>
        <v>6079119.4299999997</v>
      </c>
      <c r="X178" s="1345">
        <f>+'P01 2022'!AB114</f>
        <v>6518590.8769180002</v>
      </c>
      <c r="Y178" s="1295">
        <f>+'P01 2023'!AT117</f>
        <v>1258472.1399999999</v>
      </c>
      <c r="Z178" s="1186">
        <f>+'P01 2022'!AQ118</f>
        <v>1371926.824511</v>
      </c>
      <c r="AA178" s="219"/>
      <c r="AB178" s="19">
        <f>+'P01 2022'!CC116</f>
        <v>118876.727</v>
      </c>
      <c r="AC178" s="19">
        <v>0</v>
      </c>
      <c r="AD178" s="19">
        <v>0</v>
      </c>
      <c r="AE178" s="1345">
        <f>+'P01 2022'!EJ136</f>
        <v>0</v>
      </c>
      <c r="AF178" s="333">
        <f>+'P01 2022'!FC115</f>
        <v>1445419.0889999999</v>
      </c>
      <c r="AG178" s="188">
        <v>0</v>
      </c>
      <c r="AH178" s="1186">
        <f>+'P01 2022'!GX130</f>
        <v>7102184.4649999999</v>
      </c>
      <c r="AI178" s="71"/>
      <c r="AJ178" s="1421"/>
      <c r="AK178" s="1421"/>
      <c r="AL178" s="1421"/>
      <c r="AM178" s="1421"/>
      <c r="AN178" s="71"/>
      <c r="AO178" s="1498"/>
      <c r="AP178" s="1498"/>
      <c r="AQ178" s="1498"/>
      <c r="AR178" s="1498"/>
      <c r="AS178" s="1480"/>
      <c r="AT178" s="417"/>
      <c r="AU178" s="803"/>
      <c r="AV178" s="803"/>
      <c r="AW178" s="803"/>
      <c r="AX178" s="803"/>
    </row>
    <row r="179" spans="1:50" s="180" customFormat="1" ht="15" customHeight="1" x14ac:dyDescent="0.25">
      <c r="A179" s="1508" t="s">
        <v>419</v>
      </c>
      <c r="B179" s="126"/>
      <c r="C179" s="1176">
        <v>4</v>
      </c>
      <c r="D179" s="1175"/>
      <c r="E179" s="1175"/>
      <c r="F179" s="1177" t="s">
        <v>204</v>
      </c>
      <c r="G179" s="1539" t="s">
        <v>85</v>
      </c>
      <c r="H179" s="1295">
        <f>+'P01 2023'!F143</f>
        <v>2499111</v>
      </c>
      <c r="I179" s="99">
        <f>+'P01 2023'!BB146</f>
        <v>2499111</v>
      </c>
      <c r="J179" s="1157">
        <f ca="1">SUMIF(S$3:$AH169,"ok",S179:AH179)</f>
        <v>1625202.4210000001</v>
      </c>
      <c r="K179" s="740">
        <f ca="1">IFERROR(J179/I179,"0,00"%)</f>
        <v>0.65031221942522766</v>
      </c>
      <c r="L179" s="99">
        <f>+'P01 2023'!BC146</f>
        <v>1625202.4210000001</v>
      </c>
      <c r="M179" s="740">
        <f>+IFERROR(#REF!/I182,0)</f>
        <v>0</v>
      </c>
      <c r="N179" s="99">
        <f>+'P01 2023'!BE146</f>
        <v>873908.57900000003</v>
      </c>
      <c r="O179" s="631">
        <f>+IFERROR(N186/#REF!,0)</f>
        <v>0</v>
      </c>
      <c r="P179" s="221">
        <f>+'P01 2022'!AZ134</f>
        <v>2406447.0379999997</v>
      </c>
      <c r="Q179" s="99">
        <f ca="1">SUMIF(S$3:$AH170,"SI",S179:AH179)</f>
        <v>1509618.2881409996</v>
      </c>
      <c r="R179" s="1310">
        <f t="shared" ca="1" si="82"/>
        <v>0.62732246515412393</v>
      </c>
      <c r="S179" s="1330">
        <f>+'P01 2023'!I143</f>
        <v>587996.76199999999</v>
      </c>
      <c r="T179" s="1186">
        <f>+'P01 2022'!F126</f>
        <v>139907.20527899999</v>
      </c>
      <c r="U179" s="1295">
        <v>0</v>
      </c>
      <c r="V179" s="1345">
        <v>0</v>
      </c>
      <c r="W179" s="578">
        <f>+'P01 2023'!AD121</f>
        <v>964386.51100000006</v>
      </c>
      <c r="X179" s="1345">
        <f>+'P01 2022'!AB115</f>
        <v>1335348.5236019997</v>
      </c>
      <c r="Y179" s="1295">
        <f>+'P01 2023'!AT119</f>
        <v>72819.148000000001</v>
      </c>
      <c r="Z179" s="1186">
        <f>+'P01 2022'!AQ120</f>
        <v>34362.559260000002</v>
      </c>
      <c r="AA179" s="219"/>
      <c r="AB179" s="19">
        <f>+'P01 2022'!CC118</f>
        <v>22867.468000000001</v>
      </c>
      <c r="AC179" s="19">
        <f>+'P01 2022'!CY117</f>
        <v>255588.31599999999</v>
      </c>
      <c r="AD179" s="19">
        <v>0</v>
      </c>
      <c r="AE179" s="1345">
        <f>+'P01 2022'!EJ137</f>
        <v>0</v>
      </c>
      <c r="AF179" s="333">
        <f>+'P01 2022'!FC117</f>
        <v>67587.646999999997</v>
      </c>
      <c r="AG179" s="188">
        <v>0</v>
      </c>
      <c r="AH179" s="1186">
        <f>+'P01 2022'!GX132</f>
        <v>1315066.0319999999</v>
      </c>
      <c r="AI179" s="71"/>
      <c r="AJ179" s="1421"/>
      <c r="AK179" s="1421"/>
      <c r="AL179" s="1421"/>
      <c r="AM179" s="1421"/>
      <c r="AN179" s="71"/>
      <c r="AO179" s="1498"/>
      <c r="AP179" s="1498"/>
      <c r="AQ179" s="1498"/>
      <c r="AR179" s="1498"/>
      <c r="AS179" s="1480"/>
      <c r="AT179" s="417"/>
      <c r="AU179" s="803"/>
      <c r="AV179" s="803"/>
      <c r="AW179" s="803"/>
      <c r="AX179" s="803"/>
    </row>
    <row r="180" spans="1:50" s="180" customFormat="1" ht="15" customHeight="1" x14ac:dyDescent="0.25">
      <c r="A180" s="1508" t="s">
        <v>622</v>
      </c>
      <c r="B180" s="126"/>
      <c r="C180" s="1176">
        <v>6</v>
      </c>
      <c r="D180" s="1175"/>
      <c r="E180" s="1175"/>
      <c r="F180" s="1177" t="s">
        <v>296</v>
      </c>
      <c r="G180" s="1539" t="s">
        <v>295</v>
      </c>
      <c r="H180" s="1295">
        <v>0</v>
      </c>
      <c r="I180" s="99">
        <f>+'P01 2023'!BB162</f>
        <v>0</v>
      </c>
      <c r="J180" s="1157">
        <f ca="1">SUMIF(S$3:$AH172,"ok",S180:AH180)</f>
        <v>0</v>
      </c>
      <c r="K180" s="740">
        <f t="shared" ref="K180:K181" ca="1" si="84">IFERROR(J180/I180,"0,00"%)</f>
        <v>0</v>
      </c>
      <c r="L180" s="99">
        <f>+'P01 2023'!BC162</f>
        <v>0</v>
      </c>
      <c r="M180" s="740">
        <f>+IFERROR(#REF!/#REF!,0)</f>
        <v>0</v>
      </c>
      <c r="N180" s="99">
        <f>+'P01 2023'!BE162</f>
        <v>0</v>
      </c>
      <c r="O180" s="631">
        <f>+IFERROR(N187/#REF!,0)</f>
        <v>0</v>
      </c>
      <c r="P180" s="221">
        <f>+'P01 2022'!AZ137</f>
        <v>231102.57799999998</v>
      </c>
      <c r="Q180" s="99">
        <f ca="1">SUMIF(S$3:$AH172,"SI",S180:AH180)</f>
        <v>101140.543475</v>
      </c>
      <c r="R180" s="1310">
        <f t="shared" ca="1" si="82"/>
        <v>0.43764351029870385</v>
      </c>
      <c r="S180" s="1330">
        <v>0</v>
      </c>
      <c r="T180" s="1186">
        <f>+'P01 2022'!F129</f>
        <v>101140.543475</v>
      </c>
      <c r="U180" s="1295">
        <v>0</v>
      </c>
      <c r="V180" s="1345">
        <v>0</v>
      </c>
      <c r="W180" s="578">
        <v>0</v>
      </c>
      <c r="X180" s="1345">
        <v>0</v>
      </c>
      <c r="Y180" s="1295">
        <v>0</v>
      </c>
      <c r="Z180" s="1188">
        <v>0</v>
      </c>
      <c r="AA180" s="219"/>
      <c r="AB180" s="19">
        <v>0</v>
      </c>
      <c r="AC180" s="19">
        <f>+'P01 2022'!CY120</f>
        <v>307.27600000000001</v>
      </c>
      <c r="AD180" s="19">
        <v>0</v>
      </c>
      <c r="AE180" s="1345">
        <f>+'P01 2022'!EJ138</f>
        <v>0</v>
      </c>
      <c r="AF180" s="1359">
        <v>0</v>
      </c>
      <c r="AG180" s="19">
        <v>0</v>
      </c>
      <c r="AH180" s="1191">
        <v>0</v>
      </c>
      <c r="AI180" s="71"/>
      <c r="AJ180" s="1421"/>
      <c r="AK180" s="1421"/>
      <c r="AL180" s="1421"/>
      <c r="AM180" s="1421"/>
      <c r="AN180" s="71"/>
      <c r="AO180" s="1498"/>
      <c r="AP180" s="1498"/>
      <c r="AQ180" s="1498"/>
      <c r="AR180" s="1498"/>
      <c r="AS180" s="1480"/>
      <c r="AT180" s="417"/>
      <c r="AU180" s="803"/>
      <c r="AV180" s="803"/>
      <c r="AW180" s="803"/>
      <c r="AX180" s="803"/>
    </row>
    <row r="181" spans="1:50" s="180" customFormat="1" ht="15" customHeight="1" x14ac:dyDescent="0.25">
      <c r="A181" s="1508" t="s">
        <v>422</v>
      </c>
      <c r="B181" s="126"/>
      <c r="C181" s="1176">
        <v>7</v>
      </c>
      <c r="D181" s="1175"/>
      <c r="E181" s="1175"/>
      <c r="F181" s="1177" t="s">
        <v>205</v>
      </c>
      <c r="G181" s="1539" t="s">
        <v>128</v>
      </c>
      <c r="H181" s="1295">
        <f>+'P01 2023'!F146</f>
        <v>10</v>
      </c>
      <c r="I181" s="99">
        <f>+'P01 2023'!BB149</f>
        <v>457646</v>
      </c>
      <c r="J181" s="1157">
        <f ca="1">SUMIF(S$3:$AH173,"ok",S181:AH181)</f>
        <v>457645.07799999998</v>
      </c>
      <c r="K181" s="740">
        <f t="shared" ca="1" si="84"/>
        <v>0.99999798534238249</v>
      </c>
      <c r="L181" s="99">
        <f>+'P01 2023'!BC149</f>
        <v>457645.07799999998</v>
      </c>
      <c r="M181" s="740">
        <f>+IFERROR(L185/#REF!,0)</f>
        <v>0</v>
      </c>
      <c r="N181" s="1234">
        <f>+'P01 2023'!BE149</f>
        <v>0.92200000000000004</v>
      </c>
      <c r="O181" s="631">
        <f>+IFERROR(#REF!/#REF!,0)</f>
        <v>0</v>
      </c>
      <c r="P181" s="1543">
        <f>+'P01 2022'!AZ139</f>
        <v>10.629999999999999</v>
      </c>
      <c r="Q181" s="1287">
        <f ca="1">SUMIF(S$3:$AH173,"SI",S181:AH181)</f>
        <v>361351.31000299996</v>
      </c>
      <c r="R181" s="1485">
        <f t="shared" ca="1" si="82"/>
        <v>33993.538099999998</v>
      </c>
      <c r="S181" s="1330">
        <f>+'P01 2023'!I146</f>
        <v>456496.06199999998</v>
      </c>
      <c r="T181" s="1186">
        <f>+'P01 2022'!F131</f>
        <v>78879.490862999985</v>
      </c>
      <c r="U181" s="1295">
        <f>+'P01 2023'!N96</f>
        <v>1149.0160000000001</v>
      </c>
      <c r="V181" s="1345">
        <f>+'P01 2022'!M99</f>
        <v>254638.957421</v>
      </c>
      <c r="W181" s="578">
        <v>0</v>
      </c>
      <c r="X181" s="1345">
        <f>+'P01 2022'!AB118</f>
        <v>27832.861718999997</v>
      </c>
      <c r="Y181" s="1295">
        <v>0</v>
      </c>
      <c r="Z181" s="1186">
        <v>0</v>
      </c>
      <c r="AA181" s="219"/>
      <c r="AB181" s="19">
        <v>0</v>
      </c>
      <c r="AC181" s="19">
        <v>0</v>
      </c>
      <c r="AD181" s="19">
        <v>0</v>
      </c>
      <c r="AE181" s="1345">
        <f>+'P01 2022'!EJ139</f>
        <v>0</v>
      </c>
      <c r="AF181" s="1358">
        <v>0</v>
      </c>
      <c r="AG181" s="19">
        <v>0</v>
      </c>
      <c r="AH181" s="1186">
        <v>0</v>
      </c>
      <c r="AI181" s="71"/>
      <c r="AJ181" s="1421"/>
      <c r="AK181" s="1421"/>
      <c r="AL181" s="1421"/>
      <c r="AM181" s="1421"/>
      <c r="AN181" s="71"/>
      <c r="AO181" s="1498"/>
      <c r="AP181" s="1498"/>
      <c r="AQ181" s="1498"/>
      <c r="AR181" s="1498"/>
      <c r="AS181" s="1480"/>
      <c r="AT181" s="417"/>
      <c r="AU181" s="803"/>
      <c r="AV181" s="803"/>
      <c r="AW181" s="803"/>
      <c r="AX181" s="803"/>
    </row>
    <row r="182" spans="1:50" s="180" customFormat="1" ht="15" customHeight="1" thickBot="1" x14ac:dyDescent="0.3">
      <c r="A182" s="1508"/>
      <c r="B182" s="31">
        <v>35</v>
      </c>
      <c r="C182" s="1195"/>
      <c r="D182" s="34"/>
      <c r="E182" s="34"/>
      <c r="F182" s="34"/>
      <c r="G182" s="561" t="s">
        <v>125</v>
      </c>
      <c r="H182" s="1300">
        <v>0</v>
      </c>
      <c r="I182" s="1196">
        <f>+'P01 2023'!BB165</f>
        <v>0</v>
      </c>
      <c r="J182" s="1196">
        <f ca="1">SUMIF(S$3:$AH175,"ok",S182:AH182)</f>
        <v>0</v>
      </c>
      <c r="K182" s="1197">
        <f ca="1">IFERROR(J182/I182,"0,00"%)</f>
        <v>0</v>
      </c>
      <c r="L182" s="1196">
        <v>0</v>
      </c>
      <c r="M182" s="1198">
        <f>+IFERROR(L186/#REF!,0)</f>
        <v>0</v>
      </c>
      <c r="N182" s="1196">
        <f>+'P01 2023'!BE165</f>
        <v>0</v>
      </c>
      <c r="O182" s="1529">
        <f>+IFERROR(#REF!/#REF!,0)</f>
        <v>0</v>
      </c>
      <c r="P182" s="1524">
        <v>0</v>
      </c>
      <c r="Q182" s="1196">
        <f ca="1">SUMIF(S$3:$AH175,"SI",S182:AH182)</f>
        <v>0</v>
      </c>
      <c r="R182" s="1311" t="str">
        <f ca="1">IFERROR(Q182/P182,"0,00%")</f>
        <v>0,00%</v>
      </c>
      <c r="S182" s="1334">
        <v>0</v>
      </c>
      <c r="T182" s="1335">
        <v>0</v>
      </c>
      <c r="U182" s="1300">
        <v>0</v>
      </c>
      <c r="V182" s="1357">
        <v>0</v>
      </c>
      <c r="W182" s="1405">
        <v>0</v>
      </c>
      <c r="X182" s="1357">
        <v>0</v>
      </c>
      <c r="Y182" s="1491">
        <v>0</v>
      </c>
      <c r="Z182" s="1200">
        <v>0</v>
      </c>
      <c r="AA182" s="1208"/>
      <c r="AB182" s="1199">
        <v>0</v>
      </c>
      <c r="AC182" s="1199">
        <v>0</v>
      </c>
      <c r="AD182" s="1199">
        <v>0</v>
      </c>
      <c r="AE182" s="1357" t="e">
        <f>+#REF!</f>
        <v>#REF!</v>
      </c>
      <c r="AF182" s="1199">
        <v>0</v>
      </c>
      <c r="AG182" s="1199">
        <v>0</v>
      </c>
      <c r="AH182" s="1200">
        <v>0</v>
      </c>
      <c r="AI182" s="71"/>
      <c r="AJ182" s="1421"/>
      <c r="AK182" s="1421"/>
      <c r="AL182" s="1421"/>
      <c r="AM182" s="1421"/>
      <c r="AN182" s="71"/>
      <c r="AO182" s="1498"/>
      <c r="AP182" s="1498"/>
      <c r="AQ182" s="1498"/>
      <c r="AR182" s="1498"/>
      <c r="AS182" s="1480"/>
      <c r="AU182" s="1150"/>
    </row>
    <row r="183" spans="1:50" s="180" customFormat="1" ht="15" x14ac:dyDescent="0.25">
      <c r="A183" s="1508"/>
      <c r="B183" s="194"/>
      <c r="C183" s="195"/>
      <c r="D183" s="196"/>
      <c r="E183" s="196"/>
      <c r="F183" s="196"/>
      <c r="G183" s="197"/>
      <c r="H183" s="199"/>
      <c r="I183" s="199"/>
      <c r="J183" s="199"/>
      <c r="K183" s="848"/>
      <c r="L183" s="199"/>
      <c r="M183" s="848"/>
      <c r="N183" s="199"/>
      <c r="O183" s="848"/>
      <c r="P183" s="199"/>
      <c r="Q183" s="199"/>
      <c r="R183" s="848"/>
      <c r="S183" s="1124"/>
      <c r="T183" s="199"/>
      <c r="U183" s="199"/>
      <c r="V183" s="198"/>
      <c r="W183" s="198"/>
      <c r="X183" s="198"/>
      <c r="Y183" s="198"/>
      <c r="Z183" s="198"/>
      <c r="AA183" s="198"/>
      <c r="AB183" s="198"/>
      <c r="AC183" s="198"/>
      <c r="AD183" s="198"/>
      <c r="AE183" s="198"/>
      <c r="AF183" s="198"/>
      <c r="AG183" s="198"/>
      <c r="AH183" s="198"/>
      <c r="AI183" s="1505"/>
      <c r="AJ183" s="1506"/>
      <c r="AK183" s="1421"/>
      <c r="AL183" s="1421"/>
      <c r="AM183" s="1421"/>
      <c r="AN183" s="1505"/>
      <c r="AO183" s="1498"/>
      <c r="AP183" s="1498"/>
      <c r="AQ183" s="1498"/>
      <c r="AR183" s="1498"/>
      <c r="AS183" s="1480"/>
      <c r="AU183" s="1150"/>
    </row>
    <row r="184" spans="1:50" x14ac:dyDescent="0.2">
      <c r="B184" s="194"/>
      <c r="C184" s="195"/>
      <c r="D184" s="196"/>
      <c r="E184" s="196"/>
      <c r="F184" s="196"/>
      <c r="G184" s="197"/>
      <c r="H184" s="199"/>
      <c r="P184" s="176"/>
      <c r="V184" s="175"/>
      <c r="W184" s="175"/>
      <c r="Z184" s="175"/>
      <c r="AI184" s="1505"/>
      <c r="AJ184" s="1506"/>
      <c r="AK184" s="1506"/>
      <c r="AL184" s="1506"/>
      <c r="AM184" s="1506"/>
      <c r="AN184" s="1505"/>
      <c r="AO184" s="1507"/>
      <c r="AP184" s="1507"/>
      <c r="AQ184" s="1507"/>
      <c r="AR184" s="1507"/>
    </row>
    <row r="185" spans="1:50" x14ac:dyDescent="0.2">
      <c r="B185" s="194"/>
      <c r="C185" s="195"/>
      <c r="D185" s="196"/>
      <c r="E185" s="196"/>
      <c r="F185" s="196"/>
      <c r="G185" s="197"/>
      <c r="H185" s="199"/>
      <c r="P185" s="176"/>
      <c r="V185" s="175"/>
      <c r="W185" s="175"/>
      <c r="Z185" s="175"/>
      <c r="AI185" s="1505"/>
      <c r="AJ185" s="1506"/>
      <c r="AK185" s="1506"/>
      <c r="AL185" s="1506"/>
      <c r="AM185" s="1506"/>
      <c r="AN185" s="1505"/>
      <c r="AO185" s="1507"/>
      <c r="AP185" s="1507"/>
      <c r="AQ185" s="1507"/>
      <c r="AR185" s="1507"/>
    </row>
    <row r="186" spans="1:50" x14ac:dyDescent="0.2">
      <c r="B186" s="194"/>
      <c r="C186" s="195"/>
      <c r="D186" s="196"/>
      <c r="E186" s="196"/>
      <c r="F186" s="196"/>
      <c r="G186" s="200"/>
      <c r="H186" s="1118"/>
      <c r="P186" s="176"/>
      <c r="V186" s="175"/>
      <c r="W186" s="175"/>
      <c r="Z186" s="175"/>
      <c r="AI186" s="1505"/>
      <c r="AJ186" s="1506"/>
      <c r="AK186" s="1506"/>
      <c r="AL186" s="1506"/>
      <c r="AM186" s="1506"/>
      <c r="AN186" s="1505"/>
      <c r="AO186" s="1507"/>
      <c r="AP186" s="1507"/>
      <c r="AQ186" s="1507"/>
      <c r="AR186" s="1507"/>
    </row>
    <row r="187" spans="1:50" x14ac:dyDescent="0.2">
      <c r="B187" s="194"/>
      <c r="C187" s="195"/>
      <c r="D187" s="196"/>
      <c r="E187" s="196"/>
      <c r="F187" s="196"/>
      <c r="G187" s="198"/>
      <c r="H187" s="199"/>
      <c r="I187" s="199"/>
      <c r="P187" s="176"/>
      <c r="V187" s="175"/>
      <c r="W187" s="175"/>
      <c r="Z187" s="175"/>
      <c r="AI187" s="1505"/>
      <c r="AJ187" s="1506"/>
      <c r="AK187" s="1506"/>
      <c r="AL187" s="1506"/>
      <c r="AM187" s="1506"/>
      <c r="AN187" s="1505"/>
      <c r="AO187" s="1507"/>
      <c r="AP187" s="1507"/>
      <c r="AQ187" s="1507"/>
      <c r="AR187" s="1507"/>
    </row>
    <row r="188" spans="1:50" x14ac:dyDescent="0.2">
      <c r="B188" s="194"/>
      <c r="C188" s="195"/>
      <c r="D188" s="196"/>
      <c r="E188" s="196"/>
      <c r="F188" s="196"/>
      <c r="G188" s="198"/>
      <c r="H188" s="199"/>
      <c r="I188" s="199"/>
      <c r="P188" s="848"/>
      <c r="V188" s="175"/>
      <c r="W188" s="175"/>
      <c r="Z188" s="175"/>
      <c r="AI188" s="1505"/>
      <c r="AJ188" s="1506"/>
      <c r="AK188" s="1506"/>
      <c r="AL188" s="1506"/>
      <c r="AM188" s="1506"/>
      <c r="AN188" s="1505"/>
      <c r="AO188" s="1507"/>
      <c r="AP188" s="1507"/>
      <c r="AQ188" s="1507"/>
      <c r="AR188" s="1507"/>
    </row>
    <row r="189" spans="1:50" x14ac:dyDescent="0.2">
      <c r="B189" s="194"/>
      <c r="C189" s="195"/>
      <c r="D189" s="196"/>
      <c r="E189" s="196"/>
      <c r="F189" s="196"/>
      <c r="G189" s="198"/>
      <c r="H189" s="199"/>
      <c r="I189" s="199"/>
      <c r="P189" s="848"/>
      <c r="V189" s="175"/>
      <c r="W189" s="175"/>
      <c r="Z189" s="175"/>
      <c r="AI189" s="1505"/>
      <c r="AJ189" s="1506"/>
      <c r="AK189" s="1506"/>
      <c r="AL189" s="1506"/>
      <c r="AM189" s="1506"/>
      <c r="AN189" s="1505"/>
      <c r="AO189" s="1507"/>
      <c r="AP189" s="1507"/>
      <c r="AQ189" s="1507"/>
      <c r="AR189" s="1507"/>
    </row>
    <row r="190" spans="1:50" x14ac:dyDescent="0.25">
      <c r="B190" s="194"/>
      <c r="C190" s="195"/>
      <c r="D190" s="196"/>
      <c r="E190" s="196"/>
      <c r="F190" s="196"/>
      <c r="G190" s="198"/>
      <c r="H190" s="199"/>
      <c r="I190" s="199"/>
      <c r="J190" s="199"/>
      <c r="K190" s="848"/>
      <c r="L190" s="199"/>
      <c r="M190" s="848"/>
      <c r="N190" s="199"/>
      <c r="O190" s="848"/>
      <c r="P190" s="848"/>
      <c r="Q190" s="199"/>
      <c r="R190" s="848"/>
      <c r="S190" s="1124"/>
      <c r="T190" s="199"/>
      <c r="U190" s="199"/>
      <c r="V190" s="199"/>
      <c r="W190" s="199"/>
      <c r="X190" s="198"/>
      <c r="Y190" s="198"/>
      <c r="AH190" s="178"/>
    </row>
    <row r="191" spans="1:50" x14ac:dyDescent="0.25">
      <c r="B191" s="194"/>
      <c r="C191" s="195"/>
      <c r="D191" s="196"/>
      <c r="E191" s="196"/>
      <c r="F191" s="196"/>
      <c r="G191" s="198"/>
      <c r="H191" s="199"/>
      <c r="I191" s="199"/>
      <c r="J191" s="199"/>
      <c r="K191" s="848"/>
      <c r="L191" s="199"/>
      <c r="M191" s="848"/>
      <c r="N191" s="199"/>
      <c r="O191" s="848"/>
      <c r="P191" s="848"/>
      <c r="Q191" s="199"/>
      <c r="R191" s="848"/>
      <c r="S191" s="1124"/>
      <c r="T191" s="199"/>
      <c r="U191" s="199"/>
      <c r="V191" s="199"/>
      <c r="W191" s="199"/>
      <c r="X191" s="198"/>
      <c r="Y191" s="198"/>
      <c r="AH191" s="178"/>
    </row>
    <row r="192" spans="1:50" x14ac:dyDescent="0.25">
      <c r="B192" s="194"/>
      <c r="C192" s="195"/>
      <c r="D192" s="196"/>
      <c r="E192" s="196"/>
      <c r="F192" s="196"/>
      <c r="G192" s="198"/>
      <c r="H192" s="199"/>
      <c r="I192" s="199"/>
      <c r="J192" s="199"/>
      <c r="K192" s="848"/>
      <c r="L192" s="199"/>
      <c r="M192" s="848"/>
      <c r="N192" s="199"/>
      <c r="O192" s="848"/>
      <c r="P192" s="1124"/>
      <c r="Q192" s="199"/>
      <c r="R192" s="848"/>
      <c r="S192" s="1124"/>
      <c r="T192" s="199"/>
      <c r="U192" s="199"/>
      <c r="V192" s="199"/>
      <c r="W192" s="199"/>
      <c r="X192" s="198"/>
      <c r="Y192" s="198"/>
      <c r="AH192" s="178"/>
    </row>
    <row r="193" spans="2:25" x14ac:dyDescent="0.25">
      <c r="B193" s="194"/>
      <c r="C193" s="195"/>
      <c r="D193" s="196"/>
      <c r="E193" s="196"/>
      <c r="F193" s="196"/>
      <c r="G193" s="198"/>
      <c r="H193" s="199"/>
      <c r="I193" s="199"/>
      <c r="J193" s="199"/>
      <c r="K193" s="848"/>
      <c r="L193" s="199"/>
      <c r="M193" s="848"/>
      <c r="N193" s="199"/>
      <c r="O193" s="848"/>
      <c r="P193" s="1124"/>
      <c r="Q193" s="199"/>
      <c r="R193" s="848"/>
      <c r="S193" s="1124"/>
      <c r="T193" s="199"/>
      <c r="U193" s="199"/>
      <c r="V193" s="199"/>
      <c r="W193" s="199"/>
      <c r="X193" s="198"/>
      <c r="Y193" s="198"/>
    </row>
    <row r="194" spans="2:25" x14ac:dyDescent="0.25">
      <c r="B194" s="194"/>
      <c r="C194" s="195"/>
      <c r="D194" s="196"/>
      <c r="E194" s="196"/>
      <c r="F194" s="196"/>
      <c r="G194" s="198"/>
      <c r="H194" s="199"/>
      <c r="I194" s="199"/>
      <c r="J194" s="199"/>
      <c r="K194" s="848"/>
      <c r="L194" s="199"/>
      <c r="M194" s="848"/>
      <c r="N194" s="199"/>
      <c r="O194" s="848"/>
      <c r="P194" s="1124"/>
      <c r="Q194" s="199"/>
      <c r="R194" s="848"/>
      <c r="S194" s="1124"/>
      <c r="T194" s="199"/>
      <c r="U194" s="199"/>
      <c r="V194" s="199"/>
      <c r="W194" s="199"/>
      <c r="X194" s="198"/>
      <c r="Y194" s="198"/>
    </row>
    <row r="195" spans="2:25" x14ac:dyDescent="0.25">
      <c r="B195" s="194"/>
      <c r="C195" s="195"/>
      <c r="D195" s="196"/>
      <c r="E195" s="196"/>
      <c r="F195" s="196"/>
      <c r="G195" s="198"/>
      <c r="H195" s="199"/>
      <c r="I195" s="199"/>
      <c r="J195" s="199"/>
      <c r="K195" s="848"/>
      <c r="L195" s="199"/>
      <c r="M195" s="848"/>
      <c r="N195" s="199"/>
      <c r="O195" s="848"/>
      <c r="P195" s="1124"/>
      <c r="Q195" s="199"/>
      <c r="R195" s="848"/>
      <c r="S195" s="1124"/>
      <c r="T195" s="199"/>
      <c r="U195" s="199"/>
      <c r="V195" s="199"/>
      <c r="W195" s="199"/>
      <c r="X195" s="198"/>
      <c r="Y195" s="198"/>
    </row>
    <row r="196" spans="2:25" x14ac:dyDescent="0.25">
      <c r="B196" s="194"/>
      <c r="C196" s="195"/>
      <c r="D196" s="196"/>
      <c r="E196" s="196"/>
      <c r="F196" s="196"/>
      <c r="G196" s="198"/>
      <c r="H196" s="199"/>
      <c r="I196" s="199"/>
      <c r="J196" s="199"/>
      <c r="K196" s="848"/>
      <c r="L196" s="199"/>
      <c r="M196" s="848"/>
      <c r="N196" s="199"/>
      <c r="O196" s="848"/>
      <c r="P196" s="1124"/>
      <c r="Q196" s="199"/>
      <c r="R196" s="848"/>
      <c r="S196" s="1124"/>
      <c r="T196" s="199"/>
      <c r="U196" s="199"/>
      <c r="V196" s="199"/>
      <c r="W196" s="199"/>
      <c r="X196" s="198"/>
      <c r="Y196" s="198"/>
    </row>
    <row r="197" spans="2:25" x14ac:dyDescent="0.25">
      <c r="B197" s="194"/>
      <c r="C197" s="195"/>
      <c r="D197" s="196"/>
      <c r="E197" s="196"/>
      <c r="F197" s="196"/>
      <c r="G197" s="198"/>
      <c r="H197" s="199"/>
      <c r="I197" s="199"/>
      <c r="J197" s="199"/>
      <c r="K197" s="848"/>
      <c r="L197" s="199"/>
      <c r="M197" s="848"/>
      <c r="N197" s="199"/>
      <c r="O197" s="848"/>
      <c r="P197" s="1124"/>
      <c r="Q197" s="199"/>
      <c r="R197" s="848"/>
      <c r="S197" s="1124"/>
      <c r="T197" s="199"/>
      <c r="U197" s="199"/>
      <c r="V197" s="199"/>
      <c r="W197" s="199"/>
      <c r="X197" s="198"/>
      <c r="Y197" s="198"/>
    </row>
    <row r="198" spans="2:25" x14ac:dyDescent="0.25">
      <c r="B198" s="194"/>
      <c r="C198" s="195"/>
      <c r="D198" s="196"/>
      <c r="E198" s="196"/>
      <c r="F198" s="196"/>
      <c r="G198" s="198"/>
      <c r="H198" s="199"/>
      <c r="I198" s="199"/>
      <c r="J198" s="199"/>
      <c r="K198" s="848"/>
      <c r="L198" s="199"/>
      <c r="M198" s="848"/>
      <c r="N198" s="199"/>
      <c r="O198" s="848"/>
      <c r="P198" s="1124"/>
      <c r="Q198" s="199"/>
      <c r="R198" s="848"/>
      <c r="S198" s="1124"/>
      <c r="T198" s="199"/>
      <c r="U198" s="199"/>
      <c r="V198" s="199"/>
      <c r="W198" s="199"/>
      <c r="X198" s="198"/>
      <c r="Y198" s="198"/>
    </row>
    <row r="199" spans="2:25" x14ac:dyDescent="0.25">
      <c r="B199" s="194"/>
      <c r="C199" s="195"/>
      <c r="D199" s="196"/>
      <c r="E199" s="196"/>
      <c r="F199" s="196"/>
      <c r="G199" s="198"/>
      <c r="H199" s="199"/>
      <c r="I199" s="199"/>
      <c r="J199" s="199"/>
      <c r="K199" s="848"/>
      <c r="L199" s="199"/>
      <c r="M199" s="848"/>
      <c r="N199" s="199"/>
      <c r="O199" s="848"/>
      <c r="P199" s="1124"/>
      <c r="Q199" s="199"/>
      <c r="R199" s="848"/>
      <c r="S199" s="1124"/>
      <c r="T199" s="199"/>
      <c r="U199" s="199"/>
      <c r="V199" s="199"/>
      <c r="W199" s="199"/>
      <c r="X199" s="198"/>
      <c r="Y199" s="198"/>
    </row>
    <row r="200" spans="2:25" x14ac:dyDescent="0.25">
      <c r="B200" s="194"/>
      <c r="C200" s="195"/>
      <c r="D200" s="196"/>
      <c r="E200" s="196"/>
      <c r="F200" s="196"/>
      <c r="G200" s="198"/>
      <c r="H200" s="199"/>
      <c r="I200" s="199"/>
      <c r="J200" s="199"/>
      <c r="K200" s="848"/>
      <c r="L200" s="199"/>
      <c r="M200" s="848"/>
      <c r="N200" s="199"/>
      <c r="O200" s="848"/>
      <c r="P200" s="1124"/>
      <c r="Q200" s="199"/>
      <c r="R200" s="848"/>
      <c r="S200" s="1124"/>
      <c r="T200" s="199"/>
      <c r="U200" s="199"/>
      <c r="V200" s="199"/>
      <c r="W200" s="199"/>
      <c r="X200" s="198"/>
      <c r="Y200" s="198"/>
    </row>
    <row r="201" spans="2:25" x14ac:dyDescent="0.25">
      <c r="B201" s="194"/>
      <c r="C201" s="195"/>
      <c r="D201" s="196"/>
      <c r="E201" s="196"/>
      <c r="F201" s="196"/>
      <c r="G201" s="198"/>
      <c r="H201" s="199"/>
      <c r="I201" s="199"/>
      <c r="J201" s="199"/>
      <c r="K201" s="848"/>
      <c r="L201" s="199"/>
      <c r="M201" s="848"/>
      <c r="N201" s="199"/>
      <c r="O201" s="848"/>
      <c r="P201" s="1124"/>
      <c r="Q201" s="199"/>
      <c r="R201" s="848"/>
      <c r="S201" s="1124"/>
      <c r="T201" s="199"/>
      <c r="U201" s="199"/>
      <c r="V201" s="199"/>
      <c r="W201" s="199"/>
      <c r="X201" s="198"/>
      <c r="Y201" s="198"/>
    </row>
    <row r="202" spans="2:25" x14ac:dyDescent="0.25">
      <c r="B202" s="194"/>
      <c r="C202" s="195"/>
      <c r="D202" s="196"/>
      <c r="E202" s="196"/>
      <c r="F202" s="196"/>
      <c r="G202" s="198"/>
      <c r="H202" s="199"/>
      <c r="I202" s="199"/>
      <c r="J202" s="199"/>
      <c r="K202" s="848"/>
      <c r="L202" s="199"/>
      <c r="M202" s="848"/>
      <c r="N202" s="199"/>
      <c r="O202" s="848"/>
      <c r="P202" s="1124"/>
      <c r="Q202" s="199"/>
      <c r="R202" s="848"/>
      <c r="S202" s="1124"/>
      <c r="T202" s="199"/>
      <c r="U202" s="199"/>
      <c r="V202" s="199"/>
      <c r="W202" s="199"/>
      <c r="X202" s="198"/>
      <c r="Y202" s="198"/>
    </row>
    <row r="203" spans="2:25" x14ac:dyDescent="0.25">
      <c r="B203" s="194"/>
      <c r="C203" s="195"/>
      <c r="D203" s="196"/>
      <c r="E203" s="196"/>
      <c r="F203" s="196"/>
      <c r="G203" s="198"/>
      <c r="H203" s="199"/>
      <c r="I203" s="199"/>
      <c r="J203" s="199"/>
      <c r="K203" s="848"/>
      <c r="L203" s="199"/>
      <c r="M203" s="848"/>
      <c r="N203" s="199"/>
      <c r="O203" s="848"/>
      <c r="P203" s="1124"/>
      <c r="Q203" s="199"/>
      <c r="R203" s="848"/>
      <c r="S203" s="1124"/>
      <c r="T203" s="199"/>
      <c r="U203" s="199"/>
      <c r="V203" s="199"/>
      <c r="W203" s="199"/>
      <c r="X203" s="198"/>
      <c r="Y203" s="198"/>
    </row>
    <row r="204" spans="2:25" x14ac:dyDescent="0.25">
      <c r="B204" s="194"/>
      <c r="C204" s="195"/>
      <c r="D204" s="196"/>
      <c r="E204" s="196"/>
      <c r="F204" s="196"/>
      <c r="G204" s="197"/>
      <c r="H204" s="199"/>
      <c r="I204" s="199"/>
      <c r="J204" s="199"/>
      <c r="K204" s="848"/>
      <c r="L204" s="199"/>
      <c r="M204" s="848"/>
      <c r="N204" s="199"/>
      <c r="O204" s="848"/>
      <c r="P204" s="1124"/>
      <c r="Q204" s="199"/>
      <c r="R204" s="848"/>
      <c r="S204" s="1124"/>
      <c r="T204" s="199"/>
      <c r="U204" s="199"/>
      <c r="V204" s="199"/>
      <c r="W204" s="199"/>
      <c r="X204" s="198"/>
      <c r="Y204" s="198"/>
    </row>
    <row r="205" spans="2:25" x14ac:dyDescent="0.25">
      <c r="B205" s="194"/>
      <c r="C205" s="195"/>
      <c r="D205" s="196"/>
      <c r="E205" s="196"/>
      <c r="F205" s="196"/>
      <c r="G205" s="197"/>
      <c r="H205" s="199"/>
      <c r="I205" s="199"/>
      <c r="J205" s="199"/>
      <c r="K205" s="848"/>
      <c r="L205" s="199"/>
      <c r="M205" s="848"/>
      <c r="N205" s="199"/>
      <c r="O205" s="848"/>
      <c r="P205" s="1124"/>
      <c r="Q205" s="199"/>
      <c r="R205" s="848"/>
      <c r="S205" s="1124"/>
      <c r="T205" s="199"/>
      <c r="U205" s="199"/>
      <c r="V205" s="199"/>
      <c r="W205" s="199"/>
      <c r="X205" s="198"/>
      <c r="Y205" s="198"/>
    </row>
    <row r="206" spans="2:25" x14ac:dyDescent="0.25">
      <c r="B206" s="194"/>
      <c r="C206" s="195"/>
      <c r="D206" s="196"/>
      <c r="E206" s="196"/>
      <c r="F206" s="196"/>
      <c r="G206" s="197"/>
      <c r="H206" s="199"/>
      <c r="I206" s="199"/>
      <c r="J206" s="199"/>
      <c r="K206" s="848"/>
      <c r="L206" s="199"/>
      <c r="M206" s="848"/>
      <c r="N206" s="199"/>
      <c r="O206" s="848"/>
      <c r="P206" s="1124"/>
      <c r="Q206" s="199"/>
      <c r="R206" s="848"/>
      <c r="S206" s="1124"/>
      <c r="T206" s="199"/>
      <c r="U206" s="199"/>
      <c r="V206" s="199"/>
      <c r="W206" s="199"/>
      <c r="X206" s="198"/>
      <c r="Y206" s="198"/>
    </row>
  </sheetData>
  <autoFilter ref="A9:AX183"/>
  <mergeCells count="13">
    <mergeCell ref="B5:AH5"/>
    <mergeCell ref="B2:AH2"/>
    <mergeCell ref="W7:X7"/>
    <mergeCell ref="W6:X6"/>
    <mergeCell ref="B6:G8"/>
    <mergeCell ref="H6:O6"/>
    <mergeCell ref="P6:R6"/>
    <mergeCell ref="S7:T7"/>
    <mergeCell ref="S6:T6"/>
    <mergeCell ref="Y7:Z7"/>
    <mergeCell ref="Y6:Z6"/>
    <mergeCell ref="U7:V7"/>
    <mergeCell ref="U6:V6"/>
  </mergeCells>
  <phoneticPr fontId="30" type="noConversion"/>
  <printOptions horizontalCentered="1"/>
  <pageMargins left="1" right="1" top="1" bottom="1" header="0.5" footer="0.5"/>
  <pageSetup paperSize="5" scale="49" fitToHeight="0" orientation="landscape" r:id="rId1"/>
  <colBreaks count="1" manualBreakCount="1">
    <brk id="15" min="1" max="1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HM233"/>
  <sheetViews>
    <sheetView topLeftCell="AW1" zoomScale="90" zoomScaleNormal="90" workbookViewId="0">
      <selection activeCell="BJ6" sqref="BJ6"/>
    </sheetView>
  </sheetViews>
  <sheetFormatPr baseColWidth="10" defaultColWidth="11.42578125" defaultRowHeight="17.25" x14ac:dyDescent="0.35"/>
  <cols>
    <col min="1" max="1" width="10.42578125" style="444" bestFit="1" customWidth="1"/>
    <col min="2" max="2" width="54.42578125" style="444" bestFit="1" customWidth="1"/>
    <col min="3" max="3" width="14.140625" style="444" customWidth="1"/>
    <col min="4" max="4" width="14.140625" style="455" customWidth="1"/>
    <col min="5" max="5" width="13.140625" style="444" customWidth="1"/>
    <col min="6" max="8" width="11.5703125" style="444" bestFit="1" customWidth="1"/>
    <col min="9" max="10" width="11.42578125" style="444"/>
    <col min="11" max="11" width="54.42578125" style="444" bestFit="1" customWidth="1"/>
    <col min="12" max="12" width="0" style="444" hidden="1" customWidth="1"/>
    <col min="13" max="15" width="11.5703125" style="444" bestFit="1" customWidth="1"/>
    <col min="16" max="17" width="11.42578125" style="444"/>
    <col min="18" max="18" width="43.85546875" style="444" customWidth="1"/>
    <col min="19" max="19" width="14.140625" style="444" hidden="1" customWidth="1"/>
    <col min="20" max="20" width="13.140625" style="444" hidden="1" customWidth="1"/>
    <col min="21" max="21" width="11.5703125" style="444" bestFit="1" customWidth="1"/>
    <col min="22" max="22" width="0" style="444" hidden="1" customWidth="1"/>
    <col min="23" max="24" width="11.5703125" style="444" bestFit="1" customWidth="1"/>
    <col min="25" max="25" width="11.42578125" style="444"/>
    <col min="26" max="26" width="32" style="444" customWidth="1"/>
    <col min="27" max="27" width="15" style="444" hidden="1" customWidth="1"/>
    <col min="28" max="30" width="11.5703125" style="444" bestFit="1" customWidth="1"/>
    <col min="31" max="31" width="11.42578125" style="444"/>
    <col min="32" max="32" width="33.5703125" style="444" customWidth="1"/>
    <col min="33" max="33" width="16.28515625" style="444" hidden="1" customWidth="1"/>
    <col min="34" max="34" width="13.140625" style="444" customWidth="1"/>
    <col min="35" max="35" width="13.85546875" style="444" hidden="1" customWidth="1"/>
    <col min="36" max="37" width="11.5703125" style="444" bestFit="1" customWidth="1"/>
    <col min="38" max="39" width="11.42578125" style="444"/>
    <col min="40" max="40" width="0" style="454" hidden="1" customWidth="1"/>
    <col min="41" max="41" width="68.140625" style="454" customWidth="1"/>
    <col min="42" max="42" width="15.140625" style="454" bestFit="1" customWidth="1"/>
    <col min="43" max="43" width="13.28515625" style="444" customWidth="1"/>
    <col min="44" max="44" width="6.140625" style="444" customWidth="1"/>
    <col min="45" max="45" width="7.7109375" style="444" customWidth="1"/>
    <col min="46" max="46" width="11.42578125" style="444"/>
    <col min="47" max="47" width="0" style="444" hidden="1" customWidth="1"/>
    <col min="48" max="48" width="37.85546875" style="444" customWidth="1"/>
    <col min="49" max="49" width="12.28515625" style="444" customWidth="1"/>
    <col min="50" max="50" width="14.7109375" style="444" customWidth="1"/>
    <col min="51" max="51" width="10.85546875" style="444" customWidth="1"/>
    <col min="52" max="52" width="12.5703125" style="444" customWidth="1"/>
    <col min="53" max="53" width="12.140625" style="444" bestFit="1" customWidth="1"/>
    <col min="54" max="54" width="13.28515625" style="444" bestFit="1" customWidth="1"/>
    <col min="55" max="56" width="11.5703125" style="444" bestFit="1" customWidth="1"/>
    <col min="57" max="58" width="11.42578125" style="444"/>
    <col min="59" max="59" width="49.7109375" style="444" customWidth="1"/>
    <col min="60" max="60" width="16.42578125" style="444" bestFit="1" customWidth="1"/>
    <col min="61" max="61" width="15.42578125" style="444" customWidth="1"/>
    <col min="62" max="63" width="11.5703125" style="444" bestFit="1" customWidth="1"/>
    <col min="64" max="64" width="11.42578125" style="444"/>
    <col min="65" max="65" width="11.42578125" style="444" customWidth="1"/>
    <col min="66" max="66" width="20.5703125" style="444" customWidth="1"/>
    <col min="67" max="68" width="16.28515625" style="444" hidden="1" customWidth="1"/>
    <col min="69" max="71" width="15" style="444" hidden="1" customWidth="1"/>
    <col min="72" max="72" width="16" style="444" customWidth="1"/>
    <col min="73" max="73" width="15.7109375" style="444" customWidth="1"/>
    <col min="74" max="74" width="19.140625" style="444" customWidth="1"/>
    <col min="75" max="75" width="14" style="444" customWidth="1"/>
    <col min="76" max="77" width="11.42578125" style="444" customWidth="1"/>
    <col min="78" max="78" width="11.42578125" style="444"/>
    <col min="79" max="79" width="25.85546875" style="444" customWidth="1"/>
    <col min="80" max="80" width="15.140625" style="444" hidden="1" customWidth="1"/>
    <col min="81" max="81" width="12.140625" style="444" bestFit="1" customWidth="1"/>
    <col min="82" max="83" width="11.5703125" style="444" bestFit="1" customWidth="1"/>
    <col min="84" max="84" width="11.42578125" style="444"/>
    <col min="85" max="85" width="59.85546875" style="444" customWidth="1"/>
    <col min="86" max="87" width="14.140625" style="444" hidden="1" customWidth="1"/>
    <col min="88" max="88" width="15.5703125" style="444" hidden="1" customWidth="1"/>
    <col min="89" max="90" width="13.140625" style="444" hidden="1" customWidth="1"/>
    <col min="91" max="91" width="17.5703125" style="444" hidden="1" customWidth="1"/>
    <col min="92" max="92" width="13.140625" style="444" customWidth="1"/>
    <col min="93" max="93" width="11.42578125" style="444"/>
    <col min="94" max="94" width="14.85546875" style="444" customWidth="1"/>
    <col min="95" max="96" width="11.42578125" style="444"/>
    <col min="97" max="97" width="4.85546875" style="444" customWidth="1"/>
    <col min="98" max="99" width="11.42578125" style="444"/>
    <col min="100" max="101" width="14.140625" style="606" customWidth="1"/>
    <col min="102" max="103" width="11.5703125" style="444" bestFit="1" customWidth="1"/>
    <col min="104" max="105" width="11.42578125" style="444"/>
    <col min="106" max="106" width="43.85546875" style="444" customWidth="1"/>
    <col min="107" max="107" width="15.140625" style="444" hidden="1" customWidth="1"/>
    <col min="108" max="108" width="14.140625" style="444" hidden="1" customWidth="1"/>
    <col min="109" max="109" width="15.85546875" style="444" hidden="1" customWidth="1"/>
    <col min="110" max="110" width="14.140625" style="444" hidden="1" customWidth="1"/>
    <col min="111" max="111" width="12.7109375" style="444" bestFit="1" customWidth="1"/>
    <col min="112" max="112" width="11.7109375" style="444" bestFit="1" customWidth="1"/>
    <col min="113" max="113" width="12.7109375" style="444" bestFit="1" customWidth="1"/>
    <col min="114" max="114" width="11.7109375" style="444" bestFit="1" customWidth="1"/>
    <col min="115" max="117" width="11.42578125" style="444"/>
    <col min="118" max="118" width="34.140625" style="444" customWidth="1"/>
    <col min="119" max="120" width="0" style="444" hidden="1" customWidth="1"/>
    <col min="121" max="121" width="0" style="450" hidden="1" customWidth="1"/>
    <col min="122" max="122" width="11.42578125" style="450"/>
    <col min="123" max="123" width="11.42578125" style="444"/>
    <col min="124" max="124" width="2.85546875" style="444" customWidth="1"/>
    <col min="125" max="125" width="11.42578125" style="444"/>
    <col min="126" max="126" width="33.7109375" style="665" customWidth="1"/>
    <col min="127" max="130" width="11.42578125" style="665" hidden="1" customWidth="1"/>
    <col min="131" max="131" width="0" style="665" hidden="1" customWidth="1"/>
    <col min="132" max="134" width="11.42578125" style="665"/>
    <col min="135" max="135" width="11.42578125" style="444"/>
    <col min="136" max="136" width="4.28515625" style="444" customWidth="1"/>
    <col min="137" max="137" width="11.42578125" style="444"/>
    <col min="138" max="138" width="49.5703125" style="444" customWidth="1"/>
    <col min="139" max="139" width="11.42578125" style="444" hidden="1" customWidth="1"/>
    <col min="140" max="141" width="11.42578125" style="444"/>
    <col min="142" max="142" width="3.5703125" style="444" customWidth="1"/>
    <col min="143" max="143" width="11.42578125" style="444"/>
    <col min="144" max="144" width="48.7109375" style="444" customWidth="1"/>
    <col min="145" max="146" width="15.28515625" style="450" hidden="1" customWidth="1"/>
    <col min="147" max="147" width="14.28515625" style="450" hidden="1" customWidth="1"/>
    <col min="148" max="148" width="15.28515625" style="450" hidden="1" customWidth="1"/>
    <col min="149" max="152" width="13.140625" style="747" customWidth="1"/>
    <col min="153" max="156" width="11.42578125" style="444"/>
    <col min="157" max="157" width="55.140625" style="444" customWidth="1"/>
    <col min="158" max="158" width="0" style="444" hidden="1" customWidth="1"/>
    <col min="159" max="162" width="11.42578125" style="444"/>
    <col min="163" max="163" width="11.42578125" style="786"/>
    <col min="164" max="164" width="27.5703125" style="454" customWidth="1"/>
    <col min="165" max="168" width="0" style="444" hidden="1" customWidth="1"/>
    <col min="169" max="171" width="11.42578125" style="444"/>
    <col min="172" max="172" width="15.42578125" style="444" customWidth="1"/>
    <col min="173" max="176" width="11.42578125" style="444"/>
    <col min="177" max="177" width="31" style="444" customWidth="1"/>
    <col min="178" max="178" width="12.85546875" style="444" hidden="1" customWidth="1"/>
    <col min="179" max="180" width="13.140625" style="444" hidden="1" customWidth="1"/>
    <col min="181" max="182" width="11.5703125" style="444" hidden="1" customWidth="1"/>
    <col min="183" max="183" width="11.5703125" style="444" bestFit="1" customWidth="1"/>
    <col min="184" max="190" width="11.42578125" style="444"/>
    <col min="191" max="195" width="0" style="444" hidden="1" customWidth="1"/>
    <col min="196" max="203" width="11.42578125" style="444"/>
    <col min="204" max="204" width="27.140625" style="842" customWidth="1"/>
    <col min="205" max="205" width="27.140625" style="454" hidden="1" customWidth="1"/>
    <col min="206" max="206" width="27.140625" style="444" customWidth="1"/>
    <col min="207" max="209" width="11.42578125" style="444"/>
    <col min="210" max="210" width="25.85546875" style="786" customWidth="1"/>
    <col min="211" max="212" width="11.42578125" style="454" hidden="1" customWidth="1"/>
    <col min="213" max="213" width="13" style="454" hidden="1" customWidth="1"/>
    <col min="214" max="214" width="11.42578125" style="454" hidden="1" customWidth="1"/>
    <col min="215" max="215" width="11.42578125" style="444"/>
    <col min="216" max="216" width="14.140625" style="444" customWidth="1"/>
    <col min="217" max="217" width="11.42578125" style="444"/>
    <col min="218" max="218" width="14.42578125" style="444" customWidth="1"/>
    <col min="219" max="16384" width="11.42578125" style="444"/>
  </cols>
  <sheetData>
    <row r="1" spans="1:221" ht="15" x14ac:dyDescent="0.3">
      <c r="A1" s="1723" t="s">
        <v>655</v>
      </c>
      <c r="B1" s="1723"/>
      <c r="C1" s="1723"/>
      <c r="D1" s="1723"/>
      <c r="E1" s="1723"/>
      <c r="F1" s="1723"/>
      <c r="J1" s="1723" t="s">
        <v>694</v>
      </c>
      <c r="K1" s="1723"/>
      <c r="L1" s="1723"/>
      <c r="M1" s="1723"/>
      <c r="Q1" s="1723" t="s">
        <v>764</v>
      </c>
      <c r="R1" s="1723"/>
      <c r="S1" s="1723"/>
      <c r="T1" s="1723"/>
      <c r="U1" s="1723"/>
      <c r="Z1" s="1723" t="s">
        <v>692</v>
      </c>
      <c r="AA1" s="1723"/>
      <c r="AB1" s="1723"/>
      <c r="AF1" s="1723" t="s">
        <v>693</v>
      </c>
      <c r="AG1" s="1723"/>
      <c r="AH1" s="1723"/>
      <c r="AN1" s="1727" t="s">
        <v>530</v>
      </c>
      <c r="AO1" s="1727"/>
      <c r="AP1" s="1727"/>
      <c r="AQ1" s="1727"/>
      <c r="AU1" s="1723" t="s">
        <v>695</v>
      </c>
      <c r="AV1" s="1723"/>
      <c r="AW1" s="1723"/>
      <c r="AX1" s="1723"/>
      <c r="AY1" s="1723"/>
      <c r="AZ1" s="1723"/>
      <c r="BA1" s="1723"/>
      <c r="BB1" s="1723"/>
      <c r="BF1" s="1723" t="s">
        <v>696</v>
      </c>
      <c r="BG1" s="1723"/>
      <c r="BH1" s="1723"/>
      <c r="BI1" s="1723"/>
      <c r="BJ1" s="1723"/>
      <c r="BK1" s="1723"/>
      <c r="BM1" s="1723" t="s">
        <v>697</v>
      </c>
      <c r="BN1" s="1723"/>
      <c r="BO1" s="1723"/>
      <c r="BP1" s="1723"/>
      <c r="BQ1" s="1723"/>
      <c r="BR1" s="1723"/>
      <c r="BS1" s="1723"/>
      <c r="BT1" s="1723"/>
      <c r="BU1" s="1723"/>
      <c r="BV1" s="1723"/>
      <c r="BW1" s="1723"/>
      <c r="CA1" s="1723" t="s">
        <v>845</v>
      </c>
      <c r="CB1" s="1723"/>
      <c r="CC1" s="1723"/>
      <c r="CD1" s="1723"/>
      <c r="CE1" s="1723"/>
      <c r="CG1" s="1723" t="s">
        <v>852</v>
      </c>
      <c r="CH1" s="1723"/>
      <c r="CI1" s="1723"/>
      <c r="CJ1" s="1723"/>
      <c r="CK1" s="1723"/>
      <c r="CL1" s="1723"/>
      <c r="CM1" s="1723"/>
      <c r="CN1" s="1723" t="s">
        <v>844</v>
      </c>
      <c r="CO1" s="1723"/>
      <c r="CP1" s="1723"/>
      <c r="CQ1" s="1723"/>
      <c r="CU1" s="1726" t="s">
        <v>866</v>
      </c>
      <c r="CV1" s="1723"/>
      <c r="CW1" s="1723"/>
      <c r="CX1" s="1723"/>
      <c r="CY1" s="1723"/>
      <c r="CZ1" s="1723"/>
      <c r="DA1" s="1723"/>
      <c r="DB1" s="1723" t="s">
        <v>869</v>
      </c>
      <c r="DC1" s="1723"/>
      <c r="DD1" s="1723"/>
      <c r="DE1" s="1723"/>
      <c r="DF1" s="1723"/>
      <c r="DG1" s="1723"/>
      <c r="DH1" s="1723"/>
      <c r="DI1" s="1723"/>
      <c r="DJ1" s="1723"/>
      <c r="DN1" s="1723" t="s">
        <v>10</v>
      </c>
      <c r="DO1" s="1723"/>
      <c r="DP1" s="1723"/>
      <c r="DQ1" s="1723"/>
      <c r="DR1" s="1723"/>
      <c r="DV1" s="1725" t="s">
        <v>871</v>
      </c>
      <c r="DW1" s="1725"/>
      <c r="DX1" s="1725"/>
      <c r="DY1" s="1725"/>
      <c r="DZ1" s="1725"/>
      <c r="EA1" s="1725"/>
      <c r="EB1" s="1725"/>
      <c r="EC1" s="1725"/>
      <c r="ED1" s="1725"/>
      <c r="EH1" s="1723" t="s">
        <v>11</v>
      </c>
      <c r="EI1" s="1723"/>
      <c r="EJ1" s="1723"/>
      <c r="EO1" s="1724" t="s">
        <v>903</v>
      </c>
      <c r="EP1" s="1724"/>
      <c r="EQ1" s="1724"/>
      <c r="ER1" s="1724"/>
      <c r="ES1" s="1724"/>
      <c r="ET1" s="1724"/>
      <c r="EU1" s="1724"/>
      <c r="EV1" s="1724"/>
      <c r="EZ1" s="1723" t="s">
        <v>12</v>
      </c>
      <c r="FA1" s="1723"/>
      <c r="FB1" s="1723"/>
      <c r="FC1" s="1723"/>
      <c r="FD1" s="1723"/>
      <c r="FE1" s="1723"/>
      <c r="FF1" s="754"/>
      <c r="FG1" s="1728" t="s">
        <v>899</v>
      </c>
      <c r="FH1" s="1728"/>
      <c r="FI1" s="1728"/>
      <c r="FJ1" s="1728"/>
      <c r="FK1" s="1728"/>
      <c r="FL1" s="1728"/>
      <c r="FM1" s="1728"/>
      <c r="FN1" s="1728"/>
      <c r="FO1" s="1728"/>
      <c r="FP1" s="1728"/>
      <c r="FT1" s="1723" t="s">
        <v>915</v>
      </c>
      <c r="FU1" s="1723"/>
      <c r="FV1" s="1723"/>
      <c r="FW1" s="1723"/>
      <c r="FX1" s="1723"/>
      <c r="FY1" s="1723"/>
      <c r="FZ1" s="1723"/>
      <c r="GA1" s="1723"/>
      <c r="GB1" s="1723"/>
      <c r="GC1" s="1723"/>
      <c r="GF1" s="1723" t="s">
        <v>908</v>
      </c>
      <c r="GG1" s="1723"/>
      <c r="GH1" s="1723"/>
      <c r="GI1" s="1723"/>
      <c r="GJ1" s="1723"/>
      <c r="GK1" s="1723"/>
      <c r="GL1" s="1723"/>
      <c r="GM1" s="1723"/>
      <c r="GN1" s="1723"/>
      <c r="GO1" s="1723"/>
      <c r="GP1" s="1723"/>
      <c r="GQ1" s="1723"/>
      <c r="GR1" s="1723"/>
      <c r="GV1" s="1727" t="s">
        <v>14</v>
      </c>
      <c r="GW1" s="1727"/>
      <c r="GX1" s="1727"/>
      <c r="GY1" s="1727"/>
      <c r="GZ1" s="1727"/>
      <c r="HB1" s="1727" t="s">
        <v>916</v>
      </c>
      <c r="HC1" s="1727"/>
      <c r="HD1" s="1727"/>
      <c r="HE1" s="1727"/>
      <c r="HF1" s="1727"/>
      <c r="HG1" s="1727"/>
      <c r="HH1" s="1727"/>
      <c r="HI1" s="1727"/>
      <c r="HJ1" s="1727"/>
      <c r="HK1" s="1727"/>
    </row>
    <row r="2" spans="1:221" ht="38.25" customHeight="1" x14ac:dyDescent="0.3">
      <c r="A2" s="249" t="s">
        <v>552</v>
      </c>
      <c r="B2" s="249" t="s">
        <v>349</v>
      </c>
      <c r="C2" s="249" t="s">
        <v>356</v>
      </c>
      <c r="D2" s="293" t="s">
        <v>356</v>
      </c>
      <c r="E2" s="249" t="s">
        <v>352</v>
      </c>
      <c r="F2" s="249" t="s">
        <v>352</v>
      </c>
      <c r="G2" s="444">
        <v>1000</v>
      </c>
      <c r="H2" s="444">
        <v>1.0629999999999999</v>
      </c>
      <c r="J2" s="294" t="s">
        <v>552</v>
      </c>
      <c r="K2" s="1284" t="s">
        <v>349</v>
      </c>
      <c r="L2" s="1284" t="s">
        <v>352</v>
      </c>
      <c r="M2" s="1284" t="s">
        <v>352</v>
      </c>
      <c r="N2" s="444">
        <v>1000</v>
      </c>
      <c r="O2" s="444">
        <v>1.0629999999999999</v>
      </c>
      <c r="Q2" s="1284" t="s">
        <v>552</v>
      </c>
      <c r="R2" s="1284" t="s">
        <v>349</v>
      </c>
      <c r="S2" s="1284" t="s">
        <v>356</v>
      </c>
      <c r="T2" s="1284" t="s">
        <v>352</v>
      </c>
      <c r="U2" s="1284" t="s">
        <v>356</v>
      </c>
      <c r="V2" s="294" t="s">
        <v>352</v>
      </c>
      <c r="W2" s="444">
        <v>1000</v>
      </c>
      <c r="X2" s="444">
        <v>1.0629999999999999</v>
      </c>
      <c r="Z2" s="446" t="s">
        <v>349</v>
      </c>
      <c r="AA2" s="446" t="s">
        <v>352</v>
      </c>
      <c r="AB2" s="446" t="s">
        <v>352</v>
      </c>
      <c r="AC2" s="444">
        <v>1000</v>
      </c>
      <c r="AD2" s="444">
        <v>1.0629999999999999</v>
      </c>
      <c r="AF2" s="446" t="s">
        <v>349</v>
      </c>
      <c r="AG2" s="446" t="s">
        <v>356</v>
      </c>
      <c r="AH2" s="446" t="s">
        <v>356</v>
      </c>
      <c r="AI2" s="1284" t="s">
        <v>352</v>
      </c>
      <c r="AJ2" s="444">
        <v>1000</v>
      </c>
      <c r="AK2" s="444">
        <v>1.0629999999999999</v>
      </c>
      <c r="AN2" s="445" t="s">
        <v>552</v>
      </c>
      <c r="AO2" s="1284" t="s">
        <v>349</v>
      </c>
      <c r="AP2" s="1284" t="s">
        <v>352</v>
      </c>
      <c r="AQ2" s="1284" t="s">
        <v>795</v>
      </c>
      <c r="AR2" s="444">
        <v>1000</v>
      </c>
      <c r="AS2" s="444">
        <v>1.0629999999999999</v>
      </c>
      <c r="AU2" s="446" t="s">
        <v>552</v>
      </c>
      <c r="AV2" s="1284" t="s">
        <v>349</v>
      </c>
      <c r="AW2" s="1284" t="s">
        <v>356</v>
      </c>
      <c r="AX2" s="1284" t="s">
        <v>351</v>
      </c>
      <c r="AY2" s="1284" t="s">
        <v>424</v>
      </c>
      <c r="AZ2" s="1284" t="s">
        <v>796</v>
      </c>
      <c r="BA2" s="1284" t="s">
        <v>797</v>
      </c>
      <c r="BB2" s="1284" t="s">
        <v>798</v>
      </c>
      <c r="BC2" s="444">
        <v>1000</v>
      </c>
      <c r="BD2" s="444">
        <v>1.0629999999999999</v>
      </c>
      <c r="BF2" s="446" t="s">
        <v>552</v>
      </c>
      <c r="BG2" s="446" t="s">
        <v>349</v>
      </c>
      <c r="BH2" s="446" t="s">
        <v>352</v>
      </c>
      <c r="BI2" s="446" t="s">
        <v>815</v>
      </c>
      <c r="BJ2" s="444">
        <v>1000</v>
      </c>
      <c r="BK2" s="444">
        <v>1</v>
      </c>
      <c r="BM2" s="446" t="s">
        <v>552</v>
      </c>
      <c r="BN2" s="446" t="s">
        <v>349</v>
      </c>
      <c r="BO2" s="446" t="s">
        <v>548</v>
      </c>
      <c r="BP2" s="446" t="s">
        <v>356</v>
      </c>
      <c r="BQ2" s="446" t="s">
        <v>351</v>
      </c>
      <c r="BR2" s="446" t="s">
        <v>424</v>
      </c>
      <c r="BS2" s="446" t="s">
        <v>352</v>
      </c>
      <c r="BT2" s="446" t="s">
        <v>357</v>
      </c>
      <c r="BU2" s="446" t="s">
        <v>816</v>
      </c>
      <c r="BV2" s="446" t="s">
        <v>817</v>
      </c>
      <c r="BW2" s="446" t="s">
        <v>818</v>
      </c>
      <c r="BX2" s="444">
        <v>1000</v>
      </c>
      <c r="BY2" s="444">
        <v>1</v>
      </c>
      <c r="CA2" s="446" t="s">
        <v>349</v>
      </c>
      <c r="CB2" s="446" t="s">
        <v>352</v>
      </c>
      <c r="CC2" s="446" t="s">
        <v>851</v>
      </c>
      <c r="CD2" s="446">
        <v>1000</v>
      </c>
      <c r="CE2" s="446">
        <v>1</v>
      </c>
      <c r="CG2" s="446" t="s">
        <v>349</v>
      </c>
      <c r="CH2" s="446" t="s">
        <v>548</v>
      </c>
      <c r="CI2" s="446" t="s">
        <v>356</v>
      </c>
      <c r="CJ2" s="446" t="s">
        <v>350</v>
      </c>
      <c r="CK2" s="446" t="s">
        <v>351</v>
      </c>
      <c r="CL2" s="446" t="s">
        <v>424</v>
      </c>
      <c r="CM2" s="446" t="s">
        <v>352</v>
      </c>
      <c r="CN2" s="446" t="s">
        <v>356</v>
      </c>
      <c r="CO2" s="446" t="s">
        <v>351</v>
      </c>
      <c r="CP2" s="446" t="s">
        <v>424</v>
      </c>
      <c r="CQ2" s="446" t="s">
        <v>352</v>
      </c>
      <c r="CR2" s="444">
        <v>1000</v>
      </c>
      <c r="CS2" s="444">
        <v>1</v>
      </c>
      <c r="CU2" s="325" t="s">
        <v>349</v>
      </c>
      <c r="CV2" s="325" t="s">
        <v>351</v>
      </c>
      <c r="CW2" s="325" t="s">
        <v>352</v>
      </c>
      <c r="CX2" s="325" t="s">
        <v>824</v>
      </c>
      <c r="CY2" s="325" t="s">
        <v>851</v>
      </c>
      <c r="CZ2" s="444">
        <v>1000</v>
      </c>
      <c r="DA2" s="444">
        <v>1</v>
      </c>
      <c r="DB2" s="325" t="s">
        <v>349</v>
      </c>
      <c r="DC2" s="325" t="s">
        <v>356</v>
      </c>
      <c r="DD2" s="325" t="s">
        <v>351</v>
      </c>
      <c r="DE2" s="325" t="s">
        <v>424</v>
      </c>
      <c r="DF2" s="325" t="s">
        <v>352</v>
      </c>
      <c r="DG2" s="325" t="s">
        <v>821</v>
      </c>
      <c r="DH2" s="325" t="s">
        <v>824</v>
      </c>
      <c r="DI2" s="325" t="s">
        <v>867</v>
      </c>
      <c r="DJ2" s="325" t="s">
        <v>868</v>
      </c>
      <c r="DK2" s="444">
        <v>1000</v>
      </c>
      <c r="DL2" s="444">
        <v>1</v>
      </c>
      <c r="DN2" s="325" t="s">
        <v>349</v>
      </c>
      <c r="DO2" s="325" t="s">
        <v>351</v>
      </c>
      <c r="DP2" s="325" t="s">
        <v>352</v>
      </c>
      <c r="DQ2" s="325" t="s">
        <v>351</v>
      </c>
      <c r="DR2" s="325" t="s">
        <v>352</v>
      </c>
      <c r="DS2" s="444">
        <v>1000</v>
      </c>
      <c r="DT2" s="444">
        <v>1</v>
      </c>
      <c r="DV2" s="325" t="s">
        <v>349</v>
      </c>
      <c r="DW2" s="325" t="s">
        <v>356</v>
      </c>
      <c r="DX2" s="325" t="s">
        <v>351</v>
      </c>
      <c r="DY2" s="325" t="s">
        <v>424</v>
      </c>
      <c r="DZ2" s="325" t="s">
        <v>352</v>
      </c>
      <c r="EA2" s="325" t="s">
        <v>356</v>
      </c>
      <c r="EB2" s="325" t="s">
        <v>351</v>
      </c>
      <c r="EC2" s="325" t="s">
        <v>424</v>
      </c>
      <c r="ED2" s="325" t="s">
        <v>352</v>
      </c>
      <c r="EE2" s="444">
        <v>1000</v>
      </c>
      <c r="EF2" s="444">
        <v>1</v>
      </c>
      <c r="EH2" s="325" t="s">
        <v>349</v>
      </c>
      <c r="EI2" s="325" t="s">
        <v>352</v>
      </c>
      <c r="EJ2" s="325" t="s">
        <v>352</v>
      </c>
      <c r="EK2" s="444">
        <v>1000</v>
      </c>
      <c r="EL2" s="444">
        <v>1</v>
      </c>
      <c r="EN2" s="325" t="s">
        <v>349</v>
      </c>
      <c r="EO2" s="325" t="s">
        <v>356</v>
      </c>
      <c r="EP2" s="325" t="s">
        <v>351</v>
      </c>
      <c r="EQ2" s="325" t="s">
        <v>424</v>
      </c>
      <c r="ER2" s="325" t="s">
        <v>352</v>
      </c>
      <c r="ES2" s="325" t="s">
        <v>356</v>
      </c>
      <c r="ET2" s="325" t="s">
        <v>351</v>
      </c>
      <c r="EU2" s="325" t="s">
        <v>424</v>
      </c>
      <c r="EV2" s="325" t="s">
        <v>352</v>
      </c>
      <c r="EW2" s="444">
        <v>1000</v>
      </c>
      <c r="EX2" s="444">
        <v>1</v>
      </c>
      <c r="EZ2" s="325" t="s">
        <v>552</v>
      </c>
      <c r="FA2" s="325" t="s">
        <v>349</v>
      </c>
      <c r="FB2" s="325" t="s">
        <v>352</v>
      </c>
      <c r="FC2" s="325" t="s">
        <v>352</v>
      </c>
      <c r="FD2" s="444">
        <v>1000</v>
      </c>
      <c r="FE2" s="444">
        <v>1</v>
      </c>
      <c r="FG2" s="325" t="s">
        <v>552</v>
      </c>
      <c r="FH2" s="325" t="s">
        <v>349</v>
      </c>
      <c r="FI2" s="325" t="s">
        <v>356</v>
      </c>
      <c r="FJ2" s="325" t="s">
        <v>351</v>
      </c>
      <c r="FK2" s="325" t="s">
        <v>424</v>
      </c>
      <c r="FL2" s="325" t="s">
        <v>352</v>
      </c>
      <c r="FM2" s="325" t="s">
        <v>356</v>
      </c>
      <c r="FN2" s="325" t="s">
        <v>351</v>
      </c>
      <c r="FO2" s="325" t="s">
        <v>424</v>
      </c>
      <c r="FP2" s="325" t="s">
        <v>352</v>
      </c>
      <c r="FQ2" s="444">
        <v>1000</v>
      </c>
      <c r="FR2" s="444">
        <v>1</v>
      </c>
      <c r="FT2" s="82" t="s">
        <v>552</v>
      </c>
      <c r="FU2" s="82" t="s">
        <v>349</v>
      </c>
      <c r="FV2" s="82" t="s">
        <v>356</v>
      </c>
      <c r="FW2" s="82" t="s">
        <v>351</v>
      </c>
      <c r="FX2" s="82" t="s">
        <v>352</v>
      </c>
      <c r="FY2" s="82" t="s">
        <v>356</v>
      </c>
      <c r="FZ2" s="82" t="s">
        <v>351</v>
      </c>
      <c r="GA2" s="82" t="s">
        <v>352</v>
      </c>
      <c r="GB2" s="444">
        <v>1000</v>
      </c>
      <c r="GC2" s="444">
        <v>1</v>
      </c>
      <c r="GG2" s="82" t="s">
        <v>552</v>
      </c>
      <c r="GH2" s="82" t="s">
        <v>349</v>
      </c>
      <c r="GI2" s="82" t="s">
        <v>356</v>
      </c>
      <c r="GJ2" s="82" t="s">
        <v>351</v>
      </c>
      <c r="GK2" s="82" t="s">
        <v>424</v>
      </c>
      <c r="GL2" s="82" t="s">
        <v>352</v>
      </c>
      <c r="GM2" s="82" t="s">
        <v>353</v>
      </c>
      <c r="GN2" s="82" t="s">
        <v>356</v>
      </c>
      <c r="GO2" s="82" t="s">
        <v>351</v>
      </c>
      <c r="GP2" s="82" t="s">
        <v>424</v>
      </c>
      <c r="GQ2" s="82" t="s">
        <v>352</v>
      </c>
      <c r="GR2" s="82" t="s">
        <v>353</v>
      </c>
      <c r="GS2" s="444">
        <v>1000</v>
      </c>
      <c r="GT2" s="444">
        <v>1</v>
      </c>
      <c r="GV2" s="837" t="s">
        <v>349</v>
      </c>
      <c r="GW2" s="828" t="s">
        <v>352</v>
      </c>
      <c r="GX2" s="828" t="s">
        <v>352</v>
      </c>
      <c r="GY2" s="444">
        <v>1000</v>
      </c>
      <c r="GZ2" s="444">
        <v>1</v>
      </c>
      <c r="HB2" s="828" t="s">
        <v>349</v>
      </c>
      <c r="HC2" s="828" t="s">
        <v>356</v>
      </c>
      <c r="HD2" s="828" t="s">
        <v>351</v>
      </c>
      <c r="HE2" s="828" t="s">
        <v>424</v>
      </c>
      <c r="HF2" s="828" t="s">
        <v>352</v>
      </c>
      <c r="HG2" s="828" t="s">
        <v>356</v>
      </c>
      <c r="HH2" s="828" t="str">
        <f>+HE2</f>
        <v>Saldo por Comprometer</v>
      </c>
      <c r="HI2" s="828" t="s">
        <v>351</v>
      </c>
      <c r="HJ2" s="828" t="s">
        <v>424</v>
      </c>
      <c r="HK2" s="828" t="s">
        <v>352</v>
      </c>
      <c r="HL2" s="444">
        <v>1000</v>
      </c>
      <c r="HM2" s="444">
        <v>1</v>
      </c>
    </row>
    <row r="3" spans="1:221" ht="15" customHeight="1" x14ac:dyDescent="0.3">
      <c r="A3" s="295" t="s">
        <v>449</v>
      </c>
      <c r="B3" s="296" t="s">
        <v>480</v>
      </c>
      <c r="C3" s="297">
        <v>15462685000</v>
      </c>
      <c r="D3" s="298">
        <f>+C3/$G$2*$H$2</f>
        <v>16436834.154999999</v>
      </c>
      <c r="E3" s="297">
        <v>1084066451</v>
      </c>
      <c r="F3" s="297">
        <f>+E3/$G$2*$H$2</f>
        <v>1152362.6374129998</v>
      </c>
      <c r="J3" s="299" t="s">
        <v>449</v>
      </c>
      <c r="K3" s="300" t="s">
        <v>480</v>
      </c>
      <c r="L3" s="301">
        <v>1060634775</v>
      </c>
      <c r="M3" s="301">
        <f>+L3/$N$2*$O$2</f>
        <v>1127454.7658249999</v>
      </c>
      <c r="Q3" s="299" t="s">
        <v>449</v>
      </c>
      <c r="R3" s="300" t="s">
        <v>480</v>
      </c>
      <c r="S3" s="301">
        <v>15462685000</v>
      </c>
      <c r="T3" s="301">
        <v>2144701226</v>
      </c>
      <c r="U3" s="301">
        <f>+S3/$W$2*$X$2</f>
        <v>16436834.154999999</v>
      </c>
      <c r="V3" s="301">
        <f>+T3/$W$2*$X$2</f>
        <v>2279817.4032379999</v>
      </c>
      <c r="Z3" s="296" t="s">
        <v>480</v>
      </c>
      <c r="AA3" s="297">
        <v>1763926636</v>
      </c>
      <c r="AB3" s="297">
        <f>+AA3/$AC$2*$AD$2</f>
        <v>1875054.0140679998</v>
      </c>
      <c r="AF3" s="296" t="s">
        <v>480</v>
      </c>
      <c r="AG3" s="297">
        <v>15462685000</v>
      </c>
      <c r="AH3" s="297">
        <f t="shared" ref="AH3:AH34" si="0">+AG3/$AJ$2*$AK$2</f>
        <v>16436834.154999999</v>
      </c>
      <c r="AI3" s="297">
        <v>3908627862</v>
      </c>
      <c r="AL3" s="450"/>
      <c r="AN3" s="447" t="s">
        <v>449</v>
      </c>
      <c r="AO3" s="448" t="s">
        <v>480</v>
      </c>
      <c r="AP3" s="449">
        <v>1011484304</v>
      </c>
      <c r="AQ3" s="449">
        <f>+AP3/$AR$2*$AS$2</f>
        <v>1075207.8151519999</v>
      </c>
      <c r="AU3" s="447" t="s">
        <v>449</v>
      </c>
      <c r="AV3" s="448" t="s">
        <v>480</v>
      </c>
      <c r="AW3" s="449">
        <v>15458325000</v>
      </c>
      <c r="AX3" s="449">
        <v>4920112166</v>
      </c>
      <c r="AY3" s="449">
        <v>10538212834</v>
      </c>
      <c r="AZ3" s="450">
        <f>+AW3/$BC$2*$BD$2</f>
        <v>16432199.475</v>
      </c>
      <c r="BA3" s="450">
        <f>+AX3/$BC$2*$BD$2</f>
        <v>5230079.2324580001</v>
      </c>
      <c r="BB3" s="450">
        <f>+AY3/$BC$2*$BD$2</f>
        <v>11202120.242542</v>
      </c>
      <c r="BF3" s="447" t="s">
        <v>449</v>
      </c>
      <c r="BG3" s="448" t="s">
        <v>480</v>
      </c>
      <c r="BH3" s="449">
        <v>1090348611</v>
      </c>
      <c r="BI3" s="450">
        <f>+BH3/$BJ$2*$BK$2</f>
        <v>1090348.611</v>
      </c>
      <c r="BM3" s="451" t="s">
        <v>449</v>
      </c>
      <c r="BN3" s="94" t="s">
        <v>480</v>
      </c>
      <c r="BO3" s="95">
        <v>15458325000</v>
      </c>
      <c r="BP3" s="95">
        <v>15458325000</v>
      </c>
      <c r="BQ3" s="95">
        <v>6010460777</v>
      </c>
      <c r="BR3" s="95">
        <v>9447864223</v>
      </c>
      <c r="BS3" s="95">
        <v>6010460777</v>
      </c>
      <c r="BT3" s="450">
        <f>+BP3/$BX$2*$BY$2</f>
        <v>15458325</v>
      </c>
      <c r="BU3" s="450">
        <f>+BQ3/$BX$2*$BY$2</f>
        <v>6010460.7769999998</v>
      </c>
      <c r="BV3" s="450">
        <f>+BR3/$BX$2*$BY$2</f>
        <v>9447864.2229999993</v>
      </c>
      <c r="BW3" s="450">
        <f>+BS3/$BX$2*$BY$2</f>
        <v>6010460.7769999998</v>
      </c>
      <c r="CA3" s="94" t="s">
        <v>480</v>
      </c>
      <c r="CB3" s="450">
        <v>1832969719</v>
      </c>
      <c r="CC3" s="450">
        <f>+CB3/$CD$2*$CE$2</f>
        <v>1832969.719</v>
      </c>
      <c r="CG3" s="448" t="s">
        <v>480</v>
      </c>
      <c r="CH3" s="449">
        <v>15458325000</v>
      </c>
      <c r="CI3" s="449">
        <v>15458325000</v>
      </c>
      <c r="CJ3" s="449">
        <v>0</v>
      </c>
      <c r="CK3" s="449">
        <v>7843430496</v>
      </c>
      <c r="CL3" s="449">
        <v>7614894504</v>
      </c>
      <c r="CM3" s="449">
        <v>7843430496</v>
      </c>
      <c r="CN3" s="449">
        <f>+CI3/$CR$2*$CS$2</f>
        <v>15458325</v>
      </c>
      <c r="CO3" s="449">
        <f>+CK3/$CR$2*$CS$2</f>
        <v>7843430.4960000003</v>
      </c>
      <c r="CP3" s="449">
        <f>+CL3/$CR$2*$CS$2</f>
        <v>7614894.5039999997</v>
      </c>
      <c r="CQ3" s="449">
        <f>+CM3/$CR$2*$CS$2</f>
        <v>7843430.4960000003</v>
      </c>
      <c r="CU3" s="448" t="s">
        <v>480</v>
      </c>
      <c r="CV3" s="449">
        <v>1071044045</v>
      </c>
      <c r="CW3" s="449">
        <v>1071044045</v>
      </c>
      <c r="CX3" s="450">
        <f>+CV3/$CZ$2*$DA$2</f>
        <v>1071044.0449999999</v>
      </c>
      <c r="CY3" s="450">
        <f>+CW3/$CZ$2*$DA$2</f>
        <v>1071044.0449999999</v>
      </c>
      <c r="DB3" s="602" t="s">
        <v>480</v>
      </c>
      <c r="DC3" s="603">
        <v>15458325000</v>
      </c>
      <c r="DD3" s="603">
        <v>8914474541</v>
      </c>
      <c r="DE3" s="603">
        <v>6543850459</v>
      </c>
      <c r="DF3" s="603">
        <v>8914474541</v>
      </c>
      <c r="DG3" s="604">
        <f>+DC3/$DK$2*$DL$2</f>
        <v>15458325</v>
      </c>
      <c r="DH3" s="604">
        <f>+DD3/$DK$2*$DL$2</f>
        <v>8914474.5409999993</v>
      </c>
      <c r="DI3" s="604">
        <f>+DE3/$DK$2*$DL$2</f>
        <v>6543850.4589999998</v>
      </c>
      <c r="DJ3" s="604">
        <f>+DF3/$DK$2*$DL$2</f>
        <v>8914474.5409999993</v>
      </c>
      <c r="DN3" s="94" t="s">
        <v>480</v>
      </c>
      <c r="DO3" s="94">
        <v>1070706653</v>
      </c>
      <c r="DP3" s="94">
        <v>1070706653</v>
      </c>
      <c r="DQ3" s="666">
        <f>+DO3/$DS$2*$DT$2</f>
        <v>1070706.6529999999</v>
      </c>
      <c r="DR3" s="666">
        <f>+DP3/$DS$2*$DT$2</f>
        <v>1070706.6529999999</v>
      </c>
      <c r="DV3" s="94" t="s">
        <v>480</v>
      </c>
      <c r="DW3" s="95">
        <v>15458325000</v>
      </c>
      <c r="DX3" s="95">
        <v>9985181194</v>
      </c>
      <c r="DY3" s="95">
        <v>5473143806</v>
      </c>
      <c r="DZ3" s="95">
        <v>9985181194</v>
      </c>
      <c r="EA3" s="95">
        <f>+DW3/$EE$2*$EF$2</f>
        <v>15458325</v>
      </c>
      <c r="EB3" s="95">
        <f>+DX3/$EE$2*$EF$2</f>
        <v>9985181.1940000001</v>
      </c>
      <c r="EC3" s="95">
        <f>+DY3/$EE$2*$EF$2</f>
        <v>5473143.8059999999</v>
      </c>
      <c r="ED3" s="95">
        <f>+DZ3/$EE$2*$EF$2</f>
        <v>9985181.1940000001</v>
      </c>
      <c r="EH3" s="444" t="s">
        <v>480</v>
      </c>
      <c r="EI3" s="444">
        <v>1840819759</v>
      </c>
      <c r="EJ3" s="450">
        <f>+EI3/$EK$2*$EL$2</f>
        <v>1840819.7590000001</v>
      </c>
      <c r="EN3" s="444" t="s">
        <v>480</v>
      </c>
      <c r="EO3" s="450">
        <v>15458325000</v>
      </c>
      <c r="EP3" s="450">
        <v>11826000953</v>
      </c>
      <c r="EQ3" s="450">
        <v>3632324047</v>
      </c>
      <c r="ER3" s="450">
        <v>11826000953</v>
      </c>
      <c r="ES3" s="746">
        <f>+EO3/$EW$2*$EX$2</f>
        <v>15458325</v>
      </c>
      <c r="ET3" s="746">
        <f>+EP3/$EW$2*$EX$2</f>
        <v>11826000.953</v>
      </c>
      <c r="EU3" s="746">
        <f>+EQ3/$EW$2*$EX$2</f>
        <v>3632324.0469999998</v>
      </c>
      <c r="EV3" s="746">
        <f>+ER3/$EW$2*$EX$2</f>
        <v>11826000.953</v>
      </c>
      <c r="EZ3" s="780" t="s">
        <v>449</v>
      </c>
      <c r="FA3" s="781" t="s">
        <v>480</v>
      </c>
      <c r="FB3" s="444">
        <v>1089827758</v>
      </c>
      <c r="FC3" s="450">
        <f>+FB3/$FD$2*$FE$2</f>
        <v>1089827.7579999999</v>
      </c>
      <c r="FG3" s="785" t="s">
        <v>449</v>
      </c>
      <c r="FH3" s="784" t="s">
        <v>480</v>
      </c>
      <c r="FI3" s="782">
        <v>16203325000</v>
      </c>
      <c r="FJ3" s="783">
        <v>12915828711</v>
      </c>
      <c r="FK3" s="783">
        <v>3287496289</v>
      </c>
      <c r="FL3" s="783">
        <v>12915828711</v>
      </c>
      <c r="FM3" s="450">
        <f>+FI3/$FQ$2*$FR$2</f>
        <v>16203325</v>
      </c>
      <c r="FN3" s="450">
        <f>+FJ3/$FQ$2*$FR$2</f>
        <v>12915828.710999999</v>
      </c>
      <c r="FO3" s="450">
        <f>+FK3/$FQ$2*$FR$2</f>
        <v>3287496.2889999999</v>
      </c>
      <c r="FP3" s="450">
        <f>+FL3/$FQ$2*$FR$2</f>
        <v>12915828.710999999</v>
      </c>
      <c r="FT3" s="451" t="s">
        <v>449</v>
      </c>
      <c r="FU3" s="94" t="s">
        <v>480</v>
      </c>
      <c r="FV3" s="95">
        <v>309357000</v>
      </c>
      <c r="FW3" s="95">
        <v>1100465705</v>
      </c>
      <c r="FX3" s="95">
        <v>1100465705</v>
      </c>
      <c r="FY3" s="450">
        <f>+FV3/$GB$2*$GC$2</f>
        <v>309357</v>
      </c>
      <c r="FZ3" s="450">
        <f t="shared" ref="FZ3:GA3" si="1">+FW3/$GB$2*$GC$2</f>
        <v>1100465.7050000001</v>
      </c>
      <c r="GA3" s="450">
        <f t="shared" si="1"/>
        <v>1100465.7050000001</v>
      </c>
      <c r="GG3" s="817" t="s">
        <v>449</v>
      </c>
      <c r="GH3" s="818" t="s">
        <v>480</v>
      </c>
      <c r="GI3" s="819">
        <v>16512682000</v>
      </c>
      <c r="GJ3" s="819">
        <v>14016294416</v>
      </c>
      <c r="GK3" s="819">
        <v>2496387584</v>
      </c>
      <c r="GL3" s="819">
        <v>14016294416</v>
      </c>
      <c r="GM3" s="819">
        <v>0</v>
      </c>
      <c r="GN3" s="450">
        <f>+GI3/$GS$2*$GT$2</f>
        <v>16512682</v>
      </c>
      <c r="GO3" s="450">
        <f t="shared" ref="GO3:GR3" si="2">+GJ3/$GS$2*$GT$2</f>
        <v>14016294.415999999</v>
      </c>
      <c r="GP3" s="450">
        <f t="shared" si="2"/>
        <v>2496387.5839999998</v>
      </c>
      <c r="GQ3" s="450">
        <f t="shared" si="2"/>
        <v>14016294.415999999</v>
      </c>
      <c r="GR3" s="450">
        <f t="shared" si="2"/>
        <v>0</v>
      </c>
      <c r="GV3" s="841" t="s">
        <v>480</v>
      </c>
      <c r="GW3" s="840">
        <v>2075018968</v>
      </c>
      <c r="GX3" s="450">
        <f>+GW3/$GY$2*$GZ$2</f>
        <v>2075018.9680000001</v>
      </c>
      <c r="HB3" s="843" t="s">
        <v>480</v>
      </c>
      <c r="HC3" s="819">
        <v>16385519000</v>
      </c>
      <c r="HD3" s="819">
        <v>16091313384</v>
      </c>
      <c r="HE3" s="819">
        <v>294205616</v>
      </c>
      <c r="HF3" s="819">
        <v>16091313384</v>
      </c>
      <c r="HG3" s="450">
        <f>+HC3/$HL$2*$HM$2</f>
        <v>16385519</v>
      </c>
      <c r="HH3" s="450">
        <f>+HE3/$HL$2*$HM$2</f>
        <v>294205.61599999998</v>
      </c>
      <c r="HI3" s="450">
        <f>+HD3/$HL$2*$HM$2</f>
        <v>16091313.384</v>
      </c>
      <c r="HJ3" s="450">
        <f>+HE3/$HL$2*$HM$2</f>
        <v>294205.61599999998</v>
      </c>
      <c r="HK3" s="450">
        <f>+HF3/$HL$2*$HM$2</f>
        <v>16091313.384</v>
      </c>
    </row>
    <row r="4" spans="1:221" ht="15" customHeight="1" x14ac:dyDescent="0.3">
      <c r="A4" s="295" t="s">
        <v>355</v>
      </c>
      <c r="B4" s="296" t="s">
        <v>479</v>
      </c>
      <c r="C4" s="297">
        <v>911366481</v>
      </c>
      <c r="D4" s="298">
        <f t="shared" ref="D4:D67" si="3">+C4/$G$2*$H$2</f>
        <v>968782.569303</v>
      </c>
      <c r="E4" s="297">
        <v>61043783</v>
      </c>
      <c r="F4" s="297">
        <f t="shared" ref="F4:F67" si="4">+E4/$G$2*$H$2</f>
        <v>64889.541329</v>
      </c>
      <c r="J4" s="299" t="s">
        <v>355</v>
      </c>
      <c r="K4" s="300" t="s">
        <v>479</v>
      </c>
      <c r="L4" s="301">
        <v>60055782</v>
      </c>
      <c r="M4" s="301">
        <f t="shared" ref="M4:M67" si="5">+L4/$N$2*$O$2</f>
        <v>63839.296265999998</v>
      </c>
      <c r="Q4" s="299" t="s">
        <v>355</v>
      </c>
      <c r="R4" s="300" t="s">
        <v>479</v>
      </c>
      <c r="S4" s="301">
        <v>911366481</v>
      </c>
      <c r="T4" s="301">
        <v>121099565</v>
      </c>
      <c r="U4" s="301">
        <f t="shared" ref="U4:U67" si="6">+S4/$W$2*$X$2</f>
        <v>968782.569303</v>
      </c>
      <c r="V4" s="301">
        <f t="shared" ref="V4:V67" si="7">+T4/$W$2*$X$2</f>
        <v>128728.83759499999</v>
      </c>
      <c r="Z4" s="296" t="s">
        <v>479</v>
      </c>
      <c r="AA4" s="297">
        <v>84527276</v>
      </c>
      <c r="AB4" s="297">
        <f t="shared" ref="AB4:AB67" si="8">+AA4/$AC$2*$AD$2</f>
        <v>89852.494387999992</v>
      </c>
      <c r="AF4" s="296" t="s">
        <v>479</v>
      </c>
      <c r="AG4" s="297">
        <v>909566481</v>
      </c>
      <c r="AH4" s="297">
        <f t="shared" si="0"/>
        <v>966869.16930299997</v>
      </c>
      <c r="AI4" s="297">
        <v>205626841</v>
      </c>
      <c r="AL4" s="450"/>
      <c r="AN4" s="447" t="s">
        <v>355</v>
      </c>
      <c r="AO4" s="448" t="s">
        <v>479</v>
      </c>
      <c r="AP4" s="449">
        <v>57212252</v>
      </c>
      <c r="AQ4" s="449">
        <f t="shared" ref="AQ4:AQ67" si="9">+AP4/$AR$2*$AS$2</f>
        <v>60816.623875999998</v>
      </c>
      <c r="AU4" s="447" t="s">
        <v>355</v>
      </c>
      <c r="AV4" s="448" t="s">
        <v>479</v>
      </c>
      <c r="AW4" s="449">
        <v>911666481</v>
      </c>
      <c r="AX4" s="449">
        <v>262839093</v>
      </c>
      <c r="AY4" s="449">
        <v>648827388</v>
      </c>
      <c r="AZ4" s="450">
        <f t="shared" ref="AZ4:AZ67" si="10">+AW4/$BC$2*$BD$2</f>
        <v>969101.46930300002</v>
      </c>
      <c r="BA4" s="450">
        <f t="shared" ref="BA4:BA67" si="11">+AX4/$BC$2*$BD$2</f>
        <v>279397.95585899998</v>
      </c>
      <c r="BB4" s="450">
        <f t="shared" ref="BB4:BB67" si="12">+AY4/$BC$2*$BD$2</f>
        <v>689703.51344400004</v>
      </c>
      <c r="BF4" s="447" t="s">
        <v>355</v>
      </c>
      <c r="BG4" s="448" t="s">
        <v>479</v>
      </c>
      <c r="BH4" s="449">
        <v>53619916</v>
      </c>
      <c r="BI4" s="450">
        <f t="shared" ref="BI4:BI67" si="13">+BH4/$BJ$2*$BK$2</f>
        <v>53619.915999999997</v>
      </c>
      <c r="BM4" s="451" t="s">
        <v>355</v>
      </c>
      <c r="BN4" s="94" t="s">
        <v>479</v>
      </c>
      <c r="BO4" s="95">
        <v>0</v>
      </c>
      <c r="BP4" s="95">
        <v>912528481</v>
      </c>
      <c r="BQ4" s="95">
        <v>316459009</v>
      </c>
      <c r="BR4" s="95">
        <v>596069472</v>
      </c>
      <c r="BS4" s="95">
        <v>316459009</v>
      </c>
      <c r="BT4" s="450">
        <f t="shared" ref="BT4:BT67" si="14">+BP4/$BX$2*$BY$2</f>
        <v>912528.48100000003</v>
      </c>
      <c r="BU4" s="450">
        <f t="shared" ref="BU4:BU67" si="15">+BQ4/$BX$2*$BY$2</f>
        <v>316459.00900000002</v>
      </c>
      <c r="BV4" s="450">
        <f t="shared" ref="BV4:BV67" si="16">+BR4/$BX$2*$BY$2</f>
        <v>596069.47199999995</v>
      </c>
      <c r="BW4" s="450">
        <f t="shared" ref="BW4:BW67" si="17">+BS4/$BX$2*$BY$2</f>
        <v>316459.00900000002</v>
      </c>
      <c r="CA4" s="94" t="s">
        <v>479</v>
      </c>
      <c r="CB4" s="450">
        <v>88617257</v>
      </c>
      <c r="CC4" s="450">
        <f t="shared" ref="CC4:CC67" si="18">+CB4/$CD$2*$CE$2</f>
        <v>88617.256999999998</v>
      </c>
      <c r="CG4" s="448" t="s">
        <v>479</v>
      </c>
      <c r="CH4" s="449">
        <v>0</v>
      </c>
      <c r="CI4" s="449">
        <v>912913844</v>
      </c>
      <c r="CJ4" s="449">
        <v>-912913844</v>
      </c>
      <c r="CK4" s="449">
        <v>405076266</v>
      </c>
      <c r="CL4" s="449">
        <v>507837578</v>
      </c>
      <c r="CM4" s="449">
        <v>405076266</v>
      </c>
      <c r="CN4" s="449">
        <f t="shared" ref="CN4:CN67" si="19">+CI4/$CR$2*$CS$2</f>
        <v>912913.84400000004</v>
      </c>
      <c r="CO4" s="449">
        <f t="shared" ref="CO4:CO67" si="20">+CK4/$CR$2*$CS$2</f>
        <v>405076.266</v>
      </c>
      <c r="CP4" s="449">
        <f t="shared" ref="CP4:CP67" si="21">+CL4/$CR$2*$CS$2</f>
        <v>507837.57799999998</v>
      </c>
      <c r="CQ4" s="449">
        <f t="shared" ref="CQ4:CQ67" si="22">+CM4/$CR$2*$CS$2</f>
        <v>405076.266</v>
      </c>
      <c r="CU4" s="448" t="s">
        <v>479</v>
      </c>
      <c r="CV4" s="449">
        <v>61764831</v>
      </c>
      <c r="CW4" s="449">
        <v>61764831</v>
      </c>
      <c r="CX4" s="450">
        <f t="shared" ref="CX4:CX67" si="23">+CV4/$CZ$2*$DA$2</f>
        <v>61764.830999999998</v>
      </c>
      <c r="CY4" s="450">
        <f t="shared" ref="CY4:CY67" si="24">+CW4/$CZ$2*$DA$2</f>
        <v>61764.830999999998</v>
      </c>
      <c r="DB4" s="602" t="s">
        <v>479</v>
      </c>
      <c r="DC4" s="603">
        <v>913363844</v>
      </c>
      <c r="DD4" s="603">
        <v>466841097</v>
      </c>
      <c r="DE4" s="603">
        <v>446522747</v>
      </c>
      <c r="DF4" s="603">
        <v>466841097</v>
      </c>
      <c r="DG4" s="604">
        <f t="shared" ref="DG4:DG67" si="25">+DC4/$DK$2*$DL$2</f>
        <v>913363.84400000004</v>
      </c>
      <c r="DH4" s="604">
        <f t="shared" ref="DH4:DH67" si="26">+DD4/$DK$2*$DL$2</f>
        <v>466841.09700000001</v>
      </c>
      <c r="DI4" s="604">
        <f t="shared" ref="DI4:DI67" si="27">+DE4/$DK$2*$DL$2</f>
        <v>446522.74699999997</v>
      </c>
      <c r="DJ4" s="604">
        <f t="shared" ref="DJ4:DJ67" si="28">+DF4/$DK$2*$DL$2</f>
        <v>466841.09700000001</v>
      </c>
      <c r="DN4" s="94" t="s">
        <v>479</v>
      </c>
      <c r="DO4" s="94">
        <v>58920118</v>
      </c>
      <c r="DP4" s="94">
        <v>58920118</v>
      </c>
      <c r="DQ4" s="666">
        <f t="shared" ref="DQ4:DQ67" si="29">+DO4/$DS$2*$DT$2</f>
        <v>58920.118000000002</v>
      </c>
      <c r="DR4" s="666">
        <f t="shared" ref="DR4:DR67" si="30">+DP4/$DS$2*$DT$2</f>
        <v>58920.118000000002</v>
      </c>
      <c r="DV4" s="94" t="s">
        <v>479</v>
      </c>
      <c r="DW4" s="95">
        <v>915699844</v>
      </c>
      <c r="DX4" s="95">
        <v>525761215</v>
      </c>
      <c r="DY4" s="95">
        <v>389938629</v>
      </c>
      <c r="DZ4" s="95">
        <v>525761215</v>
      </c>
      <c r="EA4" s="95">
        <f t="shared" ref="EA4:EA67" si="31">+DW4/$EE$2*$EF$2</f>
        <v>915699.84400000004</v>
      </c>
      <c r="EB4" s="95">
        <f t="shared" ref="EB4:EB67" si="32">+DX4/$EE$2*$EF$2</f>
        <v>525761.21499999997</v>
      </c>
      <c r="EC4" s="95">
        <f t="shared" ref="EC4:EC67" si="33">+DY4/$EE$2*$EF$2</f>
        <v>389938.62900000002</v>
      </c>
      <c r="ED4" s="95">
        <f t="shared" ref="ED4:ED67" si="34">+DZ4/$EE$2*$EF$2</f>
        <v>525761.21499999997</v>
      </c>
      <c r="EH4" s="444" t="s">
        <v>479</v>
      </c>
      <c r="EI4" s="444">
        <v>90190336</v>
      </c>
      <c r="EJ4" s="450">
        <f t="shared" ref="EJ4:EJ67" si="35">+EI4/$EK$2*$EL$2</f>
        <v>90190.335999999996</v>
      </c>
      <c r="EN4" s="444" t="s">
        <v>479</v>
      </c>
      <c r="EO4" s="450">
        <v>916199844</v>
      </c>
      <c r="EP4" s="450">
        <v>615951551</v>
      </c>
      <c r="EQ4" s="450">
        <v>300248293</v>
      </c>
      <c r="ER4" s="450">
        <v>615951551</v>
      </c>
      <c r="ES4" s="746">
        <f t="shared" ref="ES4:ES67" si="36">+EO4/$EW$2*$EX$2</f>
        <v>916199.84400000004</v>
      </c>
      <c r="ET4" s="746">
        <f t="shared" ref="ET4:ET67" si="37">+EP4/$EW$2*$EX$2</f>
        <v>615951.55099999998</v>
      </c>
      <c r="EU4" s="746">
        <f t="shared" ref="EU4:EU67" si="38">+EQ4/$EW$2*$EX$2</f>
        <v>300248.29300000001</v>
      </c>
      <c r="EV4" s="746">
        <f t="shared" ref="EV4:EV67" si="39">+ER4/$EW$2*$EX$2</f>
        <v>615951.55099999998</v>
      </c>
      <c r="EZ4" s="780" t="s">
        <v>355</v>
      </c>
      <c r="FA4" s="781" t="s">
        <v>479</v>
      </c>
      <c r="FB4" s="444">
        <v>59321395</v>
      </c>
      <c r="FC4" s="450">
        <f t="shared" ref="FC4:FC67" si="40">+FB4/$FD$2*$FE$2</f>
        <v>59321.394999999997</v>
      </c>
      <c r="FG4" s="785" t="s">
        <v>355</v>
      </c>
      <c r="FH4" s="784" t="s">
        <v>479</v>
      </c>
      <c r="FI4" s="782">
        <v>918299844</v>
      </c>
      <c r="FJ4" s="783">
        <v>675272946</v>
      </c>
      <c r="FK4" s="783">
        <v>243026898</v>
      </c>
      <c r="FL4" s="783">
        <v>675272946</v>
      </c>
      <c r="FM4" s="450">
        <f t="shared" ref="FM4:FM67" si="41">+FI4/$FQ$2*$FR$2</f>
        <v>918299.84400000004</v>
      </c>
      <c r="FN4" s="450">
        <f t="shared" ref="FN4:FN67" si="42">+FJ4/$FQ$2*$FR$2</f>
        <v>675272.946</v>
      </c>
      <c r="FO4" s="450">
        <f t="shared" ref="FO4:FO67" si="43">+FK4/$FQ$2*$FR$2</f>
        <v>243026.89799999999</v>
      </c>
      <c r="FP4" s="450">
        <f t="shared" ref="FP4:FP67" si="44">+FL4/$FQ$2*$FR$2</f>
        <v>675272.946</v>
      </c>
      <c r="FT4" s="451" t="s">
        <v>355</v>
      </c>
      <c r="FU4" s="94" t="s">
        <v>479</v>
      </c>
      <c r="FV4" s="95">
        <v>-5000000</v>
      </c>
      <c r="FW4" s="95">
        <v>59811975</v>
      </c>
      <c r="FX4" s="95">
        <v>59811975</v>
      </c>
      <c r="FY4" s="450">
        <f t="shared" ref="FY4:FY67" si="45">+FV4/$GB$2*$GC$2</f>
        <v>-5000</v>
      </c>
      <c r="FZ4" s="450">
        <f t="shared" ref="FZ4:FZ67" si="46">+FW4/$GB$2*$GC$2</f>
        <v>59811.974999999999</v>
      </c>
      <c r="GA4" s="450">
        <f t="shared" ref="GA4:GA67" si="47">+FX4/$GB$2*$GC$2</f>
        <v>59811.974999999999</v>
      </c>
      <c r="GG4" s="817" t="s">
        <v>355</v>
      </c>
      <c r="GH4" s="818" t="s">
        <v>479</v>
      </c>
      <c r="GI4" s="819">
        <v>913299844</v>
      </c>
      <c r="GJ4" s="819">
        <v>735084921</v>
      </c>
      <c r="GK4" s="819">
        <v>178214923</v>
      </c>
      <c r="GL4" s="819">
        <v>735084921</v>
      </c>
      <c r="GM4" s="819">
        <v>0</v>
      </c>
      <c r="GN4" s="450">
        <f t="shared" ref="GN4:GN67" si="48">+GI4/$GS$2*$GT$2</f>
        <v>913299.84400000004</v>
      </c>
      <c r="GO4" s="450">
        <f t="shared" ref="GO4:GO67" si="49">+GJ4/$GS$2*$GT$2</f>
        <v>735084.92099999997</v>
      </c>
      <c r="GP4" s="450">
        <f t="shared" ref="GP4:GP67" si="50">+GK4/$GS$2*$GT$2</f>
        <v>178214.92300000001</v>
      </c>
      <c r="GQ4" s="450">
        <f t="shared" ref="GQ4:GQ67" si="51">+GL4/$GS$2*$GT$2</f>
        <v>735084.92099999997</v>
      </c>
      <c r="GR4" s="450">
        <f t="shared" ref="GR4:GR67" si="52">+GM4/$GS$2*$GT$2</f>
        <v>0</v>
      </c>
      <c r="GV4" s="841" t="s">
        <v>479</v>
      </c>
      <c r="GW4" s="840">
        <v>97775826</v>
      </c>
      <c r="GX4" s="450">
        <f t="shared" ref="GX4:GX67" si="53">+GW4/$GY$2*$GZ$2</f>
        <v>97775.826000000001</v>
      </c>
      <c r="HB4" s="843" t="s">
        <v>479</v>
      </c>
      <c r="HC4" s="819">
        <v>900140059</v>
      </c>
      <c r="HD4" s="819">
        <v>832860747</v>
      </c>
      <c r="HE4" s="819">
        <v>67279312</v>
      </c>
      <c r="HF4" s="819">
        <v>832860747</v>
      </c>
      <c r="HG4" s="450">
        <f t="shared" ref="HG4:HG67" si="54">+HC4/$HL$2*$HM$2</f>
        <v>900140.05900000001</v>
      </c>
      <c r="HH4" s="450">
        <f t="shared" ref="HH4:HH67" si="55">+HE4/$HL$2*$HM$2</f>
        <v>67279.312000000005</v>
      </c>
      <c r="HI4" s="450">
        <f t="shared" ref="HI4:HI67" si="56">+HD4/$HL$2*$HM$2</f>
        <v>832860.74699999997</v>
      </c>
      <c r="HJ4" s="450">
        <f t="shared" ref="HJ4:HJ67" si="57">+HE4/$HL$2*$HM$2</f>
        <v>67279.312000000005</v>
      </c>
      <c r="HK4" s="450">
        <f t="shared" ref="HK4:HK67" si="58">+HF4/$HL$2*$HM$2</f>
        <v>832860.74699999997</v>
      </c>
    </row>
    <row r="5" spans="1:221" ht="15" customHeight="1" x14ac:dyDescent="0.3">
      <c r="A5" s="295" t="s">
        <v>553</v>
      </c>
      <c r="B5" s="296" t="s">
        <v>478</v>
      </c>
      <c r="C5" s="297">
        <v>665267782</v>
      </c>
      <c r="D5" s="298">
        <f t="shared" si="3"/>
        <v>707179.65226599993</v>
      </c>
      <c r="E5" s="297">
        <v>46614221</v>
      </c>
      <c r="F5" s="297">
        <f t="shared" si="4"/>
        <v>49550.916922999997</v>
      </c>
      <c r="J5" s="299" t="s">
        <v>553</v>
      </c>
      <c r="K5" s="300" t="s">
        <v>478</v>
      </c>
      <c r="L5" s="301">
        <v>46614221</v>
      </c>
      <c r="M5" s="301">
        <f t="shared" si="5"/>
        <v>49550.916922999997</v>
      </c>
      <c r="Q5" s="299" t="s">
        <v>553</v>
      </c>
      <c r="R5" s="300" t="s">
        <v>478</v>
      </c>
      <c r="S5" s="301">
        <v>665267782</v>
      </c>
      <c r="T5" s="301">
        <v>93228442</v>
      </c>
      <c r="U5" s="301">
        <f t="shared" si="6"/>
        <v>707179.65226599993</v>
      </c>
      <c r="V5" s="301">
        <f t="shared" si="7"/>
        <v>99101.833845999994</v>
      </c>
      <c r="Z5" s="296" t="s">
        <v>478</v>
      </c>
      <c r="AA5" s="297">
        <v>61520594</v>
      </c>
      <c r="AB5" s="297">
        <f t="shared" si="8"/>
        <v>65396.391421999993</v>
      </c>
      <c r="AF5" s="296" t="s">
        <v>478</v>
      </c>
      <c r="AG5" s="297">
        <v>665267782</v>
      </c>
      <c r="AH5" s="297">
        <f t="shared" si="0"/>
        <v>707179.65226599993</v>
      </c>
      <c r="AI5" s="297">
        <v>154749036</v>
      </c>
      <c r="AL5" s="450"/>
      <c r="AN5" s="447" t="s">
        <v>553</v>
      </c>
      <c r="AO5" s="448" t="s">
        <v>478</v>
      </c>
      <c r="AP5" s="449">
        <v>43513776</v>
      </c>
      <c r="AQ5" s="449">
        <f t="shared" si="9"/>
        <v>46255.143887999999</v>
      </c>
      <c r="AU5" s="447" t="s">
        <v>553</v>
      </c>
      <c r="AV5" s="448" t="s">
        <v>478</v>
      </c>
      <c r="AW5" s="449">
        <v>665267782</v>
      </c>
      <c r="AX5" s="449">
        <v>198262812</v>
      </c>
      <c r="AY5" s="449">
        <v>467004970</v>
      </c>
      <c r="AZ5" s="450">
        <f t="shared" si="10"/>
        <v>707179.65226599993</v>
      </c>
      <c r="BA5" s="450">
        <f t="shared" si="11"/>
        <v>210753.369156</v>
      </c>
      <c r="BB5" s="450">
        <f t="shared" si="12"/>
        <v>496426.28310999996</v>
      </c>
      <c r="BF5" s="447" t="s">
        <v>553</v>
      </c>
      <c r="BG5" s="448" t="s">
        <v>478</v>
      </c>
      <c r="BH5" s="449">
        <v>43513776</v>
      </c>
      <c r="BI5" s="450">
        <f t="shared" si="13"/>
        <v>43513.775999999998</v>
      </c>
      <c r="BM5" s="451" t="s">
        <v>553</v>
      </c>
      <c r="BN5" s="94" t="s">
        <v>478</v>
      </c>
      <c r="BO5" s="95">
        <v>0</v>
      </c>
      <c r="BP5" s="95">
        <v>665267782</v>
      </c>
      <c r="BQ5" s="95">
        <v>241776588</v>
      </c>
      <c r="BR5" s="95">
        <v>423491194</v>
      </c>
      <c r="BS5" s="95">
        <v>241776588</v>
      </c>
      <c r="BT5" s="450">
        <f t="shared" si="14"/>
        <v>665267.78200000001</v>
      </c>
      <c r="BU5" s="450">
        <f t="shared" si="15"/>
        <v>241776.58799999999</v>
      </c>
      <c r="BV5" s="450">
        <f t="shared" si="16"/>
        <v>423491.19400000002</v>
      </c>
      <c r="BW5" s="450">
        <f t="shared" si="17"/>
        <v>241776.58799999999</v>
      </c>
      <c r="CA5" s="94" t="s">
        <v>478</v>
      </c>
      <c r="CB5" s="450">
        <v>64685285</v>
      </c>
      <c r="CC5" s="450">
        <f t="shared" si="18"/>
        <v>64685.285000000003</v>
      </c>
      <c r="CG5" s="448" t="s">
        <v>478</v>
      </c>
      <c r="CH5" s="449">
        <v>0</v>
      </c>
      <c r="CI5" s="449">
        <v>665267782</v>
      </c>
      <c r="CJ5" s="449">
        <v>-665267782</v>
      </c>
      <c r="CK5" s="449">
        <v>306461873</v>
      </c>
      <c r="CL5" s="449">
        <v>358805909</v>
      </c>
      <c r="CM5" s="449">
        <v>306461873</v>
      </c>
      <c r="CN5" s="449">
        <f t="shared" si="19"/>
        <v>665267.78200000001</v>
      </c>
      <c r="CO5" s="449">
        <f t="shared" si="20"/>
        <v>306461.87300000002</v>
      </c>
      <c r="CP5" s="449">
        <f t="shared" si="21"/>
        <v>358805.90899999999</v>
      </c>
      <c r="CQ5" s="449">
        <f t="shared" si="22"/>
        <v>306461.87300000002</v>
      </c>
      <c r="CU5" s="448" t="s">
        <v>478</v>
      </c>
      <c r="CV5" s="449">
        <v>45916102</v>
      </c>
      <c r="CW5" s="449">
        <v>45916102</v>
      </c>
      <c r="CX5" s="450">
        <f t="shared" si="23"/>
        <v>45916.101999999999</v>
      </c>
      <c r="CY5" s="450">
        <f t="shared" si="24"/>
        <v>45916.101999999999</v>
      </c>
      <c r="DB5" s="602" t="s">
        <v>478</v>
      </c>
      <c r="DC5" s="603">
        <v>665267782</v>
      </c>
      <c r="DD5" s="603">
        <v>352377975</v>
      </c>
      <c r="DE5" s="603">
        <v>312889807</v>
      </c>
      <c r="DF5" s="603">
        <v>352377975</v>
      </c>
      <c r="DG5" s="604">
        <f t="shared" si="25"/>
        <v>665267.78200000001</v>
      </c>
      <c r="DH5" s="604">
        <f t="shared" si="26"/>
        <v>352377.97499999998</v>
      </c>
      <c r="DI5" s="604">
        <f t="shared" si="27"/>
        <v>312889.80699999997</v>
      </c>
      <c r="DJ5" s="604">
        <f t="shared" si="28"/>
        <v>352377.97499999998</v>
      </c>
      <c r="DN5" s="94" t="s">
        <v>478</v>
      </c>
      <c r="DO5" s="94">
        <v>45966363</v>
      </c>
      <c r="DP5" s="94">
        <v>45966363</v>
      </c>
      <c r="DQ5" s="666">
        <f t="shared" si="29"/>
        <v>45966.362999999998</v>
      </c>
      <c r="DR5" s="666">
        <f t="shared" si="30"/>
        <v>45966.362999999998</v>
      </c>
      <c r="DV5" s="94" t="s">
        <v>478</v>
      </c>
      <c r="DW5" s="95">
        <v>665267782</v>
      </c>
      <c r="DX5" s="95">
        <v>398344338</v>
      </c>
      <c r="DY5" s="95">
        <v>266923444</v>
      </c>
      <c r="DZ5" s="95">
        <v>398344338</v>
      </c>
      <c r="EA5" s="95">
        <f t="shared" si="31"/>
        <v>665267.78200000001</v>
      </c>
      <c r="EB5" s="95">
        <f t="shared" si="32"/>
        <v>398344.33799999999</v>
      </c>
      <c r="EC5" s="95">
        <f t="shared" si="33"/>
        <v>266923.44400000002</v>
      </c>
      <c r="ED5" s="95">
        <f t="shared" si="34"/>
        <v>398344.33799999999</v>
      </c>
      <c r="EH5" s="444" t="s">
        <v>478</v>
      </c>
      <c r="EI5" s="444">
        <v>63529281</v>
      </c>
      <c r="EJ5" s="450">
        <f t="shared" si="35"/>
        <v>63529.281000000003</v>
      </c>
      <c r="EN5" s="444" t="s">
        <v>478</v>
      </c>
      <c r="EO5" s="450">
        <v>665267782</v>
      </c>
      <c r="EP5" s="450">
        <v>461873619</v>
      </c>
      <c r="EQ5" s="450">
        <v>203394163</v>
      </c>
      <c r="ER5" s="450">
        <v>461873619</v>
      </c>
      <c r="ES5" s="746">
        <f t="shared" si="36"/>
        <v>665267.78200000001</v>
      </c>
      <c r="ET5" s="746">
        <f t="shared" si="37"/>
        <v>461873.61900000001</v>
      </c>
      <c r="EU5" s="746">
        <f t="shared" si="38"/>
        <v>203394.163</v>
      </c>
      <c r="EV5" s="746">
        <f t="shared" si="39"/>
        <v>461873.61900000001</v>
      </c>
      <c r="EZ5" s="780" t="s">
        <v>553</v>
      </c>
      <c r="FA5" s="781" t="s">
        <v>478</v>
      </c>
      <c r="FB5" s="444">
        <v>46811494</v>
      </c>
      <c r="FC5" s="450">
        <f t="shared" si="40"/>
        <v>46811.493999999999</v>
      </c>
      <c r="FG5" s="785" t="s">
        <v>553</v>
      </c>
      <c r="FH5" s="784" t="s">
        <v>478</v>
      </c>
      <c r="FI5" s="782">
        <v>665267782</v>
      </c>
      <c r="FJ5" s="783">
        <v>508685113</v>
      </c>
      <c r="FK5" s="783">
        <v>156582669</v>
      </c>
      <c r="FL5" s="783">
        <v>508685113</v>
      </c>
      <c r="FM5" s="450">
        <f t="shared" si="41"/>
        <v>665267.78200000001</v>
      </c>
      <c r="FN5" s="450">
        <f t="shared" si="42"/>
        <v>508685.11300000001</v>
      </c>
      <c r="FO5" s="450">
        <f t="shared" si="43"/>
        <v>156582.66899999999</v>
      </c>
      <c r="FP5" s="450">
        <f t="shared" si="44"/>
        <v>508685.11300000001</v>
      </c>
      <c r="FT5" s="451" t="s">
        <v>553</v>
      </c>
      <c r="FU5" s="94" t="s">
        <v>478</v>
      </c>
      <c r="FV5" s="95">
        <v>0</v>
      </c>
      <c r="FW5" s="95">
        <v>46928290</v>
      </c>
      <c r="FX5" s="95">
        <v>46928290</v>
      </c>
      <c r="FY5" s="450">
        <f t="shared" si="45"/>
        <v>0</v>
      </c>
      <c r="FZ5" s="450">
        <f t="shared" si="46"/>
        <v>46928.29</v>
      </c>
      <c r="GA5" s="450">
        <f t="shared" si="47"/>
        <v>46928.29</v>
      </c>
      <c r="GG5" s="817" t="s">
        <v>553</v>
      </c>
      <c r="GH5" s="818" t="s">
        <v>478</v>
      </c>
      <c r="GI5" s="819">
        <v>665267782</v>
      </c>
      <c r="GJ5" s="819">
        <v>555613403</v>
      </c>
      <c r="GK5" s="819">
        <v>109654379</v>
      </c>
      <c r="GL5" s="819">
        <v>555613403</v>
      </c>
      <c r="GM5" s="819">
        <v>0</v>
      </c>
      <c r="GN5" s="450">
        <f t="shared" si="48"/>
        <v>665267.78200000001</v>
      </c>
      <c r="GO5" s="450">
        <f t="shared" si="49"/>
        <v>555613.40300000005</v>
      </c>
      <c r="GP5" s="450">
        <f t="shared" si="50"/>
        <v>109654.379</v>
      </c>
      <c r="GQ5" s="450">
        <f t="shared" si="51"/>
        <v>555613.40300000005</v>
      </c>
      <c r="GR5" s="450">
        <f t="shared" si="52"/>
        <v>0</v>
      </c>
      <c r="GV5" s="841" t="s">
        <v>478</v>
      </c>
      <c r="GW5" s="840">
        <v>68550717</v>
      </c>
      <c r="GX5" s="450">
        <f t="shared" si="53"/>
        <v>68550.717000000004</v>
      </c>
      <c r="HB5" s="843" t="s">
        <v>478</v>
      </c>
      <c r="HC5" s="819">
        <v>665923782</v>
      </c>
      <c r="HD5" s="819">
        <v>624164120</v>
      </c>
      <c r="HE5" s="819">
        <v>41759662</v>
      </c>
      <c r="HF5" s="819">
        <v>624164120</v>
      </c>
      <c r="HG5" s="450">
        <f t="shared" si="54"/>
        <v>665923.78200000001</v>
      </c>
      <c r="HH5" s="450">
        <f t="shared" si="55"/>
        <v>41759.661999999997</v>
      </c>
      <c r="HI5" s="450">
        <f t="shared" si="56"/>
        <v>624164.12</v>
      </c>
      <c r="HJ5" s="450">
        <f t="shared" si="57"/>
        <v>41759.661999999997</v>
      </c>
      <c r="HK5" s="450">
        <f t="shared" si="58"/>
        <v>624164.12</v>
      </c>
    </row>
    <row r="6" spans="1:221" ht="15" customHeight="1" x14ac:dyDescent="0.3">
      <c r="A6" s="295" t="s">
        <v>554</v>
      </c>
      <c r="B6" s="296" t="s">
        <v>477</v>
      </c>
      <c r="C6" s="297">
        <v>124967490</v>
      </c>
      <c r="D6" s="298">
        <f t="shared" si="3"/>
        <v>132840.44187000001</v>
      </c>
      <c r="E6" s="297">
        <v>9915117</v>
      </c>
      <c r="F6" s="297">
        <f t="shared" si="4"/>
        <v>10539.769371</v>
      </c>
      <c r="J6" s="299" t="s">
        <v>554</v>
      </c>
      <c r="K6" s="300" t="s">
        <v>477</v>
      </c>
      <c r="L6" s="301">
        <v>9915117</v>
      </c>
      <c r="M6" s="301">
        <f t="shared" si="5"/>
        <v>10539.769371</v>
      </c>
      <c r="Q6" s="299" t="s">
        <v>554</v>
      </c>
      <c r="R6" s="300" t="s">
        <v>477</v>
      </c>
      <c r="S6" s="301">
        <v>124967490</v>
      </c>
      <c r="T6" s="301">
        <v>19830234</v>
      </c>
      <c r="U6" s="301">
        <f t="shared" si="6"/>
        <v>132840.44187000001</v>
      </c>
      <c r="V6" s="301">
        <f t="shared" si="7"/>
        <v>21079.538742000001</v>
      </c>
      <c r="Z6" s="296" t="s">
        <v>477</v>
      </c>
      <c r="AA6" s="297">
        <v>9440417</v>
      </c>
      <c r="AB6" s="297">
        <f t="shared" si="8"/>
        <v>10035.163270999999</v>
      </c>
      <c r="AF6" s="296" t="s">
        <v>477</v>
      </c>
      <c r="AG6" s="297">
        <v>124967490</v>
      </c>
      <c r="AH6" s="297">
        <f t="shared" si="0"/>
        <v>132840.44187000001</v>
      </c>
      <c r="AI6" s="297">
        <v>29270651</v>
      </c>
      <c r="AL6" s="450"/>
      <c r="AN6" s="447" t="s">
        <v>554</v>
      </c>
      <c r="AO6" s="448" t="s">
        <v>477</v>
      </c>
      <c r="AP6" s="449">
        <v>9203067</v>
      </c>
      <c r="AQ6" s="449">
        <f t="shared" si="9"/>
        <v>9782.860220999999</v>
      </c>
      <c r="AU6" s="447" t="s">
        <v>554</v>
      </c>
      <c r="AV6" s="448" t="s">
        <v>477</v>
      </c>
      <c r="AW6" s="449">
        <v>124967490</v>
      </c>
      <c r="AX6" s="449">
        <v>38473718</v>
      </c>
      <c r="AY6" s="449">
        <v>86493772</v>
      </c>
      <c r="AZ6" s="450">
        <f t="shared" si="10"/>
        <v>132840.44187000001</v>
      </c>
      <c r="BA6" s="450">
        <f t="shared" si="11"/>
        <v>40897.562233999997</v>
      </c>
      <c r="BB6" s="450">
        <f t="shared" si="12"/>
        <v>91942.879635999998</v>
      </c>
      <c r="BF6" s="447" t="s">
        <v>554</v>
      </c>
      <c r="BG6" s="448" t="s">
        <v>477</v>
      </c>
      <c r="BH6" s="449">
        <v>9203067</v>
      </c>
      <c r="BI6" s="450">
        <f t="shared" si="13"/>
        <v>9203.0669999999991</v>
      </c>
      <c r="BM6" s="451" t="s">
        <v>554</v>
      </c>
      <c r="BN6" s="94" t="s">
        <v>477</v>
      </c>
      <c r="BO6" s="95">
        <v>0</v>
      </c>
      <c r="BP6" s="95">
        <v>124967490</v>
      </c>
      <c r="BQ6" s="95">
        <v>47676785</v>
      </c>
      <c r="BR6" s="95">
        <v>77290705</v>
      </c>
      <c r="BS6" s="95">
        <v>47676785</v>
      </c>
      <c r="BT6" s="450">
        <f t="shared" si="14"/>
        <v>124967.49</v>
      </c>
      <c r="BU6" s="450">
        <f t="shared" si="15"/>
        <v>47676.785000000003</v>
      </c>
      <c r="BV6" s="450">
        <f t="shared" si="16"/>
        <v>77290.705000000002</v>
      </c>
      <c r="BW6" s="450">
        <f t="shared" si="17"/>
        <v>47676.785000000003</v>
      </c>
      <c r="CA6" s="94" t="s">
        <v>477</v>
      </c>
      <c r="CB6" s="450">
        <v>9900262</v>
      </c>
      <c r="CC6" s="450">
        <f t="shared" si="18"/>
        <v>9900.2620000000006</v>
      </c>
      <c r="CG6" s="448" t="s">
        <v>477</v>
      </c>
      <c r="CH6" s="449">
        <v>0</v>
      </c>
      <c r="CI6" s="449">
        <v>124967490</v>
      </c>
      <c r="CJ6" s="449">
        <v>-124967490</v>
      </c>
      <c r="CK6" s="449">
        <v>57577047</v>
      </c>
      <c r="CL6" s="449">
        <v>67390443</v>
      </c>
      <c r="CM6" s="449">
        <v>57577047</v>
      </c>
      <c r="CN6" s="449">
        <f t="shared" si="19"/>
        <v>124967.49</v>
      </c>
      <c r="CO6" s="449">
        <f t="shared" si="20"/>
        <v>57577.046999999999</v>
      </c>
      <c r="CP6" s="449">
        <f t="shared" si="21"/>
        <v>67390.442999999999</v>
      </c>
      <c r="CQ6" s="449">
        <f t="shared" si="22"/>
        <v>57577.046999999999</v>
      </c>
      <c r="CU6" s="448" t="s">
        <v>477</v>
      </c>
      <c r="CV6" s="449">
        <v>9469468</v>
      </c>
      <c r="CW6" s="449">
        <v>9469468</v>
      </c>
      <c r="CX6" s="450">
        <f t="shared" si="23"/>
        <v>9469.4680000000008</v>
      </c>
      <c r="CY6" s="450">
        <f t="shared" si="24"/>
        <v>9469.4680000000008</v>
      </c>
      <c r="DB6" s="602" t="s">
        <v>477</v>
      </c>
      <c r="DC6" s="603">
        <v>124967490</v>
      </c>
      <c r="DD6" s="603">
        <v>67046515</v>
      </c>
      <c r="DE6" s="603">
        <v>57920975</v>
      </c>
      <c r="DF6" s="603">
        <v>67046515</v>
      </c>
      <c r="DG6" s="604">
        <f t="shared" si="25"/>
        <v>124967.49</v>
      </c>
      <c r="DH6" s="604">
        <f t="shared" si="26"/>
        <v>67046.514999999999</v>
      </c>
      <c r="DI6" s="604">
        <f t="shared" si="27"/>
        <v>57920.974999999999</v>
      </c>
      <c r="DJ6" s="604">
        <f t="shared" si="28"/>
        <v>67046.514999999999</v>
      </c>
      <c r="DN6" s="94" t="s">
        <v>477</v>
      </c>
      <c r="DO6" s="94">
        <v>9502452</v>
      </c>
      <c r="DP6" s="94">
        <v>9502452</v>
      </c>
      <c r="DQ6" s="666">
        <f t="shared" si="29"/>
        <v>9502.4519999999993</v>
      </c>
      <c r="DR6" s="666">
        <f t="shared" si="30"/>
        <v>9502.4519999999993</v>
      </c>
      <c r="DV6" s="94" t="s">
        <v>477</v>
      </c>
      <c r="DW6" s="95">
        <v>124967490</v>
      </c>
      <c r="DX6" s="95">
        <v>76548967</v>
      </c>
      <c r="DY6" s="95">
        <v>48418523</v>
      </c>
      <c r="DZ6" s="95">
        <v>76548967</v>
      </c>
      <c r="EA6" s="95">
        <f t="shared" si="31"/>
        <v>124967.49</v>
      </c>
      <c r="EB6" s="95">
        <f t="shared" si="32"/>
        <v>76548.967000000004</v>
      </c>
      <c r="EC6" s="95">
        <f t="shared" si="33"/>
        <v>48418.523000000001</v>
      </c>
      <c r="ED6" s="95">
        <f t="shared" si="34"/>
        <v>76548.967000000004</v>
      </c>
      <c r="EH6" s="444" t="s">
        <v>477</v>
      </c>
      <c r="EI6" s="444">
        <v>9502452</v>
      </c>
      <c r="EJ6" s="450">
        <f t="shared" si="35"/>
        <v>9502.4519999999993</v>
      </c>
      <c r="EN6" s="444" t="s">
        <v>477</v>
      </c>
      <c r="EO6" s="450">
        <v>124967490</v>
      </c>
      <c r="EP6" s="450">
        <v>86051419</v>
      </c>
      <c r="EQ6" s="450">
        <v>38916071</v>
      </c>
      <c r="ER6" s="450">
        <v>86051419</v>
      </c>
      <c r="ES6" s="746">
        <f t="shared" si="36"/>
        <v>124967.49</v>
      </c>
      <c r="ET6" s="746">
        <f t="shared" si="37"/>
        <v>86051.418999999994</v>
      </c>
      <c r="EU6" s="746">
        <f t="shared" si="38"/>
        <v>38916.071000000004</v>
      </c>
      <c r="EV6" s="746">
        <f t="shared" si="39"/>
        <v>86051.418999999994</v>
      </c>
      <c r="EZ6" s="780" t="s">
        <v>554</v>
      </c>
      <c r="FA6" s="781" t="s">
        <v>477</v>
      </c>
      <c r="FB6" s="444">
        <v>9915117</v>
      </c>
      <c r="FC6" s="450">
        <f t="shared" si="40"/>
        <v>9915.1170000000002</v>
      </c>
      <c r="FG6" s="785" t="s">
        <v>554</v>
      </c>
      <c r="FH6" s="784" t="s">
        <v>477</v>
      </c>
      <c r="FI6" s="782">
        <v>124967490</v>
      </c>
      <c r="FJ6" s="783">
        <v>95966536</v>
      </c>
      <c r="FK6" s="783">
        <v>29000954</v>
      </c>
      <c r="FL6" s="783">
        <v>95966536</v>
      </c>
      <c r="FM6" s="450">
        <f t="shared" si="41"/>
        <v>124967.49</v>
      </c>
      <c r="FN6" s="450">
        <f t="shared" si="42"/>
        <v>95966.535999999993</v>
      </c>
      <c r="FO6" s="450">
        <f t="shared" si="43"/>
        <v>29000.954000000002</v>
      </c>
      <c r="FP6" s="450">
        <f t="shared" si="44"/>
        <v>95966.535999999993</v>
      </c>
      <c r="FT6" s="451" t="s">
        <v>554</v>
      </c>
      <c r="FU6" s="94" t="s">
        <v>477</v>
      </c>
      <c r="FV6" s="95">
        <v>0</v>
      </c>
      <c r="FW6" s="95">
        <v>9915117</v>
      </c>
      <c r="FX6" s="95">
        <v>9915117</v>
      </c>
      <c r="FY6" s="450">
        <f t="shared" si="45"/>
        <v>0</v>
      </c>
      <c r="FZ6" s="450">
        <f t="shared" si="46"/>
        <v>9915.1170000000002</v>
      </c>
      <c r="GA6" s="450">
        <f t="shared" si="47"/>
        <v>9915.1170000000002</v>
      </c>
      <c r="GG6" s="817" t="s">
        <v>554</v>
      </c>
      <c r="GH6" s="818" t="s">
        <v>477</v>
      </c>
      <c r="GI6" s="819">
        <v>124967490</v>
      </c>
      <c r="GJ6" s="819">
        <v>105881653</v>
      </c>
      <c r="GK6" s="819">
        <v>19085837</v>
      </c>
      <c r="GL6" s="819">
        <v>105881653</v>
      </c>
      <c r="GM6" s="819">
        <v>0</v>
      </c>
      <c r="GN6" s="450">
        <f t="shared" si="48"/>
        <v>124967.49</v>
      </c>
      <c r="GO6" s="450">
        <f t="shared" si="49"/>
        <v>105881.65300000001</v>
      </c>
      <c r="GP6" s="450">
        <f t="shared" si="50"/>
        <v>19085.837</v>
      </c>
      <c r="GQ6" s="450">
        <f t="shared" si="51"/>
        <v>105881.65300000001</v>
      </c>
      <c r="GR6" s="450">
        <f t="shared" si="52"/>
        <v>0</v>
      </c>
      <c r="GV6" s="841" t="s">
        <v>477</v>
      </c>
      <c r="GW6" s="840">
        <v>10256139</v>
      </c>
      <c r="GX6" s="450">
        <f t="shared" si="53"/>
        <v>10256.138999999999</v>
      </c>
      <c r="HB6" s="843" t="s">
        <v>477</v>
      </c>
      <c r="HC6" s="819">
        <v>122588490</v>
      </c>
      <c r="HD6" s="819">
        <v>116137792</v>
      </c>
      <c r="HE6" s="819">
        <v>6450698</v>
      </c>
      <c r="HF6" s="819">
        <v>116137792</v>
      </c>
      <c r="HG6" s="450">
        <f t="shared" si="54"/>
        <v>122588.49</v>
      </c>
      <c r="HH6" s="450">
        <f t="shared" si="55"/>
        <v>6450.6980000000003</v>
      </c>
      <c r="HI6" s="450">
        <f t="shared" si="56"/>
        <v>116137.792</v>
      </c>
      <c r="HJ6" s="450">
        <f t="shared" si="57"/>
        <v>6450.6980000000003</v>
      </c>
      <c r="HK6" s="450">
        <f t="shared" si="58"/>
        <v>116137.792</v>
      </c>
    </row>
    <row r="7" spans="1:221" ht="15" customHeight="1" x14ac:dyDescent="0.3">
      <c r="A7" s="295" t="s">
        <v>554</v>
      </c>
      <c r="B7" s="296" t="s">
        <v>555</v>
      </c>
      <c r="C7" s="297">
        <v>16043881</v>
      </c>
      <c r="D7" s="298">
        <f t="shared" si="3"/>
        <v>17054.645503</v>
      </c>
      <c r="E7" s="297">
        <v>1290888</v>
      </c>
      <c r="F7" s="297">
        <f t="shared" si="4"/>
        <v>1372.2139439999999</v>
      </c>
      <c r="J7" s="299" t="s">
        <v>554</v>
      </c>
      <c r="K7" s="300" t="s">
        <v>555</v>
      </c>
      <c r="L7" s="301">
        <v>1290888</v>
      </c>
      <c r="M7" s="301">
        <f t="shared" si="5"/>
        <v>1372.2139439999999</v>
      </c>
      <c r="Q7" s="299" t="s">
        <v>554</v>
      </c>
      <c r="R7" s="300" t="s">
        <v>555</v>
      </c>
      <c r="S7" s="301">
        <v>16043881</v>
      </c>
      <c r="T7" s="301">
        <v>2581776</v>
      </c>
      <c r="U7" s="301">
        <f t="shared" si="6"/>
        <v>17054.645503</v>
      </c>
      <c r="V7" s="301">
        <f t="shared" si="7"/>
        <v>2744.4278879999997</v>
      </c>
      <c r="Z7" s="296" t="s">
        <v>555</v>
      </c>
      <c r="AA7" s="297">
        <v>1271900</v>
      </c>
      <c r="AB7" s="297">
        <f t="shared" si="8"/>
        <v>1352.0297</v>
      </c>
      <c r="AF7" s="296" t="s">
        <v>555</v>
      </c>
      <c r="AG7" s="297">
        <v>16043881</v>
      </c>
      <c r="AH7" s="297">
        <f t="shared" si="0"/>
        <v>17054.645503</v>
      </c>
      <c r="AI7" s="297">
        <v>3853676</v>
      </c>
      <c r="AL7" s="450"/>
      <c r="AN7" s="447" t="s">
        <v>554</v>
      </c>
      <c r="AO7" s="448" t="s">
        <v>555</v>
      </c>
      <c r="AP7" s="449">
        <v>1273635</v>
      </c>
      <c r="AQ7" s="449">
        <f t="shared" si="9"/>
        <v>1353.8740049999999</v>
      </c>
      <c r="AU7" s="447" t="s">
        <v>554</v>
      </c>
      <c r="AV7" s="448" t="s">
        <v>555</v>
      </c>
      <c r="AW7" s="449">
        <v>16043881</v>
      </c>
      <c r="AX7" s="449">
        <v>5127311</v>
      </c>
      <c r="AY7" s="449">
        <v>10916570</v>
      </c>
      <c r="AZ7" s="450">
        <f t="shared" si="10"/>
        <v>17054.645503</v>
      </c>
      <c r="BA7" s="450">
        <f t="shared" si="11"/>
        <v>5450.331592999999</v>
      </c>
      <c r="BB7" s="450">
        <f t="shared" si="12"/>
        <v>11604.313909999999</v>
      </c>
      <c r="BF7" s="447" t="s">
        <v>554</v>
      </c>
      <c r="BG7" s="448" t="s">
        <v>555</v>
      </c>
      <c r="BH7" s="449">
        <v>1273635</v>
      </c>
      <c r="BI7" s="450">
        <f t="shared" si="13"/>
        <v>1273.635</v>
      </c>
      <c r="BM7" s="451" t="s">
        <v>554</v>
      </c>
      <c r="BN7" s="94" t="s">
        <v>555</v>
      </c>
      <c r="BO7" s="95">
        <v>0</v>
      </c>
      <c r="BP7" s="95">
        <v>16043881</v>
      </c>
      <c r="BQ7" s="95">
        <v>6400946</v>
      </c>
      <c r="BR7" s="95">
        <v>9642935</v>
      </c>
      <c r="BS7" s="95">
        <v>6400946</v>
      </c>
      <c r="BT7" s="450">
        <f t="shared" si="14"/>
        <v>16043.880999999999</v>
      </c>
      <c r="BU7" s="450">
        <f t="shared" si="15"/>
        <v>6400.9459999999999</v>
      </c>
      <c r="BV7" s="450">
        <f t="shared" si="16"/>
        <v>9642.9349999999995</v>
      </c>
      <c r="BW7" s="450">
        <f t="shared" si="17"/>
        <v>6400.9459999999999</v>
      </c>
      <c r="CA7" s="94" t="s">
        <v>555</v>
      </c>
      <c r="CB7" s="450">
        <v>1260200</v>
      </c>
      <c r="CC7" s="450">
        <f t="shared" si="18"/>
        <v>1260.2</v>
      </c>
      <c r="CG7" s="448" t="s">
        <v>555</v>
      </c>
      <c r="CH7" s="449">
        <v>0</v>
      </c>
      <c r="CI7" s="449">
        <v>16043881</v>
      </c>
      <c r="CJ7" s="449">
        <v>-16043881</v>
      </c>
      <c r="CK7" s="449">
        <v>7661146</v>
      </c>
      <c r="CL7" s="449">
        <v>8382735</v>
      </c>
      <c r="CM7" s="449">
        <v>7661146</v>
      </c>
      <c r="CN7" s="449">
        <f t="shared" si="19"/>
        <v>16043.880999999999</v>
      </c>
      <c r="CO7" s="449">
        <f t="shared" si="20"/>
        <v>7661.1459999999997</v>
      </c>
      <c r="CP7" s="449">
        <f t="shared" si="21"/>
        <v>8382.7350000000006</v>
      </c>
      <c r="CQ7" s="449">
        <f t="shared" si="22"/>
        <v>7661.1459999999997</v>
      </c>
      <c r="CU7" s="448" t="s">
        <v>555</v>
      </c>
      <c r="CV7" s="449">
        <v>1260200</v>
      </c>
      <c r="CW7" s="449">
        <v>1260200</v>
      </c>
      <c r="CX7" s="450">
        <f t="shared" si="23"/>
        <v>1260.2</v>
      </c>
      <c r="CY7" s="450">
        <f t="shared" si="24"/>
        <v>1260.2</v>
      </c>
      <c r="DB7" s="602" t="s">
        <v>555</v>
      </c>
      <c r="DC7" s="603">
        <v>16043881</v>
      </c>
      <c r="DD7" s="603">
        <v>8921346</v>
      </c>
      <c r="DE7" s="603">
        <v>7122535</v>
      </c>
      <c r="DF7" s="603">
        <v>8921346</v>
      </c>
      <c r="DG7" s="604">
        <f t="shared" si="25"/>
        <v>16043.880999999999</v>
      </c>
      <c r="DH7" s="604">
        <f t="shared" si="26"/>
        <v>8921.3459999999995</v>
      </c>
      <c r="DI7" s="604">
        <f t="shared" si="27"/>
        <v>7122.5349999999999</v>
      </c>
      <c r="DJ7" s="604">
        <f t="shared" si="28"/>
        <v>8921.3459999999995</v>
      </c>
      <c r="DN7" s="94" t="s">
        <v>555</v>
      </c>
      <c r="DO7" s="94">
        <v>1260200</v>
      </c>
      <c r="DP7" s="94">
        <v>1260200</v>
      </c>
      <c r="DQ7" s="666">
        <f t="shared" si="29"/>
        <v>1260.2</v>
      </c>
      <c r="DR7" s="666">
        <f t="shared" si="30"/>
        <v>1260.2</v>
      </c>
      <c r="DV7" s="94" t="s">
        <v>555</v>
      </c>
      <c r="DW7" s="95">
        <v>16043881</v>
      </c>
      <c r="DX7" s="95">
        <v>10181546</v>
      </c>
      <c r="DY7" s="95">
        <v>5862335</v>
      </c>
      <c r="DZ7" s="95">
        <v>10181546</v>
      </c>
      <c r="EA7" s="95">
        <f t="shared" si="31"/>
        <v>16043.880999999999</v>
      </c>
      <c r="EB7" s="95">
        <f t="shared" si="32"/>
        <v>10181.546</v>
      </c>
      <c r="EC7" s="95">
        <f t="shared" si="33"/>
        <v>5862.335</v>
      </c>
      <c r="ED7" s="95">
        <f t="shared" si="34"/>
        <v>10181.546</v>
      </c>
      <c r="EH7" s="444" t="s">
        <v>555</v>
      </c>
      <c r="EI7" s="444">
        <v>1273635</v>
      </c>
      <c r="EJ7" s="450">
        <f t="shared" si="35"/>
        <v>1273.635</v>
      </c>
      <c r="EN7" s="444" t="s">
        <v>555</v>
      </c>
      <c r="EO7" s="450">
        <v>16043881</v>
      </c>
      <c r="EP7" s="450">
        <v>11455181</v>
      </c>
      <c r="EQ7" s="450">
        <v>4588700</v>
      </c>
      <c r="ER7" s="450">
        <v>11455181</v>
      </c>
      <c r="ES7" s="746">
        <f t="shared" si="36"/>
        <v>16043.880999999999</v>
      </c>
      <c r="ET7" s="746">
        <f t="shared" si="37"/>
        <v>11455.181</v>
      </c>
      <c r="EU7" s="746">
        <f t="shared" si="38"/>
        <v>4588.7</v>
      </c>
      <c r="EV7" s="746">
        <f t="shared" si="39"/>
        <v>11455.181</v>
      </c>
      <c r="EZ7" s="780" t="s">
        <v>554</v>
      </c>
      <c r="FA7" s="781" t="s">
        <v>555</v>
      </c>
      <c r="FB7" s="444">
        <v>1235413</v>
      </c>
      <c r="FC7" s="450">
        <f t="shared" si="40"/>
        <v>1235.413</v>
      </c>
      <c r="FG7" s="785" t="s">
        <v>554</v>
      </c>
      <c r="FH7" s="784" t="s">
        <v>555</v>
      </c>
      <c r="FI7" s="782">
        <v>16043881</v>
      </c>
      <c r="FJ7" s="783">
        <v>12690594</v>
      </c>
      <c r="FK7" s="783">
        <v>3353287</v>
      </c>
      <c r="FL7" s="783">
        <v>12690594</v>
      </c>
      <c r="FM7" s="450">
        <f t="shared" si="41"/>
        <v>16043.880999999999</v>
      </c>
      <c r="FN7" s="450">
        <f t="shared" si="42"/>
        <v>12690.593999999999</v>
      </c>
      <c r="FO7" s="450">
        <f t="shared" si="43"/>
        <v>3353.2869999999998</v>
      </c>
      <c r="FP7" s="450">
        <f t="shared" si="44"/>
        <v>12690.593999999999</v>
      </c>
      <c r="FT7" s="451" t="s">
        <v>554</v>
      </c>
      <c r="FU7" s="94" t="s">
        <v>555</v>
      </c>
      <c r="FV7" s="95">
        <v>0</v>
      </c>
      <c r="FW7" s="95">
        <v>1338727</v>
      </c>
      <c r="FX7" s="95">
        <v>1338727</v>
      </c>
      <c r="FY7" s="450">
        <f t="shared" si="45"/>
        <v>0</v>
      </c>
      <c r="FZ7" s="450">
        <f t="shared" si="46"/>
        <v>1338.7270000000001</v>
      </c>
      <c r="GA7" s="450">
        <f t="shared" si="47"/>
        <v>1338.7270000000001</v>
      </c>
      <c r="GG7" s="817" t="s">
        <v>554</v>
      </c>
      <c r="GH7" s="818" t="s">
        <v>555</v>
      </c>
      <c r="GI7" s="819">
        <v>16043881</v>
      </c>
      <c r="GJ7" s="819">
        <v>14029321</v>
      </c>
      <c r="GK7" s="819">
        <v>2014560</v>
      </c>
      <c r="GL7" s="819">
        <v>14029321</v>
      </c>
      <c r="GM7" s="819">
        <v>0</v>
      </c>
      <c r="GN7" s="450">
        <f t="shared" si="48"/>
        <v>16043.880999999999</v>
      </c>
      <c r="GO7" s="450">
        <f t="shared" si="49"/>
        <v>14029.321</v>
      </c>
      <c r="GP7" s="450">
        <f t="shared" si="50"/>
        <v>2014.56</v>
      </c>
      <c r="GQ7" s="450">
        <f t="shared" si="51"/>
        <v>14029.321</v>
      </c>
      <c r="GR7" s="450">
        <f t="shared" si="52"/>
        <v>0</v>
      </c>
      <c r="GV7" s="841" t="s">
        <v>555</v>
      </c>
      <c r="GW7" s="840">
        <v>1337350</v>
      </c>
      <c r="GX7" s="450">
        <f t="shared" si="53"/>
        <v>1337.35</v>
      </c>
      <c r="HB7" s="843" t="s">
        <v>555</v>
      </c>
      <c r="HC7" s="819">
        <v>16043881</v>
      </c>
      <c r="HD7" s="819">
        <v>15366671</v>
      </c>
      <c r="HE7" s="819">
        <v>677210</v>
      </c>
      <c r="HF7" s="819">
        <v>15366671</v>
      </c>
      <c r="HG7" s="450">
        <f t="shared" si="54"/>
        <v>16043.880999999999</v>
      </c>
      <c r="HH7" s="450">
        <f t="shared" si="55"/>
        <v>677.21</v>
      </c>
      <c r="HI7" s="450">
        <f t="shared" si="56"/>
        <v>15366.671</v>
      </c>
      <c r="HJ7" s="450">
        <f t="shared" si="57"/>
        <v>677.21</v>
      </c>
      <c r="HK7" s="450">
        <f t="shared" si="58"/>
        <v>15366.671</v>
      </c>
    </row>
    <row r="8" spans="1:221" ht="15" customHeight="1" x14ac:dyDescent="0.3">
      <c r="A8" s="295" t="s">
        <v>554</v>
      </c>
      <c r="B8" s="296" t="s">
        <v>476</v>
      </c>
      <c r="C8" s="297">
        <v>87051305</v>
      </c>
      <c r="D8" s="298">
        <f t="shared" si="3"/>
        <v>92535.537214999989</v>
      </c>
      <c r="E8" s="297">
        <v>6699723</v>
      </c>
      <c r="F8" s="297">
        <f t="shared" si="4"/>
        <v>7121.8055489999997</v>
      </c>
      <c r="J8" s="299" t="s">
        <v>554</v>
      </c>
      <c r="K8" s="300" t="s">
        <v>476</v>
      </c>
      <c r="L8" s="301">
        <v>6699723</v>
      </c>
      <c r="M8" s="301">
        <f t="shared" si="5"/>
        <v>7121.8055489999997</v>
      </c>
      <c r="Q8" s="299" t="s">
        <v>554</v>
      </c>
      <c r="R8" s="300" t="s">
        <v>476</v>
      </c>
      <c r="S8" s="301">
        <v>87051305</v>
      </c>
      <c r="T8" s="301">
        <v>13399446</v>
      </c>
      <c r="U8" s="301">
        <f t="shared" si="6"/>
        <v>92535.537214999989</v>
      </c>
      <c r="V8" s="301">
        <f t="shared" si="7"/>
        <v>14243.611097999999</v>
      </c>
      <c r="Z8" s="296" t="s">
        <v>476</v>
      </c>
      <c r="AA8" s="297">
        <v>6699723</v>
      </c>
      <c r="AB8" s="297">
        <f t="shared" si="8"/>
        <v>7121.8055489999997</v>
      </c>
      <c r="AF8" s="296" t="s">
        <v>476</v>
      </c>
      <c r="AG8" s="297">
        <v>87051305</v>
      </c>
      <c r="AH8" s="297">
        <f t="shared" si="0"/>
        <v>92535.537214999989</v>
      </c>
      <c r="AI8" s="297">
        <v>20099169</v>
      </c>
      <c r="AL8" s="450"/>
      <c r="AN8" s="447" t="s">
        <v>554</v>
      </c>
      <c r="AO8" s="448" t="s">
        <v>476</v>
      </c>
      <c r="AP8" s="449">
        <v>6699723</v>
      </c>
      <c r="AQ8" s="449">
        <f t="shared" si="9"/>
        <v>7121.8055489999997</v>
      </c>
      <c r="AU8" s="447" t="s">
        <v>554</v>
      </c>
      <c r="AV8" s="448" t="s">
        <v>476</v>
      </c>
      <c r="AW8" s="449">
        <v>87051305</v>
      </c>
      <c r="AX8" s="449">
        <v>26798892</v>
      </c>
      <c r="AY8" s="449">
        <v>60252413</v>
      </c>
      <c r="AZ8" s="450">
        <f t="shared" si="10"/>
        <v>92535.537214999989</v>
      </c>
      <c r="BA8" s="450">
        <f t="shared" si="11"/>
        <v>28487.222195999999</v>
      </c>
      <c r="BB8" s="450">
        <f t="shared" si="12"/>
        <v>64048.315018999994</v>
      </c>
      <c r="BF8" s="447" t="s">
        <v>554</v>
      </c>
      <c r="BG8" s="448" t="s">
        <v>476</v>
      </c>
      <c r="BH8" s="449">
        <v>6699723</v>
      </c>
      <c r="BI8" s="450">
        <f t="shared" si="13"/>
        <v>6699.723</v>
      </c>
      <c r="BM8" s="451" t="s">
        <v>554</v>
      </c>
      <c r="BN8" s="94" t="s">
        <v>476</v>
      </c>
      <c r="BO8" s="95">
        <v>0</v>
      </c>
      <c r="BP8" s="95">
        <v>87051305</v>
      </c>
      <c r="BQ8" s="95">
        <v>33498615</v>
      </c>
      <c r="BR8" s="95">
        <v>53552690</v>
      </c>
      <c r="BS8" s="95">
        <v>33498615</v>
      </c>
      <c r="BT8" s="450">
        <f t="shared" si="14"/>
        <v>87051.304999999993</v>
      </c>
      <c r="BU8" s="450">
        <f t="shared" si="15"/>
        <v>33498.614999999998</v>
      </c>
      <c r="BV8" s="450">
        <f t="shared" si="16"/>
        <v>53552.69</v>
      </c>
      <c r="BW8" s="450">
        <f t="shared" si="17"/>
        <v>33498.614999999998</v>
      </c>
      <c r="CA8" s="94" t="s">
        <v>476</v>
      </c>
      <c r="CB8" s="450">
        <v>7269369</v>
      </c>
      <c r="CC8" s="450">
        <f t="shared" si="18"/>
        <v>7269.3689999999997</v>
      </c>
      <c r="CG8" s="448" t="s">
        <v>476</v>
      </c>
      <c r="CH8" s="449">
        <v>0</v>
      </c>
      <c r="CI8" s="449">
        <v>87051305</v>
      </c>
      <c r="CJ8" s="449">
        <v>-87051305</v>
      </c>
      <c r="CK8" s="449">
        <v>40767984</v>
      </c>
      <c r="CL8" s="449">
        <v>46283321</v>
      </c>
      <c r="CM8" s="449">
        <v>40767984</v>
      </c>
      <c r="CN8" s="449">
        <f t="shared" si="19"/>
        <v>87051.304999999993</v>
      </c>
      <c r="CO8" s="449">
        <f t="shared" si="20"/>
        <v>40767.983999999997</v>
      </c>
      <c r="CP8" s="449">
        <f t="shared" si="21"/>
        <v>46283.321000000004</v>
      </c>
      <c r="CQ8" s="449">
        <f t="shared" si="22"/>
        <v>40767.983999999997</v>
      </c>
      <c r="CU8" s="448" t="s">
        <v>476</v>
      </c>
      <c r="CV8" s="449">
        <v>7269369</v>
      </c>
      <c r="CW8" s="449">
        <v>7269369</v>
      </c>
      <c r="CX8" s="450">
        <f t="shared" si="23"/>
        <v>7269.3689999999997</v>
      </c>
      <c r="CY8" s="450">
        <f t="shared" si="24"/>
        <v>7269.3689999999997</v>
      </c>
      <c r="DB8" s="602" t="s">
        <v>476</v>
      </c>
      <c r="DC8" s="603">
        <v>87051305</v>
      </c>
      <c r="DD8" s="603">
        <v>48037353</v>
      </c>
      <c r="DE8" s="603">
        <v>39013952</v>
      </c>
      <c r="DF8" s="603">
        <v>48037353</v>
      </c>
      <c r="DG8" s="604">
        <f t="shared" si="25"/>
        <v>87051.304999999993</v>
      </c>
      <c r="DH8" s="604">
        <f t="shared" si="26"/>
        <v>48037.353000000003</v>
      </c>
      <c r="DI8" s="604">
        <f t="shared" si="27"/>
        <v>39013.951999999997</v>
      </c>
      <c r="DJ8" s="604">
        <f t="shared" si="28"/>
        <v>48037.353000000003</v>
      </c>
      <c r="DN8" s="94" t="s">
        <v>476</v>
      </c>
      <c r="DO8" s="94">
        <v>7269369</v>
      </c>
      <c r="DP8" s="94">
        <v>7269369</v>
      </c>
      <c r="DQ8" s="666">
        <f t="shared" si="29"/>
        <v>7269.3689999999997</v>
      </c>
      <c r="DR8" s="666">
        <f t="shared" si="30"/>
        <v>7269.3689999999997</v>
      </c>
      <c r="DV8" s="94" t="s">
        <v>476</v>
      </c>
      <c r="DW8" s="95">
        <v>87051305</v>
      </c>
      <c r="DX8" s="95">
        <v>55306722</v>
      </c>
      <c r="DY8" s="95">
        <v>31744583</v>
      </c>
      <c r="DZ8" s="95">
        <v>55306722</v>
      </c>
      <c r="EA8" s="95">
        <f t="shared" si="31"/>
        <v>87051.304999999993</v>
      </c>
      <c r="EB8" s="95">
        <f t="shared" si="32"/>
        <v>55306.722000000002</v>
      </c>
      <c r="EC8" s="95">
        <f t="shared" si="33"/>
        <v>31744.582999999999</v>
      </c>
      <c r="ED8" s="95">
        <f t="shared" si="34"/>
        <v>55306.722000000002</v>
      </c>
      <c r="EH8" s="444" t="s">
        <v>476</v>
      </c>
      <c r="EI8" s="444">
        <v>7269369</v>
      </c>
      <c r="EJ8" s="450">
        <f t="shared" si="35"/>
        <v>7269.3689999999997</v>
      </c>
      <c r="EN8" s="444" t="s">
        <v>476</v>
      </c>
      <c r="EO8" s="450">
        <v>87051305</v>
      </c>
      <c r="EP8" s="450">
        <v>62576091</v>
      </c>
      <c r="EQ8" s="450">
        <v>24475214</v>
      </c>
      <c r="ER8" s="450">
        <v>62576091</v>
      </c>
      <c r="ES8" s="746">
        <f t="shared" si="36"/>
        <v>87051.304999999993</v>
      </c>
      <c r="ET8" s="746">
        <f t="shared" si="37"/>
        <v>62576.091</v>
      </c>
      <c r="EU8" s="746">
        <f t="shared" si="38"/>
        <v>24475.214</v>
      </c>
      <c r="EV8" s="746">
        <f t="shared" si="39"/>
        <v>62576.091</v>
      </c>
      <c r="EZ8" s="780" t="s">
        <v>554</v>
      </c>
      <c r="FA8" s="781" t="s">
        <v>476</v>
      </c>
      <c r="FB8" s="444">
        <v>7269369</v>
      </c>
      <c r="FC8" s="450">
        <f t="shared" si="40"/>
        <v>7269.3689999999997</v>
      </c>
      <c r="FG8" s="785" t="s">
        <v>554</v>
      </c>
      <c r="FH8" s="784" t="s">
        <v>476</v>
      </c>
      <c r="FI8" s="782">
        <v>87051305</v>
      </c>
      <c r="FJ8" s="783">
        <v>69845460</v>
      </c>
      <c r="FK8" s="783">
        <v>17205845</v>
      </c>
      <c r="FL8" s="783">
        <v>69845460</v>
      </c>
      <c r="FM8" s="450">
        <f t="shared" si="41"/>
        <v>87051.304999999993</v>
      </c>
      <c r="FN8" s="450">
        <f t="shared" si="42"/>
        <v>69845.460000000006</v>
      </c>
      <c r="FO8" s="450">
        <f t="shared" si="43"/>
        <v>17205.845000000001</v>
      </c>
      <c r="FP8" s="450">
        <f t="shared" si="44"/>
        <v>69845.460000000006</v>
      </c>
      <c r="FT8" s="451" t="s">
        <v>554</v>
      </c>
      <c r="FU8" s="94" t="s">
        <v>476</v>
      </c>
      <c r="FV8" s="95">
        <v>0</v>
      </c>
      <c r="FW8" s="95">
        <v>7269369</v>
      </c>
      <c r="FX8" s="95">
        <v>7269369</v>
      </c>
      <c r="FY8" s="450">
        <f t="shared" si="45"/>
        <v>0</v>
      </c>
      <c r="FZ8" s="450">
        <f t="shared" si="46"/>
        <v>7269.3689999999997</v>
      </c>
      <c r="GA8" s="450">
        <f t="shared" si="47"/>
        <v>7269.3689999999997</v>
      </c>
      <c r="GG8" s="817" t="s">
        <v>554</v>
      </c>
      <c r="GH8" s="818" t="s">
        <v>476</v>
      </c>
      <c r="GI8" s="819">
        <v>87051305</v>
      </c>
      <c r="GJ8" s="819">
        <v>77114829</v>
      </c>
      <c r="GK8" s="819">
        <v>9936476</v>
      </c>
      <c r="GL8" s="819">
        <v>77114829</v>
      </c>
      <c r="GM8" s="819">
        <v>0</v>
      </c>
      <c r="GN8" s="450">
        <f t="shared" si="48"/>
        <v>87051.304999999993</v>
      </c>
      <c r="GO8" s="450">
        <f t="shared" si="49"/>
        <v>77114.828999999998</v>
      </c>
      <c r="GP8" s="450">
        <f t="shared" si="50"/>
        <v>9936.4760000000006</v>
      </c>
      <c r="GQ8" s="450">
        <f t="shared" si="51"/>
        <v>77114.828999999998</v>
      </c>
      <c r="GR8" s="450">
        <f t="shared" si="52"/>
        <v>0</v>
      </c>
      <c r="GV8" s="841" t="s">
        <v>476</v>
      </c>
      <c r="GW8" s="840">
        <v>7474983</v>
      </c>
      <c r="GX8" s="450">
        <f t="shared" si="53"/>
        <v>7474.9830000000002</v>
      </c>
      <c r="HB8" s="843" t="s">
        <v>476</v>
      </c>
      <c r="HC8" s="819">
        <v>87051305</v>
      </c>
      <c r="HD8" s="819">
        <v>84589812</v>
      </c>
      <c r="HE8" s="819">
        <v>2461493</v>
      </c>
      <c r="HF8" s="819">
        <v>84589812</v>
      </c>
      <c r="HG8" s="450">
        <f t="shared" si="54"/>
        <v>87051.304999999993</v>
      </c>
      <c r="HH8" s="450">
        <f t="shared" si="55"/>
        <v>2461.4929999999999</v>
      </c>
      <c r="HI8" s="450">
        <f t="shared" si="56"/>
        <v>84589.812000000005</v>
      </c>
      <c r="HJ8" s="450">
        <f t="shared" si="57"/>
        <v>2461.4929999999999</v>
      </c>
      <c r="HK8" s="450">
        <f t="shared" si="58"/>
        <v>84589.812000000005</v>
      </c>
    </row>
    <row r="9" spans="1:221" ht="15" customHeight="1" x14ac:dyDescent="0.3">
      <c r="A9" s="295" t="s">
        <v>554</v>
      </c>
      <c r="B9" s="296" t="s">
        <v>556</v>
      </c>
      <c r="C9" s="297">
        <v>8390487</v>
      </c>
      <c r="D9" s="298">
        <f t="shared" si="3"/>
        <v>8919.0876809999991</v>
      </c>
      <c r="E9" s="297">
        <v>695010</v>
      </c>
      <c r="F9" s="297">
        <f t="shared" si="4"/>
        <v>738.79562999999996</v>
      </c>
      <c r="J9" s="299" t="s">
        <v>554</v>
      </c>
      <c r="K9" s="300" t="s">
        <v>556</v>
      </c>
      <c r="L9" s="301">
        <v>695010</v>
      </c>
      <c r="M9" s="301">
        <f t="shared" si="5"/>
        <v>738.79562999999996</v>
      </c>
      <c r="Q9" s="299" t="s">
        <v>554</v>
      </c>
      <c r="R9" s="300" t="s">
        <v>556</v>
      </c>
      <c r="S9" s="301">
        <v>8390487</v>
      </c>
      <c r="T9" s="301">
        <v>1390020</v>
      </c>
      <c r="U9" s="301">
        <f t="shared" si="6"/>
        <v>8919.0876809999991</v>
      </c>
      <c r="V9" s="301">
        <f t="shared" si="7"/>
        <v>1477.5912599999999</v>
      </c>
      <c r="Z9" s="296" t="s">
        <v>556</v>
      </c>
      <c r="AA9" s="297">
        <v>695010</v>
      </c>
      <c r="AB9" s="297">
        <f t="shared" si="8"/>
        <v>738.79562999999996</v>
      </c>
      <c r="AF9" s="296" t="s">
        <v>556</v>
      </c>
      <c r="AG9" s="297">
        <v>8390487</v>
      </c>
      <c r="AH9" s="297">
        <f t="shared" si="0"/>
        <v>8919.0876809999991</v>
      </c>
      <c r="AI9" s="297">
        <v>2085030</v>
      </c>
      <c r="AL9" s="450"/>
      <c r="AN9" s="447" t="s">
        <v>554</v>
      </c>
      <c r="AO9" s="448" t="s">
        <v>556</v>
      </c>
      <c r="AP9" s="449">
        <v>695010</v>
      </c>
      <c r="AQ9" s="449">
        <f t="shared" si="9"/>
        <v>738.79562999999996</v>
      </c>
      <c r="AU9" s="447" t="s">
        <v>554</v>
      </c>
      <c r="AV9" s="448" t="s">
        <v>556</v>
      </c>
      <c r="AW9" s="449">
        <v>8390487</v>
      </c>
      <c r="AX9" s="449">
        <v>2780040</v>
      </c>
      <c r="AY9" s="449">
        <v>5610447</v>
      </c>
      <c r="AZ9" s="450">
        <f t="shared" si="10"/>
        <v>8919.0876809999991</v>
      </c>
      <c r="BA9" s="450">
        <f t="shared" si="11"/>
        <v>2955.1825199999998</v>
      </c>
      <c r="BB9" s="450">
        <f t="shared" si="12"/>
        <v>5963.9051609999997</v>
      </c>
      <c r="BF9" s="447" t="s">
        <v>554</v>
      </c>
      <c r="BG9" s="448" t="s">
        <v>556</v>
      </c>
      <c r="BH9" s="449">
        <v>695010</v>
      </c>
      <c r="BI9" s="450">
        <f t="shared" si="13"/>
        <v>695.01</v>
      </c>
      <c r="BM9" s="451" t="s">
        <v>554</v>
      </c>
      <c r="BN9" s="94" t="s">
        <v>556</v>
      </c>
      <c r="BO9" s="95">
        <v>0</v>
      </c>
      <c r="BP9" s="95">
        <v>8390487</v>
      </c>
      <c r="BQ9" s="95">
        <v>3475050</v>
      </c>
      <c r="BR9" s="95">
        <v>4915437</v>
      </c>
      <c r="BS9" s="95">
        <v>3475050</v>
      </c>
      <c r="BT9" s="450">
        <f t="shared" si="14"/>
        <v>8390.4869999999992</v>
      </c>
      <c r="BU9" s="450">
        <f t="shared" si="15"/>
        <v>3475.05</v>
      </c>
      <c r="BV9" s="450">
        <f t="shared" si="16"/>
        <v>4915.4369999999999</v>
      </c>
      <c r="BW9" s="450">
        <f t="shared" si="17"/>
        <v>3475.05</v>
      </c>
      <c r="CA9" s="94" t="s">
        <v>556</v>
      </c>
      <c r="CB9" s="450">
        <v>695010</v>
      </c>
      <c r="CC9" s="450">
        <f t="shared" si="18"/>
        <v>695.01</v>
      </c>
      <c r="CG9" s="448" t="s">
        <v>556</v>
      </c>
      <c r="CH9" s="449">
        <v>0</v>
      </c>
      <c r="CI9" s="449">
        <v>8390487</v>
      </c>
      <c r="CJ9" s="449">
        <v>-8390487</v>
      </c>
      <c r="CK9" s="449">
        <v>4170060</v>
      </c>
      <c r="CL9" s="449">
        <v>4220427</v>
      </c>
      <c r="CM9" s="449">
        <v>4170060</v>
      </c>
      <c r="CN9" s="449">
        <f t="shared" si="19"/>
        <v>8390.4869999999992</v>
      </c>
      <c r="CO9" s="449">
        <f t="shared" si="20"/>
        <v>4170.0600000000004</v>
      </c>
      <c r="CP9" s="449">
        <f t="shared" si="21"/>
        <v>4220.4269999999997</v>
      </c>
      <c r="CQ9" s="449">
        <f t="shared" si="22"/>
        <v>4170.0600000000004</v>
      </c>
      <c r="CU9" s="448" t="s">
        <v>556</v>
      </c>
      <c r="CV9" s="449">
        <v>695010</v>
      </c>
      <c r="CW9" s="449">
        <v>695010</v>
      </c>
      <c r="CX9" s="450">
        <f t="shared" si="23"/>
        <v>695.01</v>
      </c>
      <c r="CY9" s="450">
        <f t="shared" si="24"/>
        <v>695.01</v>
      </c>
      <c r="DB9" s="602" t="s">
        <v>556</v>
      </c>
      <c r="DC9" s="603">
        <v>8390487</v>
      </c>
      <c r="DD9" s="603">
        <v>4865070</v>
      </c>
      <c r="DE9" s="603">
        <v>3525417</v>
      </c>
      <c r="DF9" s="603">
        <v>4865070</v>
      </c>
      <c r="DG9" s="604">
        <f t="shared" si="25"/>
        <v>8390.4869999999992</v>
      </c>
      <c r="DH9" s="604">
        <f t="shared" si="26"/>
        <v>4865.07</v>
      </c>
      <c r="DI9" s="604">
        <f t="shared" si="27"/>
        <v>3525.4169999999999</v>
      </c>
      <c r="DJ9" s="604">
        <f t="shared" si="28"/>
        <v>4865.07</v>
      </c>
      <c r="DN9" s="94" t="s">
        <v>556</v>
      </c>
      <c r="DO9" s="94">
        <v>695010</v>
      </c>
      <c r="DP9" s="94">
        <v>695010</v>
      </c>
      <c r="DQ9" s="666">
        <f t="shared" si="29"/>
        <v>695.01</v>
      </c>
      <c r="DR9" s="666">
        <f t="shared" si="30"/>
        <v>695.01</v>
      </c>
      <c r="DV9" s="94" t="s">
        <v>556</v>
      </c>
      <c r="DW9" s="95">
        <v>8390487</v>
      </c>
      <c r="DX9" s="95">
        <v>5560080</v>
      </c>
      <c r="DY9" s="95">
        <v>2830407</v>
      </c>
      <c r="DZ9" s="95">
        <v>5560080</v>
      </c>
      <c r="EA9" s="95">
        <f t="shared" si="31"/>
        <v>8390.4869999999992</v>
      </c>
      <c r="EB9" s="95">
        <f t="shared" si="32"/>
        <v>5560.08</v>
      </c>
      <c r="EC9" s="95">
        <f t="shared" si="33"/>
        <v>2830.4070000000002</v>
      </c>
      <c r="ED9" s="95">
        <f t="shared" si="34"/>
        <v>5560.08</v>
      </c>
      <c r="EH9" s="444" t="s">
        <v>556</v>
      </c>
      <c r="EI9" s="444">
        <v>695010</v>
      </c>
      <c r="EJ9" s="450">
        <f t="shared" si="35"/>
        <v>695.01</v>
      </c>
      <c r="EN9" s="444" t="s">
        <v>556</v>
      </c>
      <c r="EO9" s="450">
        <v>8390487</v>
      </c>
      <c r="EP9" s="450">
        <v>6255090</v>
      </c>
      <c r="EQ9" s="450">
        <v>2135397</v>
      </c>
      <c r="ER9" s="450">
        <v>6255090</v>
      </c>
      <c r="ES9" s="746">
        <f t="shared" si="36"/>
        <v>8390.4869999999992</v>
      </c>
      <c r="ET9" s="746">
        <f t="shared" si="37"/>
        <v>6255.09</v>
      </c>
      <c r="EU9" s="746">
        <f t="shared" si="38"/>
        <v>2135.3969999999999</v>
      </c>
      <c r="EV9" s="746">
        <f t="shared" si="39"/>
        <v>6255.09</v>
      </c>
      <c r="EZ9" s="780" t="s">
        <v>554</v>
      </c>
      <c r="FA9" s="781" t="s">
        <v>556</v>
      </c>
      <c r="FB9" s="444">
        <v>695010</v>
      </c>
      <c r="FC9" s="450">
        <f t="shared" si="40"/>
        <v>695.01</v>
      </c>
      <c r="FG9" s="785" t="s">
        <v>554</v>
      </c>
      <c r="FH9" s="784" t="s">
        <v>556</v>
      </c>
      <c r="FI9" s="782">
        <v>8390487</v>
      </c>
      <c r="FJ9" s="783">
        <v>6950100</v>
      </c>
      <c r="FK9" s="783">
        <v>1440387</v>
      </c>
      <c r="FL9" s="783">
        <v>6950100</v>
      </c>
      <c r="FM9" s="450">
        <f t="shared" si="41"/>
        <v>8390.4869999999992</v>
      </c>
      <c r="FN9" s="450">
        <f t="shared" si="42"/>
        <v>6950.1</v>
      </c>
      <c r="FO9" s="450">
        <f t="shared" si="43"/>
        <v>1440.3869999999999</v>
      </c>
      <c r="FP9" s="450">
        <f t="shared" si="44"/>
        <v>6950.1</v>
      </c>
      <c r="FT9" s="451" t="s">
        <v>554</v>
      </c>
      <c r="FU9" s="94" t="s">
        <v>556</v>
      </c>
      <c r="FV9" s="95">
        <v>0</v>
      </c>
      <c r="FW9" s="95">
        <v>695010</v>
      </c>
      <c r="FX9" s="95">
        <v>695010</v>
      </c>
      <c r="FY9" s="450">
        <f t="shared" si="45"/>
        <v>0</v>
      </c>
      <c r="FZ9" s="450">
        <f t="shared" si="46"/>
        <v>695.01</v>
      </c>
      <c r="GA9" s="450">
        <f t="shared" si="47"/>
        <v>695.01</v>
      </c>
      <c r="GG9" s="817" t="s">
        <v>554</v>
      </c>
      <c r="GH9" s="818" t="s">
        <v>556</v>
      </c>
      <c r="GI9" s="819">
        <v>8390487</v>
      </c>
      <c r="GJ9" s="819">
        <v>7645110</v>
      </c>
      <c r="GK9" s="819">
        <v>745377</v>
      </c>
      <c r="GL9" s="819">
        <v>7645110</v>
      </c>
      <c r="GM9" s="819">
        <v>0</v>
      </c>
      <c r="GN9" s="450">
        <f t="shared" si="48"/>
        <v>8390.4869999999992</v>
      </c>
      <c r="GO9" s="450">
        <f t="shared" si="49"/>
        <v>7645.11</v>
      </c>
      <c r="GP9" s="450">
        <f t="shared" si="50"/>
        <v>745.37699999999995</v>
      </c>
      <c r="GQ9" s="450">
        <f t="shared" si="51"/>
        <v>7645.11</v>
      </c>
      <c r="GR9" s="450">
        <f t="shared" si="52"/>
        <v>0</v>
      </c>
      <c r="GV9" s="841" t="s">
        <v>556</v>
      </c>
      <c r="GW9" s="840">
        <v>778411</v>
      </c>
      <c r="GX9" s="450">
        <f t="shared" si="53"/>
        <v>778.41099999999994</v>
      </c>
      <c r="HB9" s="843" t="s">
        <v>556</v>
      </c>
      <c r="HC9" s="819">
        <v>8425487</v>
      </c>
      <c r="HD9" s="819">
        <v>8423521</v>
      </c>
      <c r="HE9" s="819">
        <v>1966</v>
      </c>
      <c r="HF9" s="819">
        <v>8423521</v>
      </c>
      <c r="HG9" s="450">
        <f t="shared" si="54"/>
        <v>8425.4869999999992</v>
      </c>
      <c r="HH9" s="450">
        <f t="shared" si="55"/>
        <v>1.966</v>
      </c>
      <c r="HI9" s="450">
        <f t="shared" si="56"/>
        <v>8423.5210000000006</v>
      </c>
      <c r="HJ9" s="450">
        <f t="shared" si="57"/>
        <v>1.966</v>
      </c>
      <c r="HK9" s="450">
        <f t="shared" si="58"/>
        <v>8423.5210000000006</v>
      </c>
    </row>
    <row r="10" spans="1:221" ht="15" customHeight="1" x14ac:dyDescent="0.3">
      <c r="A10" s="295" t="s">
        <v>554</v>
      </c>
      <c r="B10" s="296" t="s">
        <v>557</v>
      </c>
      <c r="C10" s="297">
        <v>3146433</v>
      </c>
      <c r="D10" s="298">
        <f t="shared" si="3"/>
        <v>3344.6582789999998</v>
      </c>
      <c r="E10" s="297">
        <v>177466</v>
      </c>
      <c r="F10" s="297">
        <f t="shared" si="4"/>
        <v>188.64635799999999</v>
      </c>
      <c r="J10" s="299" t="s">
        <v>554</v>
      </c>
      <c r="K10" s="300" t="s">
        <v>557</v>
      </c>
      <c r="L10" s="301">
        <v>177466</v>
      </c>
      <c r="M10" s="301">
        <f t="shared" si="5"/>
        <v>188.64635799999999</v>
      </c>
      <c r="Q10" s="299" t="s">
        <v>554</v>
      </c>
      <c r="R10" s="300" t="s">
        <v>557</v>
      </c>
      <c r="S10" s="301">
        <v>3146433</v>
      </c>
      <c r="T10" s="301">
        <v>354932</v>
      </c>
      <c r="U10" s="301">
        <f t="shared" si="6"/>
        <v>3344.6582789999998</v>
      </c>
      <c r="V10" s="301">
        <f t="shared" si="7"/>
        <v>377.29271599999998</v>
      </c>
      <c r="Z10" s="296" t="s">
        <v>557</v>
      </c>
      <c r="AA10" s="297">
        <v>177466</v>
      </c>
      <c r="AB10" s="297">
        <f t="shared" si="8"/>
        <v>188.64635799999999</v>
      </c>
      <c r="AF10" s="296" t="s">
        <v>557</v>
      </c>
      <c r="AG10" s="297">
        <v>3146433</v>
      </c>
      <c r="AH10" s="297">
        <f t="shared" si="0"/>
        <v>3344.6582789999998</v>
      </c>
      <c r="AI10" s="297">
        <v>532398</v>
      </c>
      <c r="AL10" s="450"/>
      <c r="AN10" s="447" t="s">
        <v>554</v>
      </c>
      <c r="AO10" s="448" t="s">
        <v>557</v>
      </c>
      <c r="AP10" s="449">
        <v>177466</v>
      </c>
      <c r="AQ10" s="449">
        <f t="shared" si="9"/>
        <v>188.64635799999999</v>
      </c>
      <c r="AU10" s="447" t="s">
        <v>554</v>
      </c>
      <c r="AV10" s="448" t="s">
        <v>557</v>
      </c>
      <c r="AW10" s="449">
        <v>3146433</v>
      </c>
      <c r="AX10" s="449">
        <v>709864</v>
      </c>
      <c r="AY10" s="449">
        <v>2436569</v>
      </c>
      <c r="AZ10" s="450">
        <f t="shared" si="10"/>
        <v>3344.6582789999998</v>
      </c>
      <c r="BA10" s="450">
        <f t="shared" si="11"/>
        <v>754.58543199999997</v>
      </c>
      <c r="BB10" s="450">
        <f t="shared" si="12"/>
        <v>2590.0728469999999</v>
      </c>
      <c r="BF10" s="447" t="s">
        <v>554</v>
      </c>
      <c r="BG10" s="448" t="s">
        <v>557</v>
      </c>
      <c r="BH10" s="449">
        <v>177466</v>
      </c>
      <c r="BI10" s="450">
        <f t="shared" si="13"/>
        <v>177.46600000000001</v>
      </c>
      <c r="BM10" s="451" t="s">
        <v>554</v>
      </c>
      <c r="BN10" s="94" t="s">
        <v>557</v>
      </c>
      <c r="BO10" s="95">
        <v>0</v>
      </c>
      <c r="BP10" s="95">
        <v>3146433</v>
      </c>
      <c r="BQ10" s="95">
        <v>887330</v>
      </c>
      <c r="BR10" s="95">
        <v>2259103</v>
      </c>
      <c r="BS10" s="95">
        <v>887330</v>
      </c>
      <c r="BT10" s="450">
        <f t="shared" si="14"/>
        <v>3146.433</v>
      </c>
      <c r="BU10" s="450">
        <f t="shared" si="15"/>
        <v>887.33</v>
      </c>
      <c r="BV10" s="450">
        <f t="shared" si="16"/>
        <v>2259.1030000000001</v>
      </c>
      <c r="BW10" s="450">
        <f t="shared" si="17"/>
        <v>887.33</v>
      </c>
      <c r="CA10" s="94" t="s">
        <v>557</v>
      </c>
      <c r="CB10" s="450">
        <v>177466</v>
      </c>
      <c r="CC10" s="450">
        <f t="shared" si="18"/>
        <v>177.46600000000001</v>
      </c>
      <c r="CG10" s="448" t="s">
        <v>557</v>
      </c>
      <c r="CH10" s="449">
        <v>0</v>
      </c>
      <c r="CI10" s="449">
        <v>3146433</v>
      </c>
      <c r="CJ10" s="449">
        <v>-3146433</v>
      </c>
      <c r="CK10" s="449">
        <v>1064796</v>
      </c>
      <c r="CL10" s="449">
        <v>2081637</v>
      </c>
      <c r="CM10" s="449">
        <v>1064796</v>
      </c>
      <c r="CN10" s="449">
        <f t="shared" si="19"/>
        <v>3146.433</v>
      </c>
      <c r="CO10" s="449">
        <f t="shared" si="20"/>
        <v>1064.796</v>
      </c>
      <c r="CP10" s="449">
        <f t="shared" si="21"/>
        <v>2081.6370000000002</v>
      </c>
      <c r="CQ10" s="449">
        <f t="shared" si="22"/>
        <v>1064.796</v>
      </c>
      <c r="CU10" s="448" t="s">
        <v>557</v>
      </c>
      <c r="CV10" s="449">
        <v>177466</v>
      </c>
      <c r="CW10" s="449">
        <v>177466</v>
      </c>
      <c r="CX10" s="450">
        <f t="shared" si="23"/>
        <v>177.46600000000001</v>
      </c>
      <c r="CY10" s="450">
        <f t="shared" si="24"/>
        <v>177.46600000000001</v>
      </c>
      <c r="DB10" s="602" t="s">
        <v>557</v>
      </c>
      <c r="DC10" s="603">
        <v>3146433</v>
      </c>
      <c r="DD10" s="603">
        <v>1242262</v>
      </c>
      <c r="DE10" s="603">
        <v>1904171</v>
      </c>
      <c r="DF10" s="603">
        <v>1242262</v>
      </c>
      <c r="DG10" s="604">
        <f t="shared" si="25"/>
        <v>3146.433</v>
      </c>
      <c r="DH10" s="604">
        <f t="shared" si="26"/>
        <v>1242.2619999999999</v>
      </c>
      <c r="DI10" s="604">
        <f t="shared" si="27"/>
        <v>1904.171</v>
      </c>
      <c r="DJ10" s="604">
        <f t="shared" si="28"/>
        <v>1242.2619999999999</v>
      </c>
      <c r="DN10" s="94" t="s">
        <v>557</v>
      </c>
      <c r="DO10" s="94">
        <v>177466</v>
      </c>
      <c r="DP10" s="94">
        <v>177466</v>
      </c>
      <c r="DQ10" s="666">
        <f t="shared" si="29"/>
        <v>177.46600000000001</v>
      </c>
      <c r="DR10" s="666">
        <f t="shared" si="30"/>
        <v>177.46600000000001</v>
      </c>
      <c r="DV10" s="94" t="s">
        <v>557</v>
      </c>
      <c r="DW10" s="95">
        <v>3146433</v>
      </c>
      <c r="DX10" s="95">
        <v>1419728</v>
      </c>
      <c r="DY10" s="95">
        <v>1726705</v>
      </c>
      <c r="DZ10" s="95">
        <v>1419728</v>
      </c>
      <c r="EA10" s="95">
        <f t="shared" si="31"/>
        <v>3146.433</v>
      </c>
      <c r="EB10" s="95">
        <f t="shared" si="32"/>
        <v>1419.7280000000001</v>
      </c>
      <c r="EC10" s="95">
        <f t="shared" si="33"/>
        <v>1726.7049999999999</v>
      </c>
      <c r="ED10" s="95">
        <f t="shared" si="34"/>
        <v>1419.7280000000001</v>
      </c>
      <c r="EH10" s="444" t="s">
        <v>557</v>
      </c>
      <c r="EI10" s="444">
        <v>177466</v>
      </c>
      <c r="EJ10" s="450">
        <f t="shared" si="35"/>
        <v>177.46600000000001</v>
      </c>
      <c r="EN10" s="444" t="s">
        <v>557</v>
      </c>
      <c r="EO10" s="450">
        <v>3146433</v>
      </c>
      <c r="EP10" s="450">
        <v>1597194</v>
      </c>
      <c r="EQ10" s="450">
        <v>1549239</v>
      </c>
      <c r="ER10" s="450">
        <v>1597194</v>
      </c>
      <c r="ES10" s="746">
        <f t="shared" si="36"/>
        <v>3146.433</v>
      </c>
      <c r="ET10" s="746">
        <f t="shared" si="37"/>
        <v>1597.194</v>
      </c>
      <c r="EU10" s="746">
        <f t="shared" si="38"/>
        <v>1549.239</v>
      </c>
      <c r="EV10" s="746">
        <f t="shared" si="39"/>
        <v>1597.194</v>
      </c>
      <c r="EZ10" s="780" t="s">
        <v>554</v>
      </c>
      <c r="FA10" s="781" t="s">
        <v>557</v>
      </c>
      <c r="FB10" s="444">
        <v>177466</v>
      </c>
      <c r="FC10" s="450">
        <f t="shared" si="40"/>
        <v>177.46600000000001</v>
      </c>
      <c r="FG10" s="785" t="s">
        <v>554</v>
      </c>
      <c r="FH10" s="784" t="s">
        <v>557</v>
      </c>
      <c r="FI10" s="782">
        <v>3146433</v>
      </c>
      <c r="FJ10" s="783">
        <v>1774660</v>
      </c>
      <c r="FK10" s="783">
        <v>1371773</v>
      </c>
      <c r="FL10" s="783">
        <v>1774660</v>
      </c>
      <c r="FM10" s="450">
        <f t="shared" si="41"/>
        <v>3146.433</v>
      </c>
      <c r="FN10" s="450">
        <f t="shared" si="42"/>
        <v>1774.66</v>
      </c>
      <c r="FO10" s="450">
        <f t="shared" si="43"/>
        <v>1371.7729999999999</v>
      </c>
      <c r="FP10" s="450">
        <f t="shared" si="44"/>
        <v>1774.66</v>
      </c>
      <c r="FT10" s="451" t="s">
        <v>554</v>
      </c>
      <c r="FU10" s="94" t="s">
        <v>557</v>
      </c>
      <c r="FV10" s="95">
        <v>0</v>
      </c>
      <c r="FW10" s="95">
        <v>177466</v>
      </c>
      <c r="FX10" s="95">
        <v>177466</v>
      </c>
      <c r="FY10" s="450">
        <f t="shared" si="45"/>
        <v>0</v>
      </c>
      <c r="FZ10" s="450">
        <f t="shared" si="46"/>
        <v>177.46600000000001</v>
      </c>
      <c r="GA10" s="450">
        <f t="shared" si="47"/>
        <v>177.46600000000001</v>
      </c>
      <c r="GG10" s="817" t="s">
        <v>554</v>
      </c>
      <c r="GH10" s="818" t="s">
        <v>557</v>
      </c>
      <c r="GI10" s="819">
        <v>3146433</v>
      </c>
      <c r="GJ10" s="819">
        <v>1952126</v>
      </c>
      <c r="GK10" s="819">
        <v>1194307</v>
      </c>
      <c r="GL10" s="819">
        <v>1952126</v>
      </c>
      <c r="GM10" s="819">
        <v>0</v>
      </c>
      <c r="GN10" s="450">
        <f t="shared" si="48"/>
        <v>3146.433</v>
      </c>
      <c r="GO10" s="450">
        <f t="shared" si="49"/>
        <v>1952.126</v>
      </c>
      <c r="GP10" s="450">
        <f t="shared" si="50"/>
        <v>1194.307</v>
      </c>
      <c r="GQ10" s="450">
        <f t="shared" si="51"/>
        <v>1952.126</v>
      </c>
      <c r="GR10" s="450">
        <f t="shared" si="52"/>
        <v>0</v>
      </c>
      <c r="GV10" s="841" t="s">
        <v>557</v>
      </c>
      <c r="GW10" s="840">
        <v>177466</v>
      </c>
      <c r="GX10" s="450">
        <f t="shared" si="53"/>
        <v>177.46600000000001</v>
      </c>
      <c r="HB10" s="843" t="s">
        <v>557</v>
      </c>
      <c r="HC10" s="819">
        <v>3146433</v>
      </c>
      <c r="HD10" s="819">
        <v>2129592</v>
      </c>
      <c r="HE10" s="819">
        <v>1016841</v>
      </c>
      <c r="HF10" s="819">
        <v>2129592</v>
      </c>
      <c r="HG10" s="450">
        <f t="shared" si="54"/>
        <v>3146.433</v>
      </c>
      <c r="HH10" s="450">
        <f t="shared" si="55"/>
        <v>1016.841</v>
      </c>
      <c r="HI10" s="450">
        <f t="shared" si="56"/>
        <v>2129.5920000000001</v>
      </c>
      <c r="HJ10" s="450">
        <f t="shared" si="57"/>
        <v>1016.841</v>
      </c>
      <c r="HK10" s="450">
        <f t="shared" si="58"/>
        <v>2129.5920000000001</v>
      </c>
    </row>
    <row r="11" spans="1:221" ht="15" customHeight="1" x14ac:dyDescent="0.3">
      <c r="A11" s="295" t="s">
        <v>554</v>
      </c>
      <c r="B11" s="296" t="s">
        <v>558</v>
      </c>
      <c r="C11" s="297">
        <v>54907097</v>
      </c>
      <c r="D11" s="298">
        <f t="shared" si="3"/>
        <v>58366.244111</v>
      </c>
      <c r="E11" s="297">
        <v>3675880</v>
      </c>
      <c r="F11" s="297">
        <f t="shared" si="4"/>
        <v>3907.4604399999998</v>
      </c>
      <c r="J11" s="299" t="s">
        <v>554</v>
      </c>
      <c r="K11" s="300" t="s">
        <v>558</v>
      </c>
      <c r="L11" s="301">
        <v>3675880</v>
      </c>
      <c r="M11" s="301">
        <f t="shared" si="5"/>
        <v>3907.4604399999998</v>
      </c>
      <c r="Q11" s="299" t="s">
        <v>554</v>
      </c>
      <c r="R11" s="300" t="s">
        <v>558</v>
      </c>
      <c r="S11" s="301">
        <v>54907097</v>
      </c>
      <c r="T11" s="301">
        <v>7351760</v>
      </c>
      <c r="U11" s="301">
        <f t="shared" si="6"/>
        <v>58366.244111</v>
      </c>
      <c r="V11" s="301">
        <f t="shared" si="7"/>
        <v>7814.9208799999997</v>
      </c>
      <c r="Z11" s="296" t="s">
        <v>558</v>
      </c>
      <c r="AA11" s="297">
        <v>5135582</v>
      </c>
      <c r="AB11" s="297">
        <f t="shared" si="8"/>
        <v>5459.1236660000004</v>
      </c>
      <c r="AF11" s="296" t="s">
        <v>558</v>
      </c>
      <c r="AG11" s="297">
        <v>54907097</v>
      </c>
      <c r="AH11" s="297">
        <f t="shared" si="0"/>
        <v>58366.244111</v>
      </c>
      <c r="AI11" s="297">
        <v>12487342</v>
      </c>
      <c r="AL11" s="450"/>
      <c r="AN11" s="447" t="s">
        <v>554</v>
      </c>
      <c r="AO11" s="448" t="s">
        <v>558</v>
      </c>
      <c r="AP11" s="449">
        <v>3675880</v>
      </c>
      <c r="AQ11" s="449">
        <f t="shared" si="9"/>
        <v>3907.4604399999998</v>
      </c>
      <c r="AU11" s="447" t="s">
        <v>554</v>
      </c>
      <c r="AV11" s="448" t="s">
        <v>558</v>
      </c>
      <c r="AW11" s="449">
        <v>54907097</v>
      </c>
      <c r="AX11" s="449">
        <v>16163222</v>
      </c>
      <c r="AY11" s="449">
        <v>38743875</v>
      </c>
      <c r="AZ11" s="450">
        <f t="shared" si="10"/>
        <v>58366.244111</v>
      </c>
      <c r="BA11" s="450">
        <f t="shared" si="11"/>
        <v>17181.504986</v>
      </c>
      <c r="BB11" s="450">
        <f t="shared" si="12"/>
        <v>41184.739125</v>
      </c>
      <c r="BF11" s="447" t="s">
        <v>554</v>
      </c>
      <c r="BG11" s="448" t="s">
        <v>558</v>
      </c>
      <c r="BH11" s="449">
        <v>3675880</v>
      </c>
      <c r="BI11" s="450">
        <f t="shared" si="13"/>
        <v>3675.88</v>
      </c>
      <c r="BM11" s="451" t="s">
        <v>554</v>
      </c>
      <c r="BN11" s="94" t="s">
        <v>558</v>
      </c>
      <c r="BO11" s="95">
        <v>0</v>
      </c>
      <c r="BP11" s="95">
        <v>54907097</v>
      </c>
      <c r="BQ11" s="95">
        <v>19839102</v>
      </c>
      <c r="BR11" s="95">
        <v>35067995</v>
      </c>
      <c r="BS11" s="95">
        <v>19839102</v>
      </c>
      <c r="BT11" s="450">
        <f t="shared" si="14"/>
        <v>54907.097000000002</v>
      </c>
      <c r="BU11" s="450">
        <f t="shared" si="15"/>
        <v>19839.101999999999</v>
      </c>
      <c r="BV11" s="450">
        <f t="shared" si="16"/>
        <v>35067.995000000003</v>
      </c>
      <c r="BW11" s="450">
        <f t="shared" si="17"/>
        <v>19839.101999999999</v>
      </c>
      <c r="CA11" s="94" t="s">
        <v>558</v>
      </c>
      <c r="CB11" s="450">
        <v>5318044</v>
      </c>
      <c r="CC11" s="450">
        <f t="shared" si="18"/>
        <v>5318.0439999999999</v>
      </c>
      <c r="CG11" s="448" t="s">
        <v>558</v>
      </c>
      <c r="CH11" s="449">
        <v>0</v>
      </c>
      <c r="CI11" s="449">
        <v>54907097</v>
      </c>
      <c r="CJ11" s="449">
        <v>-54907097</v>
      </c>
      <c r="CK11" s="449">
        <v>25157146</v>
      </c>
      <c r="CL11" s="449">
        <v>29749951</v>
      </c>
      <c r="CM11" s="449">
        <v>25157146</v>
      </c>
      <c r="CN11" s="449">
        <f t="shared" si="19"/>
        <v>54907.097000000002</v>
      </c>
      <c r="CO11" s="449">
        <f t="shared" si="20"/>
        <v>25157.146000000001</v>
      </c>
      <c r="CP11" s="449">
        <f t="shared" si="21"/>
        <v>29749.951000000001</v>
      </c>
      <c r="CQ11" s="449">
        <f t="shared" si="22"/>
        <v>25157.146000000001</v>
      </c>
      <c r="CU11" s="448" t="s">
        <v>558</v>
      </c>
      <c r="CV11" s="449">
        <v>3675880</v>
      </c>
      <c r="CW11" s="449">
        <v>3675880</v>
      </c>
      <c r="CX11" s="450">
        <f t="shared" si="23"/>
        <v>3675.88</v>
      </c>
      <c r="CY11" s="450">
        <f t="shared" si="24"/>
        <v>3675.88</v>
      </c>
      <c r="DB11" s="602" t="s">
        <v>558</v>
      </c>
      <c r="DC11" s="603">
        <v>54907097</v>
      </c>
      <c r="DD11" s="603">
        <v>28833026</v>
      </c>
      <c r="DE11" s="603">
        <v>26074071</v>
      </c>
      <c r="DF11" s="603">
        <v>28833026</v>
      </c>
      <c r="DG11" s="604">
        <f t="shared" si="25"/>
        <v>54907.097000000002</v>
      </c>
      <c r="DH11" s="604">
        <f t="shared" si="26"/>
        <v>28833.026000000002</v>
      </c>
      <c r="DI11" s="604">
        <f t="shared" si="27"/>
        <v>26074.071</v>
      </c>
      <c r="DJ11" s="604">
        <f t="shared" si="28"/>
        <v>28833.026000000002</v>
      </c>
      <c r="DN11" s="94" t="s">
        <v>558</v>
      </c>
      <c r="DO11" s="94">
        <v>3675880</v>
      </c>
      <c r="DP11" s="94">
        <v>3675880</v>
      </c>
      <c r="DQ11" s="666">
        <f t="shared" si="29"/>
        <v>3675.88</v>
      </c>
      <c r="DR11" s="666">
        <f t="shared" si="30"/>
        <v>3675.88</v>
      </c>
      <c r="DV11" s="94" t="s">
        <v>558</v>
      </c>
      <c r="DW11" s="95">
        <v>54907097</v>
      </c>
      <c r="DX11" s="95">
        <v>32508906</v>
      </c>
      <c r="DY11" s="95">
        <v>22398191</v>
      </c>
      <c r="DZ11" s="95">
        <v>32508906</v>
      </c>
      <c r="EA11" s="95">
        <f t="shared" si="31"/>
        <v>54907.097000000002</v>
      </c>
      <c r="EB11" s="95">
        <f t="shared" si="32"/>
        <v>32508.905999999999</v>
      </c>
      <c r="EC11" s="95">
        <f t="shared" si="33"/>
        <v>22398.190999999999</v>
      </c>
      <c r="ED11" s="95">
        <f t="shared" si="34"/>
        <v>32508.905999999999</v>
      </c>
      <c r="EH11" s="444" t="s">
        <v>558</v>
      </c>
      <c r="EI11" s="444">
        <v>5172073</v>
      </c>
      <c r="EJ11" s="450">
        <f t="shared" si="35"/>
        <v>5172.0730000000003</v>
      </c>
      <c r="EN11" s="444" t="s">
        <v>558</v>
      </c>
      <c r="EO11" s="450">
        <v>54907097</v>
      </c>
      <c r="EP11" s="450">
        <v>37680979</v>
      </c>
      <c r="EQ11" s="450">
        <v>17226118</v>
      </c>
      <c r="ER11" s="450">
        <v>37680979</v>
      </c>
      <c r="ES11" s="746">
        <f t="shared" si="36"/>
        <v>54907.097000000002</v>
      </c>
      <c r="ET11" s="746">
        <f t="shared" si="37"/>
        <v>37680.978999999999</v>
      </c>
      <c r="EU11" s="746">
        <f t="shared" si="38"/>
        <v>17226.117999999999</v>
      </c>
      <c r="EV11" s="746">
        <f t="shared" si="39"/>
        <v>37680.978999999999</v>
      </c>
      <c r="EZ11" s="780" t="s">
        <v>554</v>
      </c>
      <c r="FA11" s="781" t="s">
        <v>558</v>
      </c>
      <c r="FB11" s="444">
        <v>3675880</v>
      </c>
      <c r="FC11" s="450">
        <f t="shared" si="40"/>
        <v>3675.88</v>
      </c>
      <c r="FG11" s="785" t="s">
        <v>554</v>
      </c>
      <c r="FH11" s="784" t="s">
        <v>558</v>
      </c>
      <c r="FI11" s="782">
        <v>54907097</v>
      </c>
      <c r="FJ11" s="783">
        <v>41356859</v>
      </c>
      <c r="FK11" s="783">
        <v>13550238</v>
      </c>
      <c r="FL11" s="783">
        <v>41356859</v>
      </c>
      <c r="FM11" s="450">
        <f t="shared" si="41"/>
        <v>54907.097000000002</v>
      </c>
      <c r="FN11" s="450">
        <f t="shared" si="42"/>
        <v>41356.858999999997</v>
      </c>
      <c r="FO11" s="450">
        <f t="shared" si="43"/>
        <v>13550.237999999999</v>
      </c>
      <c r="FP11" s="450">
        <f t="shared" si="44"/>
        <v>41356.858999999997</v>
      </c>
      <c r="FT11" s="451" t="s">
        <v>554</v>
      </c>
      <c r="FU11" s="94" t="s">
        <v>558</v>
      </c>
      <c r="FV11" s="95">
        <v>0</v>
      </c>
      <c r="FW11" s="95">
        <v>3675880</v>
      </c>
      <c r="FX11" s="95">
        <v>3675880</v>
      </c>
      <c r="FY11" s="450">
        <f t="shared" si="45"/>
        <v>0</v>
      </c>
      <c r="FZ11" s="450">
        <f t="shared" si="46"/>
        <v>3675.88</v>
      </c>
      <c r="GA11" s="450">
        <f t="shared" si="47"/>
        <v>3675.88</v>
      </c>
      <c r="GG11" s="817" t="s">
        <v>554</v>
      </c>
      <c r="GH11" s="818" t="s">
        <v>558</v>
      </c>
      <c r="GI11" s="819">
        <v>54907097</v>
      </c>
      <c r="GJ11" s="819">
        <v>45032739</v>
      </c>
      <c r="GK11" s="819">
        <v>9874358</v>
      </c>
      <c r="GL11" s="819">
        <v>45032739</v>
      </c>
      <c r="GM11" s="819">
        <v>0</v>
      </c>
      <c r="GN11" s="450">
        <f t="shared" si="48"/>
        <v>54907.097000000002</v>
      </c>
      <c r="GO11" s="450">
        <f t="shared" si="49"/>
        <v>45032.739000000001</v>
      </c>
      <c r="GP11" s="450">
        <f t="shared" si="50"/>
        <v>9874.3580000000002</v>
      </c>
      <c r="GQ11" s="450">
        <f t="shared" si="51"/>
        <v>45032.739000000001</v>
      </c>
      <c r="GR11" s="450">
        <f t="shared" si="52"/>
        <v>0</v>
      </c>
      <c r="GV11" s="841" t="s">
        <v>558</v>
      </c>
      <c r="GW11" s="840">
        <v>5318044</v>
      </c>
      <c r="GX11" s="450">
        <f t="shared" si="53"/>
        <v>5318.0439999999999</v>
      </c>
      <c r="HB11" s="843" t="s">
        <v>558</v>
      </c>
      <c r="HC11" s="819">
        <v>54907097</v>
      </c>
      <c r="HD11" s="819">
        <v>50350783</v>
      </c>
      <c r="HE11" s="819">
        <v>4556314</v>
      </c>
      <c r="HF11" s="819">
        <v>50350783</v>
      </c>
      <c r="HG11" s="450">
        <f t="shared" si="54"/>
        <v>54907.097000000002</v>
      </c>
      <c r="HH11" s="450">
        <f t="shared" si="55"/>
        <v>4556.3140000000003</v>
      </c>
      <c r="HI11" s="450">
        <f t="shared" si="56"/>
        <v>50350.783000000003</v>
      </c>
      <c r="HJ11" s="450">
        <f t="shared" si="57"/>
        <v>4556.3140000000003</v>
      </c>
      <c r="HK11" s="450">
        <f t="shared" si="58"/>
        <v>50350.783000000003</v>
      </c>
    </row>
    <row r="12" spans="1:221" ht="15" customHeight="1" x14ac:dyDescent="0.3">
      <c r="A12" s="295" t="s">
        <v>554</v>
      </c>
      <c r="B12" s="296" t="s">
        <v>559</v>
      </c>
      <c r="C12" s="297">
        <v>81835440</v>
      </c>
      <c r="D12" s="298">
        <f t="shared" si="3"/>
        <v>86991.072719999996</v>
      </c>
      <c r="E12" s="297">
        <v>6347389</v>
      </c>
      <c r="F12" s="297">
        <f t="shared" si="4"/>
        <v>6747.2745070000001</v>
      </c>
      <c r="J12" s="299" t="s">
        <v>554</v>
      </c>
      <c r="K12" s="300" t="s">
        <v>559</v>
      </c>
      <c r="L12" s="301">
        <v>6347389</v>
      </c>
      <c r="M12" s="301">
        <f t="shared" si="5"/>
        <v>6747.2745070000001</v>
      </c>
      <c r="Q12" s="299" t="s">
        <v>554</v>
      </c>
      <c r="R12" s="300" t="s">
        <v>559</v>
      </c>
      <c r="S12" s="301">
        <v>81835440</v>
      </c>
      <c r="T12" s="301">
        <v>12694778</v>
      </c>
      <c r="U12" s="301">
        <f t="shared" si="6"/>
        <v>86991.072719999996</v>
      </c>
      <c r="V12" s="301">
        <f t="shared" si="7"/>
        <v>13494.549014</v>
      </c>
      <c r="Z12" s="296" t="s">
        <v>559</v>
      </c>
      <c r="AA12" s="297">
        <v>6923147</v>
      </c>
      <c r="AB12" s="297">
        <f t="shared" si="8"/>
        <v>7359.3052609999995</v>
      </c>
      <c r="AF12" s="296" t="s">
        <v>559</v>
      </c>
      <c r="AG12" s="297">
        <v>81835440</v>
      </c>
      <c r="AH12" s="297">
        <f t="shared" si="0"/>
        <v>86991.072719999996</v>
      </c>
      <c r="AI12" s="297">
        <v>19617925</v>
      </c>
      <c r="AL12" s="450"/>
      <c r="AN12" s="447" t="s">
        <v>554</v>
      </c>
      <c r="AO12" s="448" t="s">
        <v>559</v>
      </c>
      <c r="AP12" s="449">
        <v>5995113</v>
      </c>
      <c r="AQ12" s="449">
        <f t="shared" si="9"/>
        <v>6372.8051189999996</v>
      </c>
      <c r="AU12" s="447" t="s">
        <v>554</v>
      </c>
      <c r="AV12" s="448" t="s">
        <v>559</v>
      </c>
      <c r="AW12" s="449">
        <v>81835440</v>
      </c>
      <c r="AX12" s="449">
        <v>25613038</v>
      </c>
      <c r="AY12" s="449">
        <v>56222402</v>
      </c>
      <c r="AZ12" s="450">
        <f t="shared" si="10"/>
        <v>86991.072719999996</v>
      </c>
      <c r="BA12" s="450">
        <f t="shared" si="11"/>
        <v>27226.659393999998</v>
      </c>
      <c r="BB12" s="450">
        <f t="shared" si="12"/>
        <v>59764.413326000002</v>
      </c>
      <c r="BF12" s="447" t="s">
        <v>554</v>
      </c>
      <c r="BG12" s="448" t="s">
        <v>559</v>
      </c>
      <c r="BH12" s="449">
        <v>5995113</v>
      </c>
      <c r="BI12" s="450">
        <f t="shared" si="13"/>
        <v>5995.1130000000003</v>
      </c>
      <c r="BM12" s="451" t="s">
        <v>554</v>
      </c>
      <c r="BN12" s="94" t="s">
        <v>559</v>
      </c>
      <c r="BO12" s="95">
        <v>0</v>
      </c>
      <c r="BP12" s="95">
        <v>81835440</v>
      </c>
      <c r="BQ12" s="95">
        <v>31608151</v>
      </c>
      <c r="BR12" s="95">
        <v>50227289</v>
      </c>
      <c r="BS12" s="95">
        <v>31608151</v>
      </c>
      <c r="BT12" s="450">
        <f t="shared" si="14"/>
        <v>81835.44</v>
      </c>
      <c r="BU12" s="450">
        <f t="shared" si="15"/>
        <v>31608.151000000002</v>
      </c>
      <c r="BV12" s="450">
        <f t="shared" si="16"/>
        <v>50227.288999999997</v>
      </c>
      <c r="BW12" s="450">
        <f t="shared" si="17"/>
        <v>31608.151000000002</v>
      </c>
      <c r="CA12" s="94" t="s">
        <v>559</v>
      </c>
      <c r="CB12" s="450">
        <v>7087343</v>
      </c>
      <c r="CC12" s="450">
        <f t="shared" si="18"/>
        <v>7087.3429999999998</v>
      </c>
      <c r="CG12" s="448" t="s">
        <v>559</v>
      </c>
      <c r="CH12" s="449">
        <v>0</v>
      </c>
      <c r="CI12" s="449">
        <v>81835440</v>
      </c>
      <c r="CJ12" s="449">
        <v>-81835440</v>
      </c>
      <c r="CK12" s="449">
        <v>38695494</v>
      </c>
      <c r="CL12" s="449">
        <v>43139946</v>
      </c>
      <c r="CM12" s="449">
        <v>38695494</v>
      </c>
      <c r="CN12" s="449">
        <f t="shared" si="19"/>
        <v>81835.44</v>
      </c>
      <c r="CO12" s="449">
        <f t="shared" si="20"/>
        <v>38695.493999999999</v>
      </c>
      <c r="CP12" s="449">
        <f t="shared" si="21"/>
        <v>43139.946000000004</v>
      </c>
      <c r="CQ12" s="449">
        <f t="shared" si="22"/>
        <v>38695.493999999999</v>
      </c>
      <c r="CU12" s="448" t="s">
        <v>559</v>
      </c>
      <c r="CV12" s="449">
        <v>6308881</v>
      </c>
      <c r="CW12" s="449">
        <v>6308881</v>
      </c>
      <c r="CX12" s="450">
        <f t="shared" si="23"/>
        <v>6308.8810000000003</v>
      </c>
      <c r="CY12" s="450">
        <f t="shared" si="24"/>
        <v>6308.8810000000003</v>
      </c>
      <c r="DB12" s="602" t="s">
        <v>559</v>
      </c>
      <c r="DC12" s="603">
        <v>81835440</v>
      </c>
      <c r="DD12" s="603">
        <v>45004375</v>
      </c>
      <c r="DE12" s="603">
        <v>36831065</v>
      </c>
      <c r="DF12" s="603">
        <v>45004375</v>
      </c>
      <c r="DG12" s="604">
        <f t="shared" si="25"/>
        <v>81835.44</v>
      </c>
      <c r="DH12" s="604">
        <f t="shared" si="26"/>
        <v>45004.375</v>
      </c>
      <c r="DI12" s="604">
        <f t="shared" si="27"/>
        <v>36831.065000000002</v>
      </c>
      <c r="DJ12" s="604">
        <f t="shared" si="28"/>
        <v>45004.375</v>
      </c>
      <c r="DN12" s="94" t="s">
        <v>559</v>
      </c>
      <c r="DO12" s="94">
        <v>6318559</v>
      </c>
      <c r="DP12" s="94">
        <v>6318559</v>
      </c>
      <c r="DQ12" s="666">
        <f t="shared" si="29"/>
        <v>6318.5590000000002</v>
      </c>
      <c r="DR12" s="666">
        <f t="shared" si="30"/>
        <v>6318.5590000000002</v>
      </c>
      <c r="DV12" s="94" t="s">
        <v>559</v>
      </c>
      <c r="DW12" s="95">
        <v>81835440</v>
      </c>
      <c r="DX12" s="95">
        <v>51322934</v>
      </c>
      <c r="DY12" s="95">
        <v>30512506</v>
      </c>
      <c r="DZ12" s="95">
        <v>51322934</v>
      </c>
      <c r="EA12" s="95">
        <f t="shared" si="31"/>
        <v>81835.44</v>
      </c>
      <c r="EB12" s="95">
        <f t="shared" si="32"/>
        <v>51322.934000000001</v>
      </c>
      <c r="EC12" s="95">
        <f t="shared" si="33"/>
        <v>30512.506000000001</v>
      </c>
      <c r="ED12" s="95">
        <f t="shared" si="34"/>
        <v>51322.934000000001</v>
      </c>
      <c r="EH12" s="444" t="s">
        <v>559</v>
      </c>
      <c r="EI12" s="444">
        <v>6938890</v>
      </c>
      <c r="EJ12" s="450">
        <f t="shared" si="35"/>
        <v>6938.89</v>
      </c>
      <c r="EN12" s="444" t="s">
        <v>559</v>
      </c>
      <c r="EO12" s="450">
        <v>81835440</v>
      </c>
      <c r="EP12" s="450">
        <v>58261824</v>
      </c>
      <c r="EQ12" s="450">
        <v>23573616</v>
      </c>
      <c r="ER12" s="450">
        <v>58261824</v>
      </c>
      <c r="ES12" s="746">
        <f t="shared" si="36"/>
        <v>81835.44</v>
      </c>
      <c r="ET12" s="746">
        <f t="shared" si="37"/>
        <v>58261.824000000001</v>
      </c>
      <c r="EU12" s="746">
        <f t="shared" si="38"/>
        <v>23573.616000000002</v>
      </c>
      <c r="EV12" s="746">
        <f t="shared" si="39"/>
        <v>58261.824000000001</v>
      </c>
      <c r="EZ12" s="780" t="s">
        <v>554</v>
      </c>
      <c r="FA12" s="781" t="s">
        <v>559</v>
      </c>
      <c r="FB12" s="444">
        <v>6435018</v>
      </c>
      <c r="FC12" s="450">
        <f t="shared" si="40"/>
        <v>6435.018</v>
      </c>
      <c r="FG12" s="785" t="s">
        <v>554</v>
      </c>
      <c r="FH12" s="784" t="s">
        <v>559</v>
      </c>
      <c r="FI12" s="782">
        <v>81835440</v>
      </c>
      <c r="FJ12" s="783">
        <v>64696842</v>
      </c>
      <c r="FK12" s="783">
        <v>17138598</v>
      </c>
      <c r="FL12" s="783">
        <v>64696842</v>
      </c>
      <c r="FM12" s="450">
        <f t="shared" si="41"/>
        <v>81835.44</v>
      </c>
      <c r="FN12" s="450">
        <f t="shared" si="42"/>
        <v>64696.841999999997</v>
      </c>
      <c r="FO12" s="450">
        <f t="shared" si="43"/>
        <v>17138.598000000002</v>
      </c>
      <c r="FP12" s="450">
        <f t="shared" si="44"/>
        <v>64696.841999999997</v>
      </c>
      <c r="FT12" s="451" t="s">
        <v>554</v>
      </c>
      <c r="FU12" s="94" t="s">
        <v>559</v>
      </c>
      <c r="FV12" s="95">
        <v>0</v>
      </c>
      <c r="FW12" s="95">
        <v>6448500</v>
      </c>
      <c r="FX12" s="95">
        <v>6448500</v>
      </c>
      <c r="FY12" s="450">
        <f t="shared" si="45"/>
        <v>0</v>
      </c>
      <c r="FZ12" s="450">
        <f t="shared" si="46"/>
        <v>6448.5</v>
      </c>
      <c r="GA12" s="450">
        <f t="shared" si="47"/>
        <v>6448.5</v>
      </c>
      <c r="GG12" s="817" t="s">
        <v>554</v>
      </c>
      <c r="GH12" s="818" t="s">
        <v>559</v>
      </c>
      <c r="GI12" s="819">
        <v>81835440</v>
      </c>
      <c r="GJ12" s="819">
        <v>71145342</v>
      </c>
      <c r="GK12" s="819">
        <v>10690098</v>
      </c>
      <c r="GL12" s="819">
        <v>71145342</v>
      </c>
      <c r="GM12" s="819">
        <v>0</v>
      </c>
      <c r="GN12" s="450">
        <f t="shared" si="48"/>
        <v>81835.44</v>
      </c>
      <c r="GO12" s="450">
        <f t="shared" si="49"/>
        <v>71145.342000000004</v>
      </c>
      <c r="GP12" s="450">
        <f t="shared" si="50"/>
        <v>10690.098</v>
      </c>
      <c r="GQ12" s="450">
        <f t="shared" si="51"/>
        <v>71145.342000000004</v>
      </c>
      <c r="GR12" s="450">
        <f t="shared" si="52"/>
        <v>0</v>
      </c>
      <c r="GV12" s="841" t="s">
        <v>559</v>
      </c>
      <c r="GW12" s="840">
        <v>7451358</v>
      </c>
      <c r="GX12" s="450">
        <f t="shared" si="53"/>
        <v>7451.3580000000002</v>
      </c>
      <c r="HB12" s="843" t="s">
        <v>559</v>
      </c>
      <c r="HC12" s="819">
        <v>81835440</v>
      </c>
      <c r="HD12" s="819">
        <v>78596700</v>
      </c>
      <c r="HE12" s="819">
        <v>3238740</v>
      </c>
      <c r="HF12" s="819">
        <v>78596700</v>
      </c>
      <c r="HG12" s="450">
        <f t="shared" si="54"/>
        <v>81835.44</v>
      </c>
      <c r="HH12" s="450">
        <f t="shared" si="55"/>
        <v>3238.74</v>
      </c>
      <c r="HI12" s="450">
        <f t="shared" si="56"/>
        <v>78596.7</v>
      </c>
      <c r="HJ12" s="450">
        <f t="shared" si="57"/>
        <v>3238.74</v>
      </c>
      <c r="HK12" s="450">
        <f t="shared" si="58"/>
        <v>78596.7</v>
      </c>
    </row>
    <row r="13" spans="1:221" ht="15" customHeight="1" x14ac:dyDescent="0.3">
      <c r="A13" s="295" t="s">
        <v>554</v>
      </c>
      <c r="B13" s="296" t="s">
        <v>560</v>
      </c>
      <c r="C13" s="297">
        <v>203469316</v>
      </c>
      <c r="D13" s="298">
        <f t="shared" si="3"/>
        <v>216287.88290799997</v>
      </c>
      <c r="E13" s="297">
        <v>16152170</v>
      </c>
      <c r="F13" s="297">
        <f t="shared" si="4"/>
        <v>17169.756709999998</v>
      </c>
      <c r="J13" s="299" t="s">
        <v>554</v>
      </c>
      <c r="K13" s="300" t="s">
        <v>560</v>
      </c>
      <c r="L13" s="301">
        <v>16152170</v>
      </c>
      <c r="M13" s="301">
        <f t="shared" si="5"/>
        <v>17169.756709999998</v>
      </c>
      <c r="Q13" s="299" t="s">
        <v>554</v>
      </c>
      <c r="R13" s="300" t="s">
        <v>560</v>
      </c>
      <c r="S13" s="301">
        <v>203469316</v>
      </c>
      <c r="T13" s="301">
        <v>32304340</v>
      </c>
      <c r="U13" s="301">
        <f t="shared" si="6"/>
        <v>216287.88290799997</v>
      </c>
      <c r="V13" s="301">
        <f t="shared" si="7"/>
        <v>34339.513419999996</v>
      </c>
      <c r="Z13" s="296" t="s">
        <v>560</v>
      </c>
      <c r="AA13" s="297">
        <v>15533551</v>
      </c>
      <c r="AB13" s="297">
        <f t="shared" si="8"/>
        <v>16512.164712999998</v>
      </c>
      <c r="AF13" s="296" t="s">
        <v>560</v>
      </c>
      <c r="AG13" s="297">
        <v>203469316</v>
      </c>
      <c r="AH13" s="297">
        <f t="shared" si="0"/>
        <v>216287.88290799997</v>
      </c>
      <c r="AI13" s="297">
        <v>47837891</v>
      </c>
      <c r="AL13" s="450"/>
      <c r="AN13" s="447" t="s">
        <v>554</v>
      </c>
      <c r="AO13" s="448" t="s">
        <v>560</v>
      </c>
      <c r="AP13" s="449">
        <v>15224242</v>
      </c>
      <c r="AQ13" s="449">
        <f t="shared" si="9"/>
        <v>16183.369246</v>
      </c>
      <c r="AU13" s="447" t="s">
        <v>554</v>
      </c>
      <c r="AV13" s="448" t="s">
        <v>560</v>
      </c>
      <c r="AW13" s="449">
        <v>203469316</v>
      </c>
      <c r="AX13" s="449">
        <v>63062133</v>
      </c>
      <c r="AY13" s="449">
        <v>140407183</v>
      </c>
      <c r="AZ13" s="450">
        <f t="shared" si="10"/>
        <v>216287.88290799997</v>
      </c>
      <c r="BA13" s="450">
        <f t="shared" si="11"/>
        <v>67035.047378999996</v>
      </c>
      <c r="BB13" s="450">
        <f t="shared" si="12"/>
        <v>149252.83552899997</v>
      </c>
      <c r="BF13" s="447" t="s">
        <v>554</v>
      </c>
      <c r="BG13" s="448" t="s">
        <v>560</v>
      </c>
      <c r="BH13" s="449">
        <v>15224242</v>
      </c>
      <c r="BI13" s="450">
        <f t="shared" si="13"/>
        <v>15224.242</v>
      </c>
      <c r="BM13" s="451" t="s">
        <v>554</v>
      </c>
      <c r="BN13" s="94" t="s">
        <v>560</v>
      </c>
      <c r="BO13" s="95">
        <v>0</v>
      </c>
      <c r="BP13" s="95">
        <v>203469316</v>
      </c>
      <c r="BQ13" s="95">
        <v>78286375</v>
      </c>
      <c r="BR13" s="95">
        <v>125182941</v>
      </c>
      <c r="BS13" s="95">
        <v>78286375</v>
      </c>
      <c r="BT13" s="450">
        <f t="shared" si="14"/>
        <v>203469.31599999999</v>
      </c>
      <c r="BU13" s="450">
        <f t="shared" si="15"/>
        <v>78286.375</v>
      </c>
      <c r="BV13" s="450">
        <f t="shared" si="16"/>
        <v>125182.94100000001</v>
      </c>
      <c r="BW13" s="450">
        <f t="shared" si="17"/>
        <v>78286.375</v>
      </c>
      <c r="CA13" s="94" t="s">
        <v>560</v>
      </c>
      <c r="CB13" s="450">
        <v>16542148</v>
      </c>
      <c r="CC13" s="450">
        <f t="shared" si="18"/>
        <v>16542.148000000001</v>
      </c>
      <c r="CG13" s="448" t="s">
        <v>560</v>
      </c>
      <c r="CH13" s="449">
        <v>0</v>
      </c>
      <c r="CI13" s="449">
        <v>203469316</v>
      </c>
      <c r="CJ13" s="449">
        <v>-203469316</v>
      </c>
      <c r="CK13" s="449">
        <v>94828523</v>
      </c>
      <c r="CL13" s="449">
        <v>108640793</v>
      </c>
      <c r="CM13" s="449">
        <v>94828523</v>
      </c>
      <c r="CN13" s="449">
        <f t="shared" si="19"/>
        <v>203469.31599999999</v>
      </c>
      <c r="CO13" s="449">
        <f t="shared" si="20"/>
        <v>94828.523000000001</v>
      </c>
      <c r="CP13" s="449">
        <f t="shared" si="21"/>
        <v>108640.79300000001</v>
      </c>
      <c r="CQ13" s="449">
        <f t="shared" si="22"/>
        <v>94828.523000000001</v>
      </c>
      <c r="CU13" s="448" t="s">
        <v>560</v>
      </c>
      <c r="CV13" s="449">
        <v>16205368</v>
      </c>
      <c r="CW13" s="449">
        <v>16205368</v>
      </c>
      <c r="CX13" s="450">
        <f t="shared" si="23"/>
        <v>16205.368</v>
      </c>
      <c r="CY13" s="450">
        <f t="shared" si="24"/>
        <v>16205.368</v>
      </c>
      <c r="DB13" s="602" t="s">
        <v>560</v>
      </c>
      <c r="DC13" s="603">
        <v>203469316</v>
      </c>
      <c r="DD13" s="603">
        <v>111033891</v>
      </c>
      <c r="DE13" s="603">
        <v>92435425</v>
      </c>
      <c r="DF13" s="603">
        <v>111033891</v>
      </c>
      <c r="DG13" s="604">
        <f t="shared" si="25"/>
        <v>203469.31599999999</v>
      </c>
      <c r="DH13" s="604">
        <f t="shared" si="26"/>
        <v>111033.891</v>
      </c>
      <c r="DI13" s="604">
        <f t="shared" si="27"/>
        <v>92435.425000000003</v>
      </c>
      <c r="DJ13" s="604">
        <f t="shared" si="28"/>
        <v>111033.891</v>
      </c>
      <c r="DN13" s="94" t="s">
        <v>560</v>
      </c>
      <c r="DO13" s="94">
        <v>16212967</v>
      </c>
      <c r="DP13" s="94">
        <v>16212967</v>
      </c>
      <c r="DQ13" s="666">
        <f t="shared" si="29"/>
        <v>16212.967000000001</v>
      </c>
      <c r="DR13" s="666">
        <f t="shared" si="30"/>
        <v>16212.967000000001</v>
      </c>
      <c r="DV13" s="94" t="s">
        <v>560</v>
      </c>
      <c r="DW13" s="95">
        <v>203469316</v>
      </c>
      <c r="DX13" s="95">
        <v>127246858</v>
      </c>
      <c r="DY13" s="95">
        <v>76222458</v>
      </c>
      <c r="DZ13" s="95">
        <v>127246858</v>
      </c>
      <c r="EA13" s="95">
        <f t="shared" si="31"/>
        <v>203469.31599999999</v>
      </c>
      <c r="EB13" s="95">
        <f t="shared" si="32"/>
        <v>127246.85799999999</v>
      </c>
      <c r="EC13" s="95">
        <f t="shared" si="33"/>
        <v>76222.457999999999</v>
      </c>
      <c r="ED13" s="95">
        <f t="shared" si="34"/>
        <v>127246.85799999999</v>
      </c>
      <c r="EH13" s="444" t="s">
        <v>560</v>
      </c>
      <c r="EI13" s="444">
        <v>16212967</v>
      </c>
      <c r="EJ13" s="450">
        <f t="shared" si="35"/>
        <v>16212.967000000001</v>
      </c>
      <c r="EN13" s="444" t="s">
        <v>560</v>
      </c>
      <c r="EO13" s="450">
        <v>203469316</v>
      </c>
      <c r="EP13" s="450">
        <v>143459825</v>
      </c>
      <c r="EQ13" s="450">
        <v>60009491</v>
      </c>
      <c r="ER13" s="450">
        <v>143459825</v>
      </c>
      <c r="ES13" s="746">
        <f t="shared" si="36"/>
        <v>203469.31599999999</v>
      </c>
      <c r="ET13" s="746">
        <f t="shared" si="37"/>
        <v>143459.82500000001</v>
      </c>
      <c r="EU13" s="746">
        <f t="shared" si="38"/>
        <v>60009.491000000002</v>
      </c>
      <c r="EV13" s="746">
        <f t="shared" si="39"/>
        <v>143459.82500000001</v>
      </c>
      <c r="EZ13" s="780" t="s">
        <v>554</v>
      </c>
      <c r="FA13" s="781" t="s">
        <v>560</v>
      </c>
      <c r="FB13" s="444">
        <v>16553761</v>
      </c>
      <c r="FC13" s="450">
        <f t="shared" si="40"/>
        <v>16553.760999999999</v>
      </c>
      <c r="FG13" s="785" t="s">
        <v>554</v>
      </c>
      <c r="FH13" s="784" t="s">
        <v>560</v>
      </c>
      <c r="FI13" s="782">
        <v>203469316</v>
      </c>
      <c r="FJ13" s="783">
        <v>160013586</v>
      </c>
      <c r="FK13" s="783">
        <v>43455730</v>
      </c>
      <c r="FL13" s="783">
        <v>160013586</v>
      </c>
      <c r="FM13" s="450">
        <f t="shared" si="41"/>
        <v>203469.31599999999</v>
      </c>
      <c r="FN13" s="450">
        <f t="shared" si="42"/>
        <v>160013.58600000001</v>
      </c>
      <c r="FO13" s="450">
        <f t="shared" si="43"/>
        <v>43455.73</v>
      </c>
      <c r="FP13" s="450">
        <f t="shared" si="44"/>
        <v>160013.58600000001</v>
      </c>
      <c r="FT13" s="451" t="s">
        <v>554</v>
      </c>
      <c r="FU13" s="94" t="s">
        <v>560</v>
      </c>
      <c r="FV13" s="95">
        <v>0</v>
      </c>
      <c r="FW13" s="95">
        <v>16553761</v>
      </c>
      <c r="FX13" s="95">
        <v>16553761</v>
      </c>
      <c r="FY13" s="450">
        <f t="shared" si="45"/>
        <v>0</v>
      </c>
      <c r="FZ13" s="450">
        <f t="shared" si="46"/>
        <v>16553.760999999999</v>
      </c>
      <c r="GA13" s="450">
        <f t="shared" si="47"/>
        <v>16553.760999999999</v>
      </c>
      <c r="GG13" s="817" t="s">
        <v>554</v>
      </c>
      <c r="GH13" s="818" t="s">
        <v>560</v>
      </c>
      <c r="GI13" s="819">
        <v>203469316</v>
      </c>
      <c r="GJ13" s="819">
        <v>176567347</v>
      </c>
      <c r="GK13" s="819">
        <v>26901969</v>
      </c>
      <c r="GL13" s="819">
        <v>176567347</v>
      </c>
      <c r="GM13" s="819">
        <v>0</v>
      </c>
      <c r="GN13" s="450">
        <f t="shared" si="48"/>
        <v>203469.31599999999</v>
      </c>
      <c r="GO13" s="450">
        <f t="shared" si="49"/>
        <v>176567.34700000001</v>
      </c>
      <c r="GP13" s="450">
        <f t="shared" si="50"/>
        <v>26901.969000000001</v>
      </c>
      <c r="GQ13" s="450">
        <f t="shared" si="51"/>
        <v>176567.34700000001</v>
      </c>
      <c r="GR13" s="450">
        <f t="shared" si="52"/>
        <v>0</v>
      </c>
      <c r="GV13" s="841" t="s">
        <v>560</v>
      </c>
      <c r="GW13" s="840">
        <v>16970226</v>
      </c>
      <c r="GX13" s="450">
        <f t="shared" si="53"/>
        <v>16970.225999999999</v>
      </c>
      <c r="HB13" s="843" t="s">
        <v>560</v>
      </c>
      <c r="HC13" s="819">
        <v>203469316</v>
      </c>
      <c r="HD13" s="819">
        <v>193537573</v>
      </c>
      <c r="HE13" s="819">
        <v>9931743</v>
      </c>
      <c r="HF13" s="819">
        <v>193537573</v>
      </c>
      <c r="HG13" s="450">
        <f t="shared" si="54"/>
        <v>203469.31599999999</v>
      </c>
      <c r="HH13" s="450">
        <f t="shared" si="55"/>
        <v>9931.7430000000004</v>
      </c>
      <c r="HI13" s="450">
        <f t="shared" si="56"/>
        <v>193537.573</v>
      </c>
      <c r="HJ13" s="450">
        <f t="shared" si="57"/>
        <v>9931.7430000000004</v>
      </c>
      <c r="HK13" s="450">
        <f t="shared" si="58"/>
        <v>193537.573</v>
      </c>
    </row>
    <row r="14" spans="1:221" ht="15" customHeight="1" x14ac:dyDescent="0.3">
      <c r="A14" s="295" t="s">
        <v>554</v>
      </c>
      <c r="B14" s="296" t="s">
        <v>561</v>
      </c>
      <c r="C14" s="297">
        <v>65528926</v>
      </c>
      <c r="D14" s="298">
        <f t="shared" si="3"/>
        <v>69657.24833799999</v>
      </c>
      <c r="E14" s="297">
        <v>0</v>
      </c>
      <c r="F14" s="297">
        <f t="shared" si="4"/>
        <v>0</v>
      </c>
      <c r="J14" s="299" t="s">
        <v>554</v>
      </c>
      <c r="K14" s="300" t="s">
        <v>562</v>
      </c>
      <c r="L14" s="301">
        <v>1660578</v>
      </c>
      <c r="M14" s="301">
        <f t="shared" si="5"/>
        <v>1765.1944139999998</v>
      </c>
      <c r="Q14" s="299" t="s">
        <v>554</v>
      </c>
      <c r="R14" s="300" t="s">
        <v>561</v>
      </c>
      <c r="S14" s="301">
        <v>65528926</v>
      </c>
      <c r="T14" s="301">
        <v>0</v>
      </c>
      <c r="U14" s="301">
        <f t="shared" si="6"/>
        <v>69657.24833799999</v>
      </c>
      <c r="V14" s="301">
        <f t="shared" si="7"/>
        <v>0</v>
      </c>
      <c r="Z14" s="296" t="s">
        <v>561</v>
      </c>
      <c r="AA14" s="297">
        <v>14979218</v>
      </c>
      <c r="AB14" s="297">
        <f t="shared" si="8"/>
        <v>15922.908734000001</v>
      </c>
      <c r="AF14" s="296" t="s">
        <v>561</v>
      </c>
      <c r="AG14" s="297">
        <v>65528926</v>
      </c>
      <c r="AH14" s="297">
        <f t="shared" si="0"/>
        <v>69657.24833799999</v>
      </c>
      <c r="AI14" s="297">
        <v>14979218</v>
      </c>
      <c r="AL14" s="450"/>
      <c r="AN14" s="447" t="s">
        <v>554</v>
      </c>
      <c r="AO14" s="448" t="s">
        <v>561</v>
      </c>
      <c r="AP14" s="449">
        <v>0</v>
      </c>
      <c r="AQ14" s="449">
        <f t="shared" si="9"/>
        <v>0</v>
      </c>
      <c r="AU14" s="447" t="s">
        <v>554</v>
      </c>
      <c r="AV14" s="448" t="s">
        <v>561</v>
      </c>
      <c r="AW14" s="449">
        <v>65528926</v>
      </c>
      <c r="AX14" s="449">
        <v>14979218</v>
      </c>
      <c r="AY14" s="449">
        <v>50549708</v>
      </c>
      <c r="AZ14" s="450">
        <f t="shared" si="10"/>
        <v>69657.24833799999</v>
      </c>
      <c r="BA14" s="450">
        <f t="shared" si="11"/>
        <v>15922.908734000001</v>
      </c>
      <c r="BB14" s="450">
        <f t="shared" si="12"/>
        <v>53734.339603999993</v>
      </c>
      <c r="BF14" s="447" t="s">
        <v>554</v>
      </c>
      <c r="BG14" s="448" t="s">
        <v>562</v>
      </c>
      <c r="BH14" s="449">
        <v>569640</v>
      </c>
      <c r="BI14" s="450">
        <f t="shared" si="13"/>
        <v>569.64</v>
      </c>
      <c r="BM14" s="451" t="s">
        <v>554</v>
      </c>
      <c r="BN14" s="94" t="s">
        <v>561</v>
      </c>
      <c r="BO14" s="95">
        <v>0</v>
      </c>
      <c r="BP14" s="95">
        <v>65528926</v>
      </c>
      <c r="BQ14" s="95">
        <v>14979218</v>
      </c>
      <c r="BR14" s="95">
        <v>50549708</v>
      </c>
      <c r="BS14" s="95">
        <v>14979218</v>
      </c>
      <c r="BT14" s="450">
        <f t="shared" si="14"/>
        <v>65528.925999999999</v>
      </c>
      <c r="BU14" s="450">
        <f t="shared" si="15"/>
        <v>14979.218000000001</v>
      </c>
      <c r="BV14" s="450">
        <f t="shared" si="16"/>
        <v>50549.707999999999</v>
      </c>
      <c r="BW14" s="450">
        <f t="shared" si="17"/>
        <v>14979.218000000001</v>
      </c>
      <c r="CA14" s="94" t="s">
        <v>561</v>
      </c>
      <c r="CB14" s="450">
        <v>15580983</v>
      </c>
      <c r="CC14" s="450">
        <f t="shared" si="18"/>
        <v>15580.983</v>
      </c>
      <c r="CG14" s="448" t="s">
        <v>561</v>
      </c>
      <c r="CH14" s="449">
        <v>0</v>
      </c>
      <c r="CI14" s="449">
        <v>65528926</v>
      </c>
      <c r="CJ14" s="449">
        <v>-65528926</v>
      </c>
      <c r="CK14" s="449">
        <v>30560201</v>
      </c>
      <c r="CL14" s="449">
        <v>34968725</v>
      </c>
      <c r="CM14" s="449">
        <v>30560201</v>
      </c>
      <c r="CN14" s="449">
        <f t="shared" si="19"/>
        <v>65528.925999999999</v>
      </c>
      <c r="CO14" s="449">
        <f t="shared" si="20"/>
        <v>30560.201000000001</v>
      </c>
      <c r="CP14" s="449">
        <f t="shared" si="21"/>
        <v>34968.724999999999</v>
      </c>
      <c r="CQ14" s="449">
        <f t="shared" si="22"/>
        <v>30560.201000000001</v>
      </c>
      <c r="CU14" s="448" t="s">
        <v>561</v>
      </c>
      <c r="CV14" s="449">
        <v>0</v>
      </c>
      <c r="CW14" s="449">
        <v>0</v>
      </c>
      <c r="CX14" s="450">
        <f t="shared" si="23"/>
        <v>0</v>
      </c>
      <c r="CY14" s="450">
        <f t="shared" si="24"/>
        <v>0</v>
      </c>
      <c r="DB14" s="602" t="s">
        <v>561</v>
      </c>
      <c r="DC14" s="603">
        <v>65528926</v>
      </c>
      <c r="DD14" s="603">
        <v>30560201</v>
      </c>
      <c r="DE14" s="603">
        <v>34968725</v>
      </c>
      <c r="DF14" s="603">
        <v>30560201</v>
      </c>
      <c r="DG14" s="604">
        <f t="shared" si="25"/>
        <v>65528.925999999999</v>
      </c>
      <c r="DH14" s="604">
        <f t="shared" si="26"/>
        <v>30560.201000000001</v>
      </c>
      <c r="DI14" s="604">
        <f t="shared" si="27"/>
        <v>34968.724999999999</v>
      </c>
      <c r="DJ14" s="604">
        <f t="shared" si="28"/>
        <v>30560.201000000001</v>
      </c>
      <c r="DN14" s="94" t="s">
        <v>562</v>
      </c>
      <c r="DO14" s="94">
        <v>854460</v>
      </c>
      <c r="DP14" s="94">
        <v>854460</v>
      </c>
      <c r="DQ14" s="666">
        <f t="shared" si="29"/>
        <v>854.46</v>
      </c>
      <c r="DR14" s="666">
        <f t="shared" si="30"/>
        <v>854.46</v>
      </c>
      <c r="DV14" s="94" t="s">
        <v>561</v>
      </c>
      <c r="DW14" s="95">
        <v>65528926</v>
      </c>
      <c r="DX14" s="95">
        <v>30560201</v>
      </c>
      <c r="DY14" s="95">
        <v>34968725</v>
      </c>
      <c r="DZ14" s="95">
        <v>30560201</v>
      </c>
      <c r="EA14" s="95">
        <f t="shared" si="31"/>
        <v>65528.925999999999</v>
      </c>
      <c r="EB14" s="95">
        <f t="shared" si="32"/>
        <v>30560.201000000001</v>
      </c>
      <c r="EC14" s="95">
        <f t="shared" si="33"/>
        <v>34968.724999999999</v>
      </c>
      <c r="ED14" s="95">
        <f t="shared" si="34"/>
        <v>30560.201000000001</v>
      </c>
      <c r="EH14" s="444" t="s">
        <v>561</v>
      </c>
      <c r="EI14" s="444">
        <v>15432959</v>
      </c>
      <c r="EJ14" s="450">
        <f t="shared" si="35"/>
        <v>15432.959000000001</v>
      </c>
      <c r="EN14" s="444" t="s">
        <v>561</v>
      </c>
      <c r="EO14" s="450">
        <v>65528926</v>
      </c>
      <c r="EP14" s="450">
        <v>45993160</v>
      </c>
      <c r="EQ14" s="450">
        <v>19535766</v>
      </c>
      <c r="ER14" s="450">
        <v>45993160</v>
      </c>
      <c r="ES14" s="746">
        <f t="shared" si="36"/>
        <v>65528.925999999999</v>
      </c>
      <c r="ET14" s="746">
        <f t="shared" si="37"/>
        <v>45993.16</v>
      </c>
      <c r="EU14" s="746">
        <f t="shared" si="38"/>
        <v>19535.766</v>
      </c>
      <c r="EV14" s="746">
        <f t="shared" si="39"/>
        <v>45993.16</v>
      </c>
      <c r="EZ14" s="780" t="s">
        <v>554</v>
      </c>
      <c r="FA14" s="781" t="s">
        <v>561</v>
      </c>
      <c r="FB14" s="444">
        <v>0</v>
      </c>
      <c r="FC14" s="450">
        <f t="shared" si="40"/>
        <v>0</v>
      </c>
      <c r="FG14" s="785" t="s">
        <v>554</v>
      </c>
      <c r="FH14" s="784" t="s">
        <v>561</v>
      </c>
      <c r="FI14" s="782">
        <v>65528926</v>
      </c>
      <c r="FJ14" s="783">
        <v>45993160</v>
      </c>
      <c r="FK14" s="783">
        <v>19535766</v>
      </c>
      <c r="FL14" s="783">
        <v>45993160</v>
      </c>
      <c r="FM14" s="450">
        <f t="shared" si="41"/>
        <v>65528.925999999999</v>
      </c>
      <c r="FN14" s="450">
        <f t="shared" si="42"/>
        <v>45993.16</v>
      </c>
      <c r="FO14" s="450">
        <f t="shared" si="43"/>
        <v>19535.766</v>
      </c>
      <c r="FP14" s="450">
        <f t="shared" si="44"/>
        <v>45993.16</v>
      </c>
      <c r="FT14" s="451" t="s">
        <v>554</v>
      </c>
      <c r="FU14" s="94" t="s">
        <v>561</v>
      </c>
      <c r="FV14" s="95">
        <v>0</v>
      </c>
      <c r="FW14" s="95">
        <v>0</v>
      </c>
      <c r="FX14" s="95">
        <v>0</v>
      </c>
      <c r="FY14" s="450">
        <f t="shared" si="45"/>
        <v>0</v>
      </c>
      <c r="FZ14" s="450">
        <f t="shared" si="46"/>
        <v>0</v>
      </c>
      <c r="GA14" s="450">
        <f t="shared" si="47"/>
        <v>0</v>
      </c>
      <c r="GG14" s="817" t="s">
        <v>554</v>
      </c>
      <c r="GH14" s="818" t="s">
        <v>561</v>
      </c>
      <c r="GI14" s="819">
        <v>65528926</v>
      </c>
      <c r="GJ14" s="819">
        <v>45993160</v>
      </c>
      <c r="GK14" s="819">
        <v>19535766</v>
      </c>
      <c r="GL14" s="819">
        <v>45993160</v>
      </c>
      <c r="GM14" s="819">
        <v>0</v>
      </c>
      <c r="GN14" s="450">
        <f t="shared" si="48"/>
        <v>65528.925999999999</v>
      </c>
      <c r="GO14" s="450">
        <f t="shared" si="49"/>
        <v>45993.16</v>
      </c>
      <c r="GP14" s="450">
        <f t="shared" si="50"/>
        <v>19535.766</v>
      </c>
      <c r="GQ14" s="450">
        <f t="shared" si="51"/>
        <v>45993.16</v>
      </c>
      <c r="GR14" s="450">
        <f t="shared" si="52"/>
        <v>0</v>
      </c>
      <c r="GV14" s="841" t="s">
        <v>561</v>
      </c>
      <c r="GW14" s="840">
        <v>15565080</v>
      </c>
      <c r="GX14" s="450">
        <f t="shared" si="53"/>
        <v>15565.08</v>
      </c>
      <c r="HB14" s="843" t="s">
        <v>561</v>
      </c>
      <c r="HC14" s="819">
        <v>65528926</v>
      </c>
      <c r="HD14" s="819">
        <v>61558240</v>
      </c>
      <c r="HE14" s="819">
        <v>3970686</v>
      </c>
      <c r="HF14" s="819">
        <v>61558240</v>
      </c>
      <c r="HG14" s="450">
        <f t="shared" si="54"/>
        <v>65528.925999999999</v>
      </c>
      <c r="HH14" s="450">
        <f t="shared" si="55"/>
        <v>3970.6860000000001</v>
      </c>
      <c r="HI14" s="450">
        <f t="shared" si="56"/>
        <v>61558.239999999998</v>
      </c>
      <c r="HJ14" s="450">
        <f t="shared" si="57"/>
        <v>3970.6860000000001</v>
      </c>
      <c r="HK14" s="450">
        <f t="shared" si="58"/>
        <v>61558.239999999998</v>
      </c>
    </row>
    <row r="15" spans="1:221" ht="15" customHeight="1" x14ac:dyDescent="0.3">
      <c r="A15" s="295" t="s">
        <v>554</v>
      </c>
      <c r="B15" s="296" t="s">
        <v>562</v>
      </c>
      <c r="C15" s="297">
        <v>19927407</v>
      </c>
      <c r="D15" s="298">
        <f t="shared" si="3"/>
        <v>21182.833640999997</v>
      </c>
      <c r="E15" s="297">
        <v>1660578</v>
      </c>
      <c r="F15" s="297">
        <f t="shared" si="4"/>
        <v>1765.1944139999998</v>
      </c>
      <c r="J15" s="299" t="s">
        <v>553</v>
      </c>
      <c r="K15" s="300" t="s">
        <v>358</v>
      </c>
      <c r="L15" s="301">
        <v>1753980</v>
      </c>
      <c r="M15" s="301">
        <f t="shared" si="5"/>
        <v>1864.48074</v>
      </c>
      <c r="Q15" s="299" t="s">
        <v>554</v>
      </c>
      <c r="R15" s="300" t="s">
        <v>562</v>
      </c>
      <c r="S15" s="301">
        <v>19927407</v>
      </c>
      <c r="T15" s="301">
        <v>3321156</v>
      </c>
      <c r="U15" s="301">
        <f t="shared" si="6"/>
        <v>21182.833640999997</v>
      </c>
      <c r="V15" s="301">
        <f t="shared" si="7"/>
        <v>3530.3888279999996</v>
      </c>
      <c r="Z15" s="296" t="s">
        <v>562</v>
      </c>
      <c r="AA15" s="297">
        <v>664580</v>
      </c>
      <c r="AB15" s="297">
        <f t="shared" si="8"/>
        <v>706.44853999999998</v>
      </c>
      <c r="AF15" s="296" t="s">
        <v>562</v>
      </c>
      <c r="AG15" s="297">
        <v>19927407</v>
      </c>
      <c r="AH15" s="297">
        <f t="shared" si="0"/>
        <v>21182.833640999997</v>
      </c>
      <c r="AI15" s="297">
        <v>3985736</v>
      </c>
      <c r="AL15" s="450"/>
      <c r="AN15" s="447" t="s">
        <v>554</v>
      </c>
      <c r="AO15" s="448" t="s">
        <v>562</v>
      </c>
      <c r="AP15" s="449">
        <v>569640</v>
      </c>
      <c r="AQ15" s="449">
        <f t="shared" si="9"/>
        <v>605.52731999999992</v>
      </c>
      <c r="AU15" s="447" t="s">
        <v>554</v>
      </c>
      <c r="AV15" s="448" t="s">
        <v>562</v>
      </c>
      <c r="AW15" s="449">
        <v>19927407</v>
      </c>
      <c r="AX15" s="449">
        <v>4555376</v>
      </c>
      <c r="AY15" s="449">
        <v>15372031</v>
      </c>
      <c r="AZ15" s="450">
        <f t="shared" si="10"/>
        <v>21182.833640999997</v>
      </c>
      <c r="BA15" s="450">
        <f t="shared" si="11"/>
        <v>4842.3646879999997</v>
      </c>
      <c r="BB15" s="450">
        <f t="shared" si="12"/>
        <v>16340.468953</v>
      </c>
      <c r="BF15" s="447" t="s">
        <v>553</v>
      </c>
      <c r="BG15" s="448" t="s">
        <v>358</v>
      </c>
      <c r="BH15" s="449">
        <v>1631418</v>
      </c>
      <c r="BI15" s="450">
        <f t="shared" si="13"/>
        <v>1631.4179999999999</v>
      </c>
      <c r="BM15" s="451" t="s">
        <v>554</v>
      </c>
      <c r="BN15" s="94" t="s">
        <v>562</v>
      </c>
      <c r="BO15" s="95">
        <v>0</v>
      </c>
      <c r="BP15" s="95">
        <v>19927407</v>
      </c>
      <c r="BQ15" s="95">
        <v>5125016</v>
      </c>
      <c r="BR15" s="95">
        <v>14802391</v>
      </c>
      <c r="BS15" s="95">
        <v>5125016</v>
      </c>
      <c r="BT15" s="450">
        <f t="shared" si="14"/>
        <v>19927.406999999999</v>
      </c>
      <c r="BU15" s="450">
        <f t="shared" si="15"/>
        <v>5125.0159999999996</v>
      </c>
      <c r="BV15" s="450">
        <f t="shared" si="16"/>
        <v>14802.391</v>
      </c>
      <c r="BW15" s="450">
        <f t="shared" si="17"/>
        <v>5125.0159999999996</v>
      </c>
      <c r="CA15" s="94" t="s">
        <v>562</v>
      </c>
      <c r="CB15" s="450">
        <v>854460</v>
      </c>
      <c r="CC15" s="450">
        <f t="shared" si="18"/>
        <v>854.46</v>
      </c>
      <c r="CG15" s="448" t="s">
        <v>562</v>
      </c>
      <c r="CH15" s="449">
        <v>0</v>
      </c>
      <c r="CI15" s="449">
        <v>19927407</v>
      </c>
      <c r="CJ15" s="449">
        <v>-19927407</v>
      </c>
      <c r="CK15" s="449">
        <v>5979476</v>
      </c>
      <c r="CL15" s="449">
        <v>13947931</v>
      </c>
      <c r="CM15" s="449">
        <v>5979476</v>
      </c>
      <c r="CN15" s="449">
        <f t="shared" si="19"/>
        <v>19927.406999999999</v>
      </c>
      <c r="CO15" s="449">
        <f t="shared" si="20"/>
        <v>5979.4759999999997</v>
      </c>
      <c r="CP15" s="449">
        <f t="shared" si="21"/>
        <v>13947.931</v>
      </c>
      <c r="CQ15" s="449">
        <f t="shared" si="22"/>
        <v>5979.4759999999997</v>
      </c>
      <c r="CU15" s="448" t="s">
        <v>562</v>
      </c>
      <c r="CV15" s="449">
        <v>854460</v>
      </c>
      <c r="CW15" s="449">
        <v>854460</v>
      </c>
      <c r="CX15" s="450">
        <f t="shared" si="23"/>
        <v>854.46</v>
      </c>
      <c r="CY15" s="450">
        <f t="shared" si="24"/>
        <v>854.46</v>
      </c>
      <c r="DB15" s="602" t="s">
        <v>562</v>
      </c>
      <c r="DC15" s="603">
        <v>19927407</v>
      </c>
      <c r="DD15" s="603">
        <v>6833936</v>
      </c>
      <c r="DE15" s="603">
        <v>13093471</v>
      </c>
      <c r="DF15" s="603">
        <v>6833936</v>
      </c>
      <c r="DG15" s="604">
        <f t="shared" si="25"/>
        <v>19927.406999999999</v>
      </c>
      <c r="DH15" s="604">
        <f t="shared" si="26"/>
        <v>6833.9359999999997</v>
      </c>
      <c r="DI15" s="604">
        <f t="shared" si="27"/>
        <v>13093.471</v>
      </c>
      <c r="DJ15" s="604">
        <f t="shared" si="28"/>
        <v>6833.9359999999997</v>
      </c>
      <c r="DN15" s="94" t="s">
        <v>358</v>
      </c>
      <c r="DO15" s="94">
        <v>1718886</v>
      </c>
      <c r="DP15" s="94">
        <v>1718886</v>
      </c>
      <c r="DQ15" s="666">
        <f t="shared" si="29"/>
        <v>1718.886</v>
      </c>
      <c r="DR15" s="666">
        <f t="shared" si="30"/>
        <v>1718.886</v>
      </c>
      <c r="DV15" s="94" t="s">
        <v>562</v>
      </c>
      <c r="DW15" s="95">
        <v>19927407</v>
      </c>
      <c r="DX15" s="95">
        <v>7688396</v>
      </c>
      <c r="DY15" s="95">
        <v>12239011</v>
      </c>
      <c r="DZ15" s="95">
        <v>7688396</v>
      </c>
      <c r="EA15" s="95">
        <f t="shared" si="31"/>
        <v>19927.406999999999</v>
      </c>
      <c r="EB15" s="95">
        <f t="shared" si="32"/>
        <v>7688.3959999999997</v>
      </c>
      <c r="EC15" s="95">
        <f t="shared" si="33"/>
        <v>12239.011</v>
      </c>
      <c r="ED15" s="95">
        <f t="shared" si="34"/>
        <v>7688.3959999999997</v>
      </c>
      <c r="EH15" s="444" t="s">
        <v>562</v>
      </c>
      <c r="EI15" s="444">
        <v>854460</v>
      </c>
      <c r="EJ15" s="450">
        <f t="shared" si="35"/>
        <v>854.46</v>
      </c>
      <c r="EN15" s="444" t="s">
        <v>562</v>
      </c>
      <c r="EO15" s="450">
        <v>19927407</v>
      </c>
      <c r="EP15" s="450">
        <v>8542856</v>
      </c>
      <c r="EQ15" s="450">
        <v>11384551</v>
      </c>
      <c r="ER15" s="450">
        <v>8542856</v>
      </c>
      <c r="ES15" s="746">
        <f t="shared" si="36"/>
        <v>19927.406999999999</v>
      </c>
      <c r="ET15" s="746">
        <f t="shared" si="37"/>
        <v>8542.8559999999998</v>
      </c>
      <c r="EU15" s="746">
        <f t="shared" si="38"/>
        <v>11384.550999999999</v>
      </c>
      <c r="EV15" s="746">
        <f t="shared" si="39"/>
        <v>8542.8559999999998</v>
      </c>
      <c r="EZ15" s="780" t="s">
        <v>554</v>
      </c>
      <c r="FA15" s="781" t="s">
        <v>562</v>
      </c>
      <c r="FB15" s="444">
        <v>854460</v>
      </c>
      <c r="FC15" s="450">
        <f t="shared" si="40"/>
        <v>854.46</v>
      </c>
      <c r="FG15" s="785" t="s">
        <v>554</v>
      </c>
      <c r="FH15" s="784" t="s">
        <v>562</v>
      </c>
      <c r="FI15" s="782">
        <v>19927407</v>
      </c>
      <c r="FJ15" s="783">
        <v>9397316</v>
      </c>
      <c r="FK15" s="783">
        <v>10530091</v>
      </c>
      <c r="FL15" s="783">
        <v>9397316</v>
      </c>
      <c r="FM15" s="450">
        <f t="shared" si="41"/>
        <v>19927.406999999999</v>
      </c>
      <c r="FN15" s="450">
        <f t="shared" si="42"/>
        <v>9397.3160000000007</v>
      </c>
      <c r="FO15" s="450">
        <f t="shared" si="43"/>
        <v>10530.091</v>
      </c>
      <c r="FP15" s="450">
        <f t="shared" si="44"/>
        <v>9397.3160000000007</v>
      </c>
      <c r="FT15" s="451" t="s">
        <v>554</v>
      </c>
      <c r="FU15" s="94" t="s">
        <v>562</v>
      </c>
      <c r="FV15" s="95">
        <v>0</v>
      </c>
      <c r="FW15" s="95">
        <v>854460</v>
      </c>
      <c r="FX15" s="95">
        <v>854460</v>
      </c>
      <c r="FY15" s="450">
        <f t="shared" si="45"/>
        <v>0</v>
      </c>
      <c r="FZ15" s="450">
        <f t="shared" si="46"/>
        <v>854.46</v>
      </c>
      <c r="GA15" s="450">
        <f t="shared" si="47"/>
        <v>854.46</v>
      </c>
      <c r="GG15" s="817" t="s">
        <v>554</v>
      </c>
      <c r="GH15" s="818" t="s">
        <v>562</v>
      </c>
      <c r="GI15" s="819">
        <v>19927407</v>
      </c>
      <c r="GJ15" s="819">
        <v>10251776</v>
      </c>
      <c r="GK15" s="819">
        <v>9675631</v>
      </c>
      <c r="GL15" s="819">
        <v>10251776</v>
      </c>
      <c r="GM15" s="819">
        <v>0</v>
      </c>
      <c r="GN15" s="450">
        <f t="shared" si="48"/>
        <v>19927.406999999999</v>
      </c>
      <c r="GO15" s="450">
        <f t="shared" si="49"/>
        <v>10251.776</v>
      </c>
      <c r="GP15" s="450">
        <f t="shared" si="50"/>
        <v>9675.6309999999994</v>
      </c>
      <c r="GQ15" s="450">
        <f t="shared" si="51"/>
        <v>10251.776</v>
      </c>
      <c r="GR15" s="450">
        <f t="shared" si="52"/>
        <v>0</v>
      </c>
      <c r="GV15" s="841" t="s">
        <v>562</v>
      </c>
      <c r="GW15" s="840">
        <v>854460</v>
      </c>
      <c r="GX15" s="450">
        <f t="shared" si="53"/>
        <v>854.46</v>
      </c>
      <c r="HB15" s="843" t="s">
        <v>562</v>
      </c>
      <c r="HC15" s="819">
        <v>19927407</v>
      </c>
      <c r="HD15" s="819">
        <v>11106236</v>
      </c>
      <c r="HE15" s="819">
        <v>8821171</v>
      </c>
      <c r="HF15" s="819">
        <v>11106236</v>
      </c>
      <c r="HG15" s="450">
        <f t="shared" si="54"/>
        <v>19927.406999999999</v>
      </c>
      <c r="HH15" s="450">
        <f t="shared" si="55"/>
        <v>8821.1710000000003</v>
      </c>
      <c r="HI15" s="450">
        <f t="shared" si="56"/>
        <v>11106.236000000001</v>
      </c>
      <c r="HJ15" s="450">
        <f t="shared" si="57"/>
        <v>8821.1710000000003</v>
      </c>
      <c r="HK15" s="450">
        <f t="shared" si="58"/>
        <v>11106.236000000001</v>
      </c>
    </row>
    <row r="16" spans="1:221" ht="15" customHeight="1" x14ac:dyDescent="0.3">
      <c r="A16" s="295" t="s">
        <v>553</v>
      </c>
      <c r="B16" s="296" t="s">
        <v>358</v>
      </c>
      <c r="C16" s="297">
        <v>27224450</v>
      </c>
      <c r="D16" s="298">
        <f t="shared" si="3"/>
        <v>28939.590349999999</v>
      </c>
      <c r="E16" s="297">
        <v>1553401</v>
      </c>
      <c r="F16" s="297">
        <f t="shared" si="4"/>
        <v>1651.265263</v>
      </c>
      <c r="J16" s="299" t="s">
        <v>554</v>
      </c>
      <c r="K16" s="300" t="s">
        <v>563</v>
      </c>
      <c r="L16" s="301">
        <v>189150</v>
      </c>
      <c r="M16" s="301">
        <f t="shared" si="5"/>
        <v>201.06645</v>
      </c>
      <c r="Q16" s="299" t="s">
        <v>553</v>
      </c>
      <c r="R16" s="300" t="s">
        <v>358</v>
      </c>
      <c r="S16" s="301">
        <v>27224450</v>
      </c>
      <c r="T16" s="301">
        <v>3307381</v>
      </c>
      <c r="U16" s="301">
        <f t="shared" si="6"/>
        <v>28939.590349999999</v>
      </c>
      <c r="V16" s="301">
        <f t="shared" si="7"/>
        <v>3515.7460029999997</v>
      </c>
      <c r="Z16" s="296" t="s">
        <v>358</v>
      </c>
      <c r="AA16" s="297">
        <v>2378561</v>
      </c>
      <c r="AB16" s="297">
        <f t="shared" si="8"/>
        <v>2528.410343</v>
      </c>
      <c r="AF16" s="296" t="s">
        <v>358</v>
      </c>
      <c r="AG16" s="297">
        <v>27224450</v>
      </c>
      <c r="AH16" s="297">
        <f t="shared" si="0"/>
        <v>28939.590349999999</v>
      </c>
      <c r="AI16" s="297">
        <v>5685942</v>
      </c>
      <c r="AL16" s="450"/>
      <c r="AN16" s="447" t="s">
        <v>553</v>
      </c>
      <c r="AO16" s="448" t="s">
        <v>358</v>
      </c>
      <c r="AP16" s="449">
        <v>1464965</v>
      </c>
      <c r="AQ16" s="449">
        <f t="shared" si="9"/>
        <v>1557.2577949999998</v>
      </c>
      <c r="AU16" s="447" t="s">
        <v>553</v>
      </c>
      <c r="AV16" s="448" t="s">
        <v>358</v>
      </c>
      <c r="AW16" s="449">
        <v>27224450</v>
      </c>
      <c r="AX16" s="449">
        <v>7150907</v>
      </c>
      <c r="AY16" s="449">
        <v>20073543</v>
      </c>
      <c r="AZ16" s="450">
        <f t="shared" si="10"/>
        <v>28939.590349999999</v>
      </c>
      <c r="BA16" s="450">
        <f t="shared" si="11"/>
        <v>7601.4141410000002</v>
      </c>
      <c r="BB16" s="450">
        <f t="shared" si="12"/>
        <v>21338.176209000001</v>
      </c>
      <c r="BF16" s="447" t="s">
        <v>554</v>
      </c>
      <c r="BG16" s="448" t="s">
        <v>563</v>
      </c>
      <c r="BH16" s="449">
        <v>151320</v>
      </c>
      <c r="BI16" s="450">
        <f t="shared" si="13"/>
        <v>151.32</v>
      </c>
      <c r="BM16" s="451" t="s">
        <v>553</v>
      </c>
      <c r="BN16" s="94" t="s">
        <v>358</v>
      </c>
      <c r="BO16" s="95">
        <v>0</v>
      </c>
      <c r="BP16" s="95">
        <v>27224450</v>
      </c>
      <c r="BQ16" s="95">
        <v>8782325</v>
      </c>
      <c r="BR16" s="95">
        <v>18442125</v>
      </c>
      <c r="BS16" s="95">
        <v>8782325</v>
      </c>
      <c r="BT16" s="450">
        <f t="shared" si="14"/>
        <v>27224.45</v>
      </c>
      <c r="BU16" s="450">
        <f t="shared" si="15"/>
        <v>8782.3250000000007</v>
      </c>
      <c r="BV16" s="450">
        <f t="shared" si="16"/>
        <v>18442.125</v>
      </c>
      <c r="BW16" s="450">
        <f t="shared" si="17"/>
        <v>8782.3250000000007</v>
      </c>
      <c r="CA16" s="94" t="s">
        <v>358</v>
      </c>
      <c r="CB16" s="450">
        <v>1993130</v>
      </c>
      <c r="CC16" s="450">
        <f t="shared" si="18"/>
        <v>1993.13</v>
      </c>
      <c r="CG16" s="448" t="s">
        <v>358</v>
      </c>
      <c r="CH16" s="449">
        <v>0</v>
      </c>
      <c r="CI16" s="449">
        <v>27224450</v>
      </c>
      <c r="CJ16" s="449">
        <v>-27224450</v>
      </c>
      <c r="CK16" s="449">
        <v>10775455</v>
      </c>
      <c r="CL16" s="449">
        <v>16448995</v>
      </c>
      <c r="CM16" s="449">
        <v>10775455</v>
      </c>
      <c r="CN16" s="449">
        <f t="shared" si="19"/>
        <v>27224.45</v>
      </c>
      <c r="CO16" s="449">
        <f t="shared" si="20"/>
        <v>10775.455</v>
      </c>
      <c r="CP16" s="449">
        <f t="shared" si="21"/>
        <v>16448.994999999999</v>
      </c>
      <c r="CQ16" s="449">
        <f t="shared" si="22"/>
        <v>10775.455</v>
      </c>
      <c r="CU16" s="448" t="s">
        <v>358</v>
      </c>
      <c r="CV16" s="449">
        <v>1717409</v>
      </c>
      <c r="CW16" s="449">
        <v>1717409</v>
      </c>
      <c r="CX16" s="450">
        <f t="shared" si="23"/>
        <v>1717.4090000000001</v>
      </c>
      <c r="CY16" s="450">
        <f t="shared" si="24"/>
        <v>1717.4090000000001</v>
      </c>
      <c r="DB16" s="602" t="s">
        <v>358</v>
      </c>
      <c r="DC16" s="603">
        <v>27224450</v>
      </c>
      <c r="DD16" s="603">
        <v>12492864</v>
      </c>
      <c r="DE16" s="603">
        <v>14731586</v>
      </c>
      <c r="DF16" s="603">
        <v>12492864</v>
      </c>
      <c r="DG16" s="604">
        <f t="shared" si="25"/>
        <v>27224.45</v>
      </c>
      <c r="DH16" s="604">
        <f t="shared" si="26"/>
        <v>12492.864</v>
      </c>
      <c r="DI16" s="604">
        <f t="shared" si="27"/>
        <v>14731.585999999999</v>
      </c>
      <c r="DJ16" s="604">
        <f t="shared" si="28"/>
        <v>12492.864</v>
      </c>
      <c r="DN16" s="94" t="s">
        <v>563</v>
      </c>
      <c r="DO16" s="94">
        <v>138710</v>
      </c>
      <c r="DP16" s="94">
        <v>138710</v>
      </c>
      <c r="DQ16" s="666">
        <f t="shared" si="29"/>
        <v>138.71</v>
      </c>
      <c r="DR16" s="666">
        <f t="shared" si="30"/>
        <v>138.71</v>
      </c>
      <c r="DV16" s="94" t="s">
        <v>358</v>
      </c>
      <c r="DW16" s="95">
        <v>27224450</v>
      </c>
      <c r="DX16" s="95">
        <v>14211750</v>
      </c>
      <c r="DY16" s="95">
        <v>13012700</v>
      </c>
      <c r="DZ16" s="95">
        <v>14211750</v>
      </c>
      <c r="EA16" s="95">
        <f t="shared" si="31"/>
        <v>27224.45</v>
      </c>
      <c r="EB16" s="95">
        <f t="shared" si="32"/>
        <v>14211.75</v>
      </c>
      <c r="EC16" s="95">
        <f t="shared" si="33"/>
        <v>13012.7</v>
      </c>
      <c r="ED16" s="95">
        <f t="shared" si="34"/>
        <v>14211.75</v>
      </c>
      <c r="EH16" s="444" t="s">
        <v>358</v>
      </c>
      <c r="EI16" s="444">
        <v>1895612</v>
      </c>
      <c r="EJ16" s="450">
        <f t="shared" si="35"/>
        <v>1895.6120000000001</v>
      </c>
      <c r="EN16" s="444" t="s">
        <v>358</v>
      </c>
      <c r="EO16" s="450">
        <v>27224450</v>
      </c>
      <c r="EP16" s="450">
        <v>16107362</v>
      </c>
      <c r="EQ16" s="450">
        <v>11117088</v>
      </c>
      <c r="ER16" s="450">
        <v>16107362</v>
      </c>
      <c r="ES16" s="746">
        <f t="shared" si="36"/>
        <v>27224.45</v>
      </c>
      <c r="ET16" s="746">
        <f t="shared" si="37"/>
        <v>16107.361999999999</v>
      </c>
      <c r="EU16" s="746">
        <f t="shared" si="38"/>
        <v>11117.088</v>
      </c>
      <c r="EV16" s="746">
        <f t="shared" si="39"/>
        <v>16107.361999999999</v>
      </c>
      <c r="EZ16" s="780" t="s">
        <v>553</v>
      </c>
      <c r="FA16" s="781" t="s">
        <v>358</v>
      </c>
      <c r="FB16" s="444">
        <v>1537088</v>
      </c>
      <c r="FC16" s="450">
        <f t="shared" si="40"/>
        <v>1537.088</v>
      </c>
      <c r="FG16" s="785" t="s">
        <v>553</v>
      </c>
      <c r="FH16" s="784" t="s">
        <v>358</v>
      </c>
      <c r="FI16" s="782">
        <v>27224450</v>
      </c>
      <c r="FJ16" s="783">
        <v>17644450</v>
      </c>
      <c r="FK16" s="783">
        <v>9580000</v>
      </c>
      <c r="FL16" s="783">
        <v>17644450</v>
      </c>
      <c r="FM16" s="450">
        <f t="shared" si="41"/>
        <v>27224.45</v>
      </c>
      <c r="FN16" s="450">
        <f t="shared" si="42"/>
        <v>17644.45</v>
      </c>
      <c r="FO16" s="450">
        <f t="shared" si="43"/>
        <v>9580</v>
      </c>
      <c r="FP16" s="450">
        <f t="shared" si="44"/>
        <v>17644.45</v>
      </c>
      <c r="FT16" s="451" t="s">
        <v>553</v>
      </c>
      <c r="FU16" s="94" t="s">
        <v>358</v>
      </c>
      <c r="FV16" s="95">
        <v>0</v>
      </c>
      <c r="FW16" s="95">
        <v>1973768</v>
      </c>
      <c r="FX16" s="95">
        <v>1973768</v>
      </c>
      <c r="FY16" s="450">
        <f t="shared" si="45"/>
        <v>0</v>
      </c>
      <c r="FZ16" s="450">
        <f t="shared" si="46"/>
        <v>1973.768</v>
      </c>
      <c r="GA16" s="450">
        <f t="shared" si="47"/>
        <v>1973.768</v>
      </c>
      <c r="GG16" s="817" t="s">
        <v>553</v>
      </c>
      <c r="GH16" s="818" t="s">
        <v>358</v>
      </c>
      <c r="GI16" s="819">
        <v>27224450</v>
      </c>
      <c r="GJ16" s="819">
        <v>19618218</v>
      </c>
      <c r="GK16" s="819">
        <v>7606232</v>
      </c>
      <c r="GL16" s="819">
        <v>19618218</v>
      </c>
      <c r="GM16" s="819">
        <v>0</v>
      </c>
      <c r="GN16" s="450">
        <f t="shared" si="48"/>
        <v>27224.45</v>
      </c>
      <c r="GO16" s="450">
        <f t="shared" si="49"/>
        <v>19618.218000000001</v>
      </c>
      <c r="GP16" s="450">
        <f t="shared" si="50"/>
        <v>7606.232</v>
      </c>
      <c r="GQ16" s="450">
        <f t="shared" si="51"/>
        <v>19618.218000000001</v>
      </c>
      <c r="GR16" s="450">
        <f t="shared" si="52"/>
        <v>0</v>
      </c>
      <c r="GV16" s="841" t="s">
        <v>923</v>
      </c>
      <c r="GW16" s="840">
        <v>2367200</v>
      </c>
      <c r="GX16" s="450">
        <f t="shared" si="53"/>
        <v>2367.1999999999998</v>
      </c>
      <c r="HB16" s="843" t="s">
        <v>923</v>
      </c>
      <c r="HC16" s="819">
        <v>3000000</v>
      </c>
      <c r="HD16" s="819">
        <v>2367200</v>
      </c>
      <c r="HE16" s="819">
        <v>632800</v>
      </c>
      <c r="HF16" s="819">
        <v>2367200</v>
      </c>
      <c r="HG16" s="450">
        <f t="shared" si="54"/>
        <v>3000</v>
      </c>
      <c r="HH16" s="450">
        <f t="shared" si="55"/>
        <v>632.79999999999995</v>
      </c>
      <c r="HI16" s="450">
        <f t="shared" si="56"/>
        <v>2367.1999999999998</v>
      </c>
      <c r="HJ16" s="450">
        <f t="shared" si="57"/>
        <v>632.79999999999995</v>
      </c>
      <c r="HK16" s="450">
        <f t="shared" si="58"/>
        <v>2367.1999999999998</v>
      </c>
    </row>
    <row r="17" spans="1:219" ht="15" customHeight="1" x14ac:dyDescent="0.3">
      <c r="A17" s="295" t="s">
        <v>554</v>
      </c>
      <c r="B17" s="296" t="s">
        <v>563</v>
      </c>
      <c r="C17" s="297">
        <v>6178938</v>
      </c>
      <c r="D17" s="298">
        <f t="shared" si="3"/>
        <v>6568.2110939999993</v>
      </c>
      <c r="E17" s="297">
        <v>0</v>
      </c>
      <c r="F17" s="297">
        <f t="shared" si="4"/>
        <v>0</v>
      </c>
      <c r="J17" s="299" t="s">
        <v>554</v>
      </c>
      <c r="K17" s="300" t="s">
        <v>564</v>
      </c>
      <c r="L17" s="301">
        <v>1564830</v>
      </c>
      <c r="M17" s="301">
        <f t="shared" si="5"/>
        <v>1663.4142899999999</v>
      </c>
      <c r="Q17" s="299" t="s">
        <v>554</v>
      </c>
      <c r="R17" s="300" t="s">
        <v>563</v>
      </c>
      <c r="S17" s="301">
        <v>6178938</v>
      </c>
      <c r="T17" s="301">
        <v>189150</v>
      </c>
      <c r="U17" s="301">
        <f t="shared" si="6"/>
        <v>6568.2110939999993</v>
      </c>
      <c r="V17" s="301">
        <f t="shared" si="7"/>
        <v>201.06645</v>
      </c>
      <c r="Z17" s="296" t="s">
        <v>563</v>
      </c>
      <c r="AA17" s="297">
        <v>365690</v>
      </c>
      <c r="AB17" s="297">
        <f t="shared" si="8"/>
        <v>388.72846999999996</v>
      </c>
      <c r="AF17" s="296" t="s">
        <v>563</v>
      </c>
      <c r="AG17" s="297">
        <v>6178938</v>
      </c>
      <c r="AH17" s="297">
        <f t="shared" si="0"/>
        <v>6568.2110939999993</v>
      </c>
      <c r="AI17" s="297">
        <v>554840</v>
      </c>
      <c r="AL17" s="450"/>
      <c r="AN17" s="447" t="s">
        <v>554</v>
      </c>
      <c r="AO17" s="448" t="s">
        <v>563</v>
      </c>
      <c r="AP17" s="449">
        <v>0</v>
      </c>
      <c r="AQ17" s="449">
        <f t="shared" si="9"/>
        <v>0</v>
      </c>
      <c r="AU17" s="447" t="s">
        <v>554</v>
      </c>
      <c r="AV17" s="448" t="s">
        <v>563</v>
      </c>
      <c r="AW17" s="449">
        <v>6178938</v>
      </c>
      <c r="AX17" s="449">
        <v>554840</v>
      </c>
      <c r="AY17" s="449">
        <v>5624098</v>
      </c>
      <c r="AZ17" s="450">
        <f t="shared" si="10"/>
        <v>6568.2110939999993</v>
      </c>
      <c r="BA17" s="450">
        <f t="shared" si="11"/>
        <v>589.79492000000005</v>
      </c>
      <c r="BB17" s="450">
        <f t="shared" si="12"/>
        <v>5978.416174</v>
      </c>
      <c r="BF17" s="447" t="s">
        <v>554</v>
      </c>
      <c r="BG17" s="448" t="s">
        <v>564</v>
      </c>
      <c r="BH17" s="449">
        <v>1480098</v>
      </c>
      <c r="BI17" s="450">
        <f t="shared" si="13"/>
        <v>1480.098</v>
      </c>
      <c r="BM17" s="451" t="s">
        <v>554</v>
      </c>
      <c r="BN17" s="94" t="s">
        <v>563</v>
      </c>
      <c r="BO17" s="95">
        <v>0</v>
      </c>
      <c r="BP17" s="95">
        <v>6178938</v>
      </c>
      <c r="BQ17" s="95">
        <v>706160</v>
      </c>
      <c r="BR17" s="95">
        <v>5472778</v>
      </c>
      <c r="BS17" s="95">
        <v>706160</v>
      </c>
      <c r="BT17" s="450">
        <f t="shared" si="14"/>
        <v>6178.9380000000001</v>
      </c>
      <c r="BU17" s="450">
        <f t="shared" si="15"/>
        <v>706.16</v>
      </c>
      <c r="BV17" s="450">
        <f t="shared" si="16"/>
        <v>5472.7780000000002</v>
      </c>
      <c r="BW17" s="450">
        <f t="shared" si="17"/>
        <v>706.16</v>
      </c>
      <c r="CA17" s="94" t="s">
        <v>563</v>
      </c>
      <c r="CB17" s="450">
        <v>151320</v>
      </c>
      <c r="CC17" s="450">
        <f t="shared" si="18"/>
        <v>151.32</v>
      </c>
      <c r="CG17" s="448" t="s">
        <v>563</v>
      </c>
      <c r="CH17" s="449">
        <v>0</v>
      </c>
      <c r="CI17" s="449">
        <v>6178938</v>
      </c>
      <c r="CJ17" s="449">
        <v>-6178938</v>
      </c>
      <c r="CK17" s="449">
        <v>857480</v>
      </c>
      <c r="CL17" s="449">
        <v>5321458</v>
      </c>
      <c r="CM17" s="449">
        <v>857480</v>
      </c>
      <c r="CN17" s="449">
        <f t="shared" si="19"/>
        <v>6178.9380000000001</v>
      </c>
      <c r="CO17" s="449">
        <f t="shared" si="20"/>
        <v>857.48</v>
      </c>
      <c r="CP17" s="449">
        <f t="shared" si="21"/>
        <v>5321.4579999999996</v>
      </c>
      <c r="CQ17" s="449">
        <f t="shared" si="22"/>
        <v>857.48</v>
      </c>
      <c r="CU17" s="448" t="s">
        <v>563</v>
      </c>
      <c r="CV17" s="449">
        <v>151320</v>
      </c>
      <c r="CW17" s="449">
        <v>151320</v>
      </c>
      <c r="CX17" s="450">
        <f t="shared" si="23"/>
        <v>151.32</v>
      </c>
      <c r="CY17" s="450">
        <f t="shared" si="24"/>
        <v>151.32</v>
      </c>
      <c r="DB17" s="602" t="s">
        <v>563</v>
      </c>
      <c r="DC17" s="603">
        <v>6178938</v>
      </c>
      <c r="DD17" s="603">
        <v>1008800</v>
      </c>
      <c r="DE17" s="603">
        <v>5170138</v>
      </c>
      <c r="DF17" s="603">
        <v>1008800</v>
      </c>
      <c r="DG17" s="604">
        <f t="shared" si="25"/>
        <v>6178.9380000000001</v>
      </c>
      <c r="DH17" s="604">
        <f t="shared" si="26"/>
        <v>1008.8</v>
      </c>
      <c r="DI17" s="604">
        <f t="shared" si="27"/>
        <v>5170.1379999999999</v>
      </c>
      <c r="DJ17" s="604">
        <f t="shared" si="28"/>
        <v>1008.8</v>
      </c>
      <c r="DN17" s="94" t="s">
        <v>564</v>
      </c>
      <c r="DO17" s="94">
        <v>1580176</v>
      </c>
      <c r="DP17" s="94">
        <v>1580176</v>
      </c>
      <c r="DQ17" s="666">
        <f t="shared" si="29"/>
        <v>1580.1759999999999</v>
      </c>
      <c r="DR17" s="666">
        <f t="shared" si="30"/>
        <v>1580.1759999999999</v>
      </c>
      <c r="DV17" s="94" t="s">
        <v>563</v>
      </c>
      <c r="DW17" s="95">
        <v>6178938</v>
      </c>
      <c r="DX17" s="95">
        <v>1147510</v>
      </c>
      <c r="DY17" s="95">
        <v>5031428</v>
      </c>
      <c r="DZ17" s="95">
        <v>1147510</v>
      </c>
      <c r="EA17" s="95">
        <f t="shared" si="31"/>
        <v>6178.9380000000001</v>
      </c>
      <c r="EB17" s="95">
        <f t="shared" si="32"/>
        <v>1147.51</v>
      </c>
      <c r="EC17" s="95">
        <f t="shared" si="33"/>
        <v>5031.4279999999999</v>
      </c>
      <c r="ED17" s="95">
        <f t="shared" si="34"/>
        <v>1147.51</v>
      </c>
      <c r="EH17" s="444" t="s">
        <v>564</v>
      </c>
      <c r="EI17" s="444">
        <v>1895612</v>
      </c>
      <c r="EJ17" s="450">
        <f t="shared" si="35"/>
        <v>1895.6120000000001</v>
      </c>
      <c r="EN17" s="444" t="s">
        <v>563</v>
      </c>
      <c r="EO17" s="450">
        <v>6178938</v>
      </c>
      <c r="EP17" s="450">
        <v>1147510</v>
      </c>
      <c r="EQ17" s="450">
        <v>5031428</v>
      </c>
      <c r="ER17" s="450">
        <v>1147510</v>
      </c>
      <c r="ES17" s="746">
        <f t="shared" si="36"/>
        <v>6178.9380000000001</v>
      </c>
      <c r="ET17" s="746">
        <f t="shared" si="37"/>
        <v>1147.51</v>
      </c>
      <c r="EU17" s="746">
        <f t="shared" si="38"/>
        <v>5031.4279999999999</v>
      </c>
      <c r="EV17" s="746">
        <f t="shared" si="39"/>
        <v>1147.51</v>
      </c>
      <c r="EZ17" s="780" t="s">
        <v>554</v>
      </c>
      <c r="FA17" s="781" t="s">
        <v>564</v>
      </c>
      <c r="FB17" s="444">
        <v>1537088</v>
      </c>
      <c r="FC17" s="450">
        <f t="shared" si="40"/>
        <v>1537.088</v>
      </c>
      <c r="FG17" s="785" t="s">
        <v>554</v>
      </c>
      <c r="FH17" s="784" t="s">
        <v>563</v>
      </c>
      <c r="FI17" s="782">
        <v>6178938</v>
      </c>
      <c r="FJ17" s="783">
        <v>1147510</v>
      </c>
      <c r="FK17" s="783">
        <v>5031428</v>
      </c>
      <c r="FL17" s="783">
        <v>1147510</v>
      </c>
      <c r="FM17" s="450">
        <f t="shared" si="41"/>
        <v>6178.9380000000001</v>
      </c>
      <c r="FN17" s="450">
        <f t="shared" si="42"/>
        <v>1147.51</v>
      </c>
      <c r="FO17" s="450">
        <f t="shared" si="43"/>
        <v>5031.4279999999999</v>
      </c>
      <c r="FP17" s="450">
        <f t="shared" si="44"/>
        <v>1147.51</v>
      </c>
      <c r="FT17" s="451" t="s">
        <v>554</v>
      </c>
      <c r="FU17" s="94" t="s">
        <v>563</v>
      </c>
      <c r="FV17" s="95">
        <v>0</v>
      </c>
      <c r="FW17" s="95">
        <v>428740</v>
      </c>
      <c r="FX17" s="95">
        <v>428740</v>
      </c>
      <c r="FY17" s="450">
        <f t="shared" si="45"/>
        <v>0</v>
      </c>
      <c r="FZ17" s="450">
        <f t="shared" si="46"/>
        <v>428.74</v>
      </c>
      <c r="GA17" s="450">
        <f t="shared" si="47"/>
        <v>428.74</v>
      </c>
      <c r="GG17" s="817" t="s">
        <v>554</v>
      </c>
      <c r="GH17" s="818" t="s">
        <v>563</v>
      </c>
      <c r="GI17" s="819">
        <v>6178938</v>
      </c>
      <c r="GJ17" s="819">
        <v>1576250</v>
      </c>
      <c r="GK17" s="819">
        <v>4602688</v>
      </c>
      <c r="GL17" s="819">
        <v>1576250</v>
      </c>
      <c r="GM17" s="819">
        <v>0</v>
      </c>
      <c r="GN17" s="450">
        <f t="shared" si="48"/>
        <v>6178.9380000000001</v>
      </c>
      <c r="GO17" s="450">
        <f t="shared" si="49"/>
        <v>1576.25</v>
      </c>
      <c r="GP17" s="450">
        <f t="shared" si="50"/>
        <v>4602.6880000000001</v>
      </c>
      <c r="GQ17" s="450">
        <f t="shared" si="51"/>
        <v>1576.25</v>
      </c>
      <c r="GR17" s="450">
        <f t="shared" si="52"/>
        <v>0</v>
      </c>
      <c r="GV17" s="841" t="s">
        <v>358</v>
      </c>
      <c r="GW17" s="840">
        <v>2117020</v>
      </c>
      <c r="GX17" s="450">
        <f t="shared" si="53"/>
        <v>2117.02</v>
      </c>
      <c r="HB17" s="843" t="s">
        <v>358</v>
      </c>
      <c r="HC17" s="819">
        <v>27224450</v>
      </c>
      <c r="HD17" s="819">
        <v>21735238</v>
      </c>
      <c r="HE17" s="819">
        <v>5489212</v>
      </c>
      <c r="HF17" s="819">
        <v>21735238</v>
      </c>
      <c r="HG17" s="450">
        <f t="shared" si="54"/>
        <v>27224.45</v>
      </c>
      <c r="HH17" s="450">
        <f t="shared" si="55"/>
        <v>5489.2120000000004</v>
      </c>
      <c r="HI17" s="450">
        <f t="shared" si="56"/>
        <v>21735.238000000001</v>
      </c>
      <c r="HJ17" s="450">
        <f t="shared" si="57"/>
        <v>5489.2120000000004</v>
      </c>
      <c r="HK17" s="450">
        <f t="shared" si="58"/>
        <v>21735.238000000001</v>
      </c>
    </row>
    <row r="18" spans="1:219" ht="15" customHeight="1" x14ac:dyDescent="0.3">
      <c r="A18" s="295" t="s">
        <v>554</v>
      </c>
      <c r="B18" s="296" t="s">
        <v>564</v>
      </c>
      <c r="C18" s="297">
        <v>21045512</v>
      </c>
      <c r="D18" s="298">
        <f t="shared" si="3"/>
        <v>22371.379255999997</v>
      </c>
      <c r="E18" s="297">
        <v>1553401</v>
      </c>
      <c r="F18" s="297">
        <f t="shared" si="4"/>
        <v>1651.265263</v>
      </c>
      <c r="J18" s="299" t="s">
        <v>553</v>
      </c>
      <c r="K18" s="300" t="s">
        <v>360</v>
      </c>
      <c r="L18" s="301">
        <v>11687581</v>
      </c>
      <c r="M18" s="301">
        <f t="shared" si="5"/>
        <v>12423.898603</v>
      </c>
      <c r="Q18" s="299" t="s">
        <v>554</v>
      </c>
      <c r="R18" s="300" t="s">
        <v>564</v>
      </c>
      <c r="S18" s="301">
        <v>21045512</v>
      </c>
      <c r="T18" s="301">
        <v>3118231</v>
      </c>
      <c r="U18" s="301">
        <f t="shared" si="6"/>
        <v>22371.379255999997</v>
      </c>
      <c r="V18" s="301">
        <f t="shared" si="7"/>
        <v>3314.6795529999999</v>
      </c>
      <c r="Z18" s="296" t="s">
        <v>564</v>
      </c>
      <c r="AA18" s="297">
        <v>2012871</v>
      </c>
      <c r="AB18" s="297">
        <f t="shared" si="8"/>
        <v>2139.681873</v>
      </c>
      <c r="AF18" s="296" t="s">
        <v>564</v>
      </c>
      <c r="AG18" s="297">
        <v>21045512</v>
      </c>
      <c r="AH18" s="297">
        <f t="shared" si="0"/>
        <v>22371.379255999997</v>
      </c>
      <c r="AI18" s="297">
        <v>5131102</v>
      </c>
      <c r="AL18" s="450"/>
      <c r="AN18" s="447" t="s">
        <v>554</v>
      </c>
      <c r="AO18" s="448" t="s">
        <v>564</v>
      </c>
      <c r="AP18" s="449">
        <v>1464965</v>
      </c>
      <c r="AQ18" s="449">
        <f t="shared" si="9"/>
        <v>1557.2577949999998</v>
      </c>
      <c r="AU18" s="447" t="s">
        <v>554</v>
      </c>
      <c r="AV18" s="448" t="s">
        <v>564</v>
      </c>
      <c r="AW18" s="449">
        <v>21045512</v>
      </c>
      <c r="AX18" s="449">
        <v>6596067</v>
      </c>
      <c r="AY18" s="449">
        <v>14449445</v>
      </c>
      <c r="AZ18" s="450">
        <f t="shared" si="10"/>
        <v>22371.379255999997</v>
      </c>
      <c r="BA18" s="450">
        <f t="shared" si="11"/>
        <v>7011.6192209999999</v>
      </c>
      <c r="BB18" s="450">
        <f t="shared" si="12"/>
        <v>15359.760034999999</v>
      </c>
      <c r="BF18" s="447" t="s">
        <v>553</v>
      </c>
      <c r="BG18" s="448" t="s">
        <v>360</v>
      </c>
      <c r="BH18" s="449">
        <v>8474722</v>
      </c>
      <c r="BI18" s="450">
        <f t="shared" si="13"/>
        <v>8474.7219999999998</v>
      </c>
      <c r="BM18" s="451" t="s">
        <v>554</v>
      </c>
      <c r="BN18" s="94" t="s">
        <v>564</v>
      </c>
      <c r="BO18" s="95">
        <v>0</v>
      </c>
      <c r="BP18" s="95">
        <v>21045512</v>
      </c>
      <c r="BQ18" s="95">
        <v>8076165</v>
      </c>
      <c r="BR18" s="95">
        <v>12969347</v>
      </c>
      <c r="BS18" s="95">
        <v>8076165</v>
      </c>
      <c r="BT18" s="450">
        <f t="shared" si="14"/>
        <v>21045.511999999999</v>
      </c>
      <c r="BU18" s="450">
        <f t="shared" si="15"/>
        <v>8076.165</v>
      </c>
      <c r="BV18" s="450">
        <f t="shared" si="16"/>
        <v>12969.347</v>
      </c>
      <c r="BW18" s="450">
        <f t="shared" si="17"/>
        <v>8076.165</v>
      </c>
      <c r="CA18" s="94" t="s">
        <v>564</v>
      </c>
      <c r="CB18" s="450">
        <v>1841810</v>
      </c>
      <c r="CC18" s="450">
        <f t="shared" si="18"/>
        <v>1841.81</v>
      </c>
      <c r="CG18" s="448" t="s">
        <v>564</v>
      </c>
      <c r="CH18" s="449">
        <v>0</v>
      </c>
      <c r="CI18" s="449">
        <v>21045512</v>
      </c>
      <c r="CJ18" s="449">
        <v>-21045512</v>
      </c>
      <c r="CK18" s="449">
        <v>9917975</v>
      </c>
      <c r="CL18" s="449">
        <v>11127537</v>
      </c>
      <c r="CM18" s="449">
        <v>9917975</v>
      </c>
      <c r="CN18" s="449">
        <f t="shared" si="19"/>
        <v>21045.511999999999</v>
      </c>
      <c r="CO18" s="449">
        <f t="shared" si="20"/>
        <v>9917.9750000000004</v>
      </c>
      <c r="CP18" s="449">
        <f t="shared" si="21"/>
        <v>11127.537</v>
      </c>
      <c r="CQ18" s="449">
        <f t="shared" si="22"/>
        <v>9917.9750000000004</v>
      </c>
      <c r="CU18" s="448" t="s">
        <v>564</v>
      </c>
      <c r="CV18" s="449">
        <v>1566089</v>
      </c>
      <c r="CW18" s="449">
        <v>1566089</v>
      </c>
      <c r="CX18" s="450">
        <f t="shared" si="23"/>
        <v>1566.0889999999999</v>
      </c>
      <c r="CY18" s="450">
        <f t="shared" si="24"/>
        <v>1566.0889999999999</v>
      </c>
      <c r="DB18" s="602" t="s">
        <v>564</v>
      </c>
      <c r="DC18" s="603">
        <v>21045512</v>
      </c>
      <c r="DD18" s="603">
        <v>11484064</v>
      </c>
      <c r="DE18" s="603">
        <v>9561448</v>
      </c>
      <c r="DF18" s="603">
        <v>11484064</v>
      </c>
      <c r="DG18" s="604">
        <f t="shared" si="25"/>
        <v>21045.511999999999</v>
      </c>
      <c r="DH18" s="604">
        <f t="shared" si="26"/>
        <v>11484.064</v>
      </c>
      <c r="DI18" s="604">
        <f t="shared" si="27"/>
        <v>9561.4480000000003</v>
      </c>
      <c r="DJ18" s="604">
        <f t="shared" si="28"/>
        <v>11484.064</v>
      </c>
      <c r="DN18" s="94" t="s">
        <v>360</v>
      </c>
      <c r="DO18" s="94">
        <v>11234869</v>
      </c>
      <c r="DP18" s="94">
        <v>11234869</v>
      </c>
      <c r="DQ18" s="666">
        <f t="shared" si="29"/>
        <v>11234.869000000001</v>
      </c>
      <c r="DR18" s="666">
        <f t="shared" si="30"/>
        <v>11234.869000000001</v>
      </c>
      <c r="DV18" s="94" t="s">
        <v>564</v>
      </c>
      <c r="DW18" s="95">
        <v>21045512</v>
      </c>
      <c r="DX18" s="95">
        <v>13064240</v>
      </c>
      <c r="DY18" s="95">
        <v>7981272</v>
      </c>
      <c r="DZ18" s="95">
        <v>13064240</v>
      </c>
      <c r="EA18" s="95">
        <f t="shared" si="31"/>
        <v>21045.511999999999</v>
      </c>
      <c r="EB18" s="95">
        <f t="shared" si="32"/>
        <v>13064.24</v>
      </c>
      <c r="EC18" s="95">
        <f t="shared" si="33"/>
        <v>7981.2719999999999</v>
      </c>
      <c r="ED18" s="95">
        <f t="shared" si="34"/>
        <v>13064.24</v>
      </c>
      <c r="EH18" s="444" t="s">
        <v>565</v>
      </c>
      <c r="EI18" s="444">
        <v>13787394</v>
      </c>
      <c r="EJ18" s="450">
        <f t="shared" si="35"/>
        <v>13787.394</v>
      </c>
      <c r="EN18" s="444" t="s">
        <v>564</v>
      </c>
      <c r="EO18" s="450">
        <v>21045512</v>
      </c>
      <c r="EP18" s="450">
        <v>14959852</v>
      </c>
      <c r="EQ18" s="450">
        <v>6085660</v>
      </c>
      <c r="ER18" s="450">
        <v>14959852</v>
      </c>
      <c r="ES18" s="746">
        <f t="shared" si="36"/>
        <v>21045.511999999999</v>
      </c>
      <c r="ET18" s="746">
        <f t="shared" si="37"/>
        <v>14959.852000000001</v>
      </c>
      <c r="EU18" s="746">
        <f t="shared" si="38"/>
        <v>6085.66</v>
      </c>
      <c r="EV18" s="746">
        <f t="shared" si="39"/>
        <v>14959.852000000001</v>
      </c>
      <c r="EZ18" s="780" t="s">
        <v>553</v>
      </c>
      <c r="FA18" s="781" t="s">
        <v>565</v>
      </c>
      <c r="FB18" s="444">
        <v>0</v>
      </c>
      <c r="FC18" s="450">
        <f t="shared" si="40"/>
        <v>0</v>
      </c>
      <c r="FG18" s="785" t="s">
        <v>554</v>
      </c>
      <c r="FH18" s="784" t="s">
        <v>564</v>
      </c>
      <c r="FI18" s="782">
        <v>21045512</v>
      </c>
      <c r="FJ18" s="783">
        <v>16496940</v>
      </c>
      <c r="FK18" s="783">
        <v>4548572</v>
      </c>
      <c r="FL18" s="783">
        <v>16496940</v>
      </c>
      <c r="FM18" s="450">
        <f t="shared" si="41"/>
        <v>21045.511999999999</v>
      </c>
      <c r="FN18" s="450">
        <f t="shared" si="42"/>
        <v>16496.939999999999</v>
      </c>
      <c r="FO18" s="450">
        <f t="shared" si="43"/>
        <v>4548.5720000000001</v>
      </c>
      <c r="FP18" s="450">
        <f t="shared" si="44"/>
        <v>16496.939999999999</v>
      </c>
      <c r="FT18" s="451" t="s">
        <v>554</v>
      </c>
      <c r="FU18" s="94" t="s">
        <v>564</v>
      </c>
      <c r="FV18" s="95">
        <v>0</v>
      </c>
      <c r="FW18" s="95">
        <v>1545028</v>
      </c>
      <c r="FX18" s="95">
        <v>1545028</v>
      </c>
      <c r="FY18" s="450">
        <f t="shared" si="45"/>
        <v>0</v>
      </c>
      <c r="FZ18" s="450">
        <f t="shared" si="46"/>
        <v>1545.028</v>
      </c>
      <c r="GA18" s="450">
        <f t="shared" si="47"/>
        <v>1545.028</v>
      </c>
      <c r="GG18" s="817" t="s">
        <v>554</v>
      </c>
      <c r="GH18" s="818" t="s">
        <v>564</v>
      </c>
      <c r="GI18" s="819">
        <v>21045512</v>
      </c>
      <c r="GJ18" s="819">
        <v>18041968</v>
      </c>
      <c r="GK18" s="819">
        <v>3003544</v>
      </c>
      <c r="GL18" s="819">
        <v>18041968</v>
      </c>
      <c r="GM18" s="819">
        <v>0</v>
      </c>
      <c r="GN18" s="450">
        <f t="shared" si="48"/>
        <v>21045.511999999999</v>
      </c>
      <c r="GO18" s="450">
        <f t="shared" si="49"/>
        <v>18041.968000000001</v>
      </c>
      <c r="GP18" s="450">
        <f t="shared" si="50"/>
        <v>3003.5439999999999</v>
      </c>
      <c r="GQ18" s="450">
        <f t="shared" si="51"/>
        <v>18041.968000000001</v>
      </c>
      <c r="GR18" s="450">
        <f t="shared" si="52"/>
        <v>0</v>
      </c>
      <c r="GV18" s="841" t="s">
        <v>563</v>
      </c>
      <c r="GW18" s="840">
        <v>302640</v>
      </c>
      <c r="GX18" s="450">
        <f t="shared" si="53"/>
        <v>302.64</v>
      </c>
      <c r="HB18" s="843" t="s">
        <v>563</v>
      </c>
      <c r="HC18" s="819">
        <v>6178938</v>
      </c>
      <c r="HD18" s="819">
        <v>1878890</v>
      </c>
      <c r="HE18" s="819">
        <v>4300048</v>
      </c>
      <c r="HF18" s="819">
        <v>1878890</v>
      </c>
      <c r="HG18" s="450">
        <f t="shared" si="54"/>
        <v>6178.9380000000001</v>
      </c>
      <c r="HH18" s="450">
        <f t="shared" si="55"/>
        <v>4300.0479999999998</v>
      </c>
      <c r="HI18" s="450">
        <f t="shared" si="56"/>
        <v>1878.89</v>
      </c>
      <c r="HJ18" s="450">
        <f t="shared" si="57"/>
        <v>4300.0479999999998</v>
      </c>
      <c r="HK18" s="450">
        <f t="shared" si="58"/>
        <v>1878.89</v>
      </c>
    </row>
    <row r="19" spans="1:219" ht="15" customHeight="1" x14ac:dyDescent="0.3">
      <c r="A19" s="295" t="s">
        <v>553</v>
      </c>
      <c r="B19" s="296" t="s">
        <v>565</v>
      </c>
      <c r="C19" s="297">
        <v>64131355</v>
      </c>
      <c r="D19" s="298">
        <f t="shared" si="3"/>
        <v>68171.630365000005</v>
      </c>
      <c r="E19" s="297">
        <v>0</v>
      </c>
      <c r="F19" s="297">
        <f t="shared" si="4"/>
        <v>0</v>
      </c>
      <c r="J19" s="299" t="s">
        <v>554</v>
      </c>
      <c r="K19" s="300" t="s">
        <v>567</v>
      </c>
      <c r="L19" s="301">
        <v>11357374</v>
      </c>
      <c r="M19" s="301">
        <f t="shared" si="5"/>
        <v>12072.888561999998</v>
      </c>
      <c r="Q19" s="299" t="s">
        <v>553</v>
      </c>
      <c r="R19" s="300" t="s">
        <v>565</v>
      </c>
      <c r="S19" s="301">
        <v>64131355</v>
      </c>
      <c r="T19" s="301">
        <v>0</v>
      </c>
      <c r="U19" s="301">
        <f t="shared" si="6"/>
        <v>68171.630365000005</v>
      </c>
      <c r="V19" s="301">
        <f t="shared" si="7"/>
        <v>0</v>
      </c>
      <c r="Z19" s="296" t="s">
        <v>565</v>
      </c>
      <c r="AA19" s="297">
        <v>14417982</v>
      </c>
      <c r="AB19" s="297">
        <f t="shared" si="8"/>
        <v>15326.314865999999</v>
      </c>
      <c r="AF19" s="296" t="s">
        <v>565</v>
      </c>
      <c r="AG19" s="297">
        <v>64131355</v>
      </c>
      <c r="AH19" s="297">
        <f t="shared" si="0"/>
        <v>68171.630365000005</v>
      </c>
      <c r="AI19" s="297">
        <v>14417982</v>
      </c>
      <c r="AL19" s="450"/>
      <c r="AN19" s="447" t="s">
        <v>553</v>
      </c>
      <c r="AO19" s="448" t="s">
        <v>565</v>
      </c>
      <c r="AP19" s="449">
        <v>0</v>
      </c>
      <c r="AQ19" s="449">
        <f t="shared" si="9"/>
        <v>0</v>
      </c>
      <c r="AU19" s="447" t="s">
        <v>553</v>
      </c>
      <c r="AV19" s="448" t="s">
        <v>565</v>
      </c>
      <c r="AW19" s="449">
        <v>64131355</v>
      </c>
      <c r="AX19" s="449">
        <v>14417982</v>
      </c>
      <c r="AY19" s="449">
        <v>49713373</v>
      </c>
      <c r="AZ19" s="450">
        <f t="shared" si="10"/>
        <v>68171.630365000005</v>
      </c>
      <c r="BA19" s="450">
        <f t="shared" si="11"/>
        <v>15326.314865999999</v>
      </c>
      <c r="BB19" s="450">
        <f t="shared" si="12"/>
        <v>52845.315498999997</v>
      </c>
      <c r="BF19" s="447" t="s">
        <v>554</v>
      </c>
      <c r="BG19" s="448" t="s">
        <v>567</v>
      </c>
      <c r="BH19" s="449">
        <v>7531274</v>
      </c>
      <c r="BI19" s="450">
        <f t="shared" si="13"/>
        <v>7531.2740000000003</v>
      </c>
      <c r="BM19" s="451" t="s">
        <v>553</v>
      </c>
      <c r="BN19" s="94" t="s">
        <v>565</v>
      </c>
      <c r="BO19" s="95">
        <v>0</v>
      </c>
      <c r="BP19" s="95">
        <v>64131355</v>
      </c>
      <c r="BQ19" s="95">
        <v>14417982</v>
      </c>
      <c r="BR19" s="95">
        <v>49713373</v>
      </c>
      <c r="BS19" s="95">
        <v>14417982</v>
      </c>
      <c r="BT19" s="450">
        <f t="shared" si="14"/>
        <v>64131.355000000003</v>
      </c>
      <c r="BU19" s="450">
        <f t="shared" si="15"/>
        <v>14417.982</v>
      </c>
      <c r="BV19" s="450">
        <f t="shared" si="16"/>
        <v>49713.373</v>
      </c>
      <c r="BW19" s="450">
        <f t="shared" si="17"/>
        <v>14417.982</v>
      </c>
      <c r="CA19" s="94" t="s">
        <v>565</v>
      </c>
      <c r="CB19" s="450">
        <v>13856188</v>
      </c>
      <c r="CC19" s="450">
        <f t="shared" si="18"/>
        <v>13856.188</v>
      </c>
      <c r="CG19" s="448" t="s">
        <v>565</v>
      </c>
      <c r="CH19" s="449">
        <v>0</v>
      </c>
      <c r="CI19" s="449">
        <v>64131355</v>
      </c>
      <c r="CJ19" s="449">
        <v>-64131355</v>
      </c>
      <c r="CK19" s="449">
        <v>28274170</v>
      </c>
      <c r="CL19" s="449">
        <v>35857185</v>
      </c>
      <c r="CM19" s="449">
        <v>28274170</v>
      </c>
      <c r="CN19" s="449">
        <f t="shared" si="19"/>
        <v>64131.355000000003</v>
      </c>
      <c r="CO19" s="449">
        <f t="shared" si="20"/>
        <v>28274.17</v>
      </c>
      <c r="CP19" s="449">
        <f t="shared" si="21"/>
        <v>35857.184999999998</v>
      </c>
      <c r="CQ19" s="449">
        <f t="shared" si="22"/>
        <v>28274.17</v>
      </c>
      <c r="CU19" s="448" t="s">
        <v>565</v>
      </c>
      <c r="CV19" s="449">
        <v>0</v>
      </c>
      <c r="CW19" s="449">
        <v>0</v>
      </c>
      <c r="CX19" s="450">
        <f t="shared" si="23"/>
        <v>0</v>
      </c>
      <c r="CY19" s="450">
        <f t="shared" si="24"/>
        <v>0</v>
      </c>
      <c r="DB19" s="602" t="s">
        <v>565</v>
      </c>
      <c r="DC19" s="603">
        <v>64131355</v>
      </c>
      <c r="DD19" s="603">
        <v>28274170</v>
      </c>
      <c r="DE19" s="603">
        <v>35857185</v>
      </c>
      <c r="DF19" s="603">
        <v>28274170</v>
      </c>
      <c r="DG19" s="604">
        <f t="shared" si="25"/>
        <v>64131.355000000003</v>
      </c>
      <c r="DH19" s="604">
        <f t="shared" si="26"/>
        <v>28274.17</v>
      </c>
      <c r="DI19" s="604">
        <f t="shared" si="27"/>
        <v>35857.184999999998</v>
      </c>
      <c r="DJ19" s="604">
        <f t="shared" si="28"/>
        <v>28274.17</v>
      </c>
      <c r="DN19" s="94" t="s">
        <v>567</v>
      </c>
      <c r="DO19" s="94">
        <v>10265228</v>
      </c>
      <c r="DP19" s="94">
        <v>10265228</v>
      </c>
      <c r="DQ19" s="666">
        <f t="shared" si="29"/>
        <v>10265.227999999999</v>
      </c>
      <c r="DR19" s="666">
        <f t="shared" si="30"/>
        <v>10265.227999999999</v>
      </c>
      <c r="DV19" s="94" t="s">
        <v>565</v>
      </c>
      <c r="DW19" s="95">
        <v>64131355</v>
      </c>
      <c r="DX19" s="95">
        <v>28274170</v>
      </c>
      <c r="DY19" s="95">
        <v>35857185</v>
      </c>
      <c r="DZ19" s="95">
        <v>28274170</v>
      </c>
      <c r="EA19" s="95">
        <f t="shared" si="31"/>
        <v>64131.355000000003</v>
      </c>
      <c r="EB19" s="95">
        <f t="shared" si="32"/>
        <v>28274.17</v>
      </c>
      <c r="EC19" s="95">
        <f t="shared" si="33"/>
        <v>35857.184999999998</v>
      </c>
      <c r="ED19" s="95">
        <f t="shared" si="34"/>
        <v>28274.17</v>
      </c>
      <c r="EH19" s="444" t="s">
        <v>566</v>
      </c>
      <c r="EI19" s="444">
        <v>7500729</v>
      </c>
      <c r="EJ19" s="450">
        <f t="shared" si="35"/>
        <v>7500.7290000000003</v>
      </c>
      <c r="EN19" s="444" t="s">
        <v>565</v>
      </c>
      <c r="EO19" s="450">
        <v>64131355</v>
      </c>
      <c r="EP19" s="450">
        <v>42061564</v>
      </c>
      <c r="EQ19" s="450">
        <v>22069791</v>
      </c>
      <c r="ER19" s="450">
        <v>42061564</v>
      </c>
      <c r="ES19" s="746">
        <f t="shared" si="36"/>
        <v>64131.355000000003</v>
      </c>
      <c r="ET19" s="746">
        <f t="shared" si="37"/>
        <v>42061.563999999998</v>
      </c>
      <c r="EU19" s="746">
        <f t="shared" si="38"/>
        <v>22069.791000000001</v>
      </c>
      <c r="EV19" s="746">
        <f t="shared" si="39"/>
        <v>42061.563999999998</v>
      </c>
      <c r="EZ19" s="780" t="s">
        <v>554</v>
      </c>
      <c r="FA19" s="781" t="s">
        <v>566</v>
      </c>
      <c r="FB19" s="444">
        <v>0</v>
      </c>
      <c r="FC19" s="450">
        <f t="shared" si="40"/>
        <v>0</v>
      </c>
      <c r="FG19" s="785" t="s">
        <v>553</v>
      </c>
      <c r="FH19" s="784" t="s">
        <v>565</v>
      </c>
      <c r="FI19" s="782">
        <v>64131355</v>
      </c>
      <c r="FJ19" s="783">
        <v>42061564</v>
      </c>
      <c r="FK19" s="783">
        <v>22069791</v>
      </c>
      <c r="FL19" s="783">
        <v>42061564</v>
      </c>
      <c r="FM19" s="450">
        <f t="shared" si="41"/>
        <v>64131.355000000003</v>
      </c>
      <c r="FN19" s="450">
        <f t="shared" si="42"/>
        <v>42061.563999999998</v>
      </c>
      <c r="FO19" s="450">
        <f t="shared" si="43"/>
        <v>22069.791000000001</v>
      </c>
      <c r="FP19" s="450">
        <f t="shared" si="44"/>
        <v>42061.563999999998</v>
      </c>
      <c r="FT19" s="451" t="s">
        <v>553</v>
      </c>
      <c r="FU19" s="94" t="s">
        <v>565</v>
      </c>
      <c r="FV19" s="95">
        <v>0</v>
      </c>
      <c r="FW19" s="95">
        <v>0</v>
      </c>
      <c r="FX19" s="95">
        <v>0</v>
      </c>
      <c r="FY19" s="450">
        <f t="shared" si="45"/>
        <v>0</v>
      </c>
      <c r="FZ19" s="450">
        <f t="shared" si="46"/>
        <v>0</v>
      </c>
      <c r="GA19" s="450">
        <f t="shared" si="47"/>
        <v>0</v>
      </c>
      <c r="GG19" s="817" t="s">
        <v>553</v>
      </c>
      <c r="GH19" s="818" t="s">
        <v>565</v>
      </c>
      <c r="GI19" s="819">
        <v>64131355</v>
      </c>
      <c r="GJ19" s="819">
        <v>42061564</v>
      </c>
      <c r="GK19" s="819">
        <v>22069791</v>
      </c>
      <c r="GL19" s="819">
        <v>42061564</v>
      </c>
      <c r="GM19" s="819">
        <v>0</v>
      </c>
      <c r="GN19" s="450">
        <f t="shared" si="48"/>
        <v>64131.355000000003</v>
      </c>
      <c r="GO19" s="450">
        <f t="shared" si="49"/>
        <v>42061.563999999998</v>
      </c>
      <c r="GP19" s="450">
        <f t="shared" si="50"/>
        <v>22069.791000000001</v>
      </c>
      <c r="GQ19" s="450">
        <f t="shared" si="51"/>
        <v>42061.563999999998</v>
      </c>
      <c r="GR19" s="450">
        <f t="shared" si="52"/>
        <v>0</v>
      </c>
      <c r="GV19" s="841" t="s">
        <v>564</v>
      </c>
      <c r="GW19" s="840">
        <v>1814380</v>
      </c>
      <c r="GX19" s="450">
        <f t="shared" si="53"/>
        <v>1814.38</v>
      </c>
      <c r="HB19" s="843" t="s">
        <v>564</v>
      </c>
      <c r="HC19" s="819">
        <v>21045512</v>
      </c>
      <c r="HD19" s="819">
        <v>19856348</v>
      </c>
      <c r="HE19" s="819">
        <v>1189164</v>
      </c>
      <c r="HF19" s="819">
        <v>19856348</v>
      </c>
      <c r="HG19" s="450">
        <f t="shared" si="54"/>
        <v>21045.511999999999</v>
      </c>
      <c r="HH19" s="450">
        <f t="shared" si="55"/>
        <v>1189.164</v>
      </c>
      <c r="HI19" s="450">
        <f t="shared" si="56"/>
        <v>19856.348000000002</v>
      </c>
      <c r="HJ19" s="450">
        <f t="shared" si="57"/>
        <v>1189.164</v>
      </c>
      <c r="HK19" s="450">
        <f t="shared" si="58"/>
        <v>19856.348000000002</v>
      </c>
    </row>
    <row r="20" spans="1:219" ht="15" customHeight="1" x14ac:dyDescent="0.3">
      <c r="A20" s="295" t="s">
        <v>554</v>
      </c>
      <c r="B20" s="296" t="s">
        <v>566</v>
      </c>
      <c r="C20" s="297">
        <v>31734180</v>
      </c>
      <c r="D20" s="298">
        <f t="shared" si="3"/>
        <v>33733.433339999996</v>
      </c>
      <c r="E20" s="297">
        <v>0</v>
      </c>
      <c r="F20" s="297">
        <f t="shared" si="4"/>
        <v>0</v>
      </c>
      <c r="J20" s="299" t="s">
        <v>554</v>
      </c>
      <c r="K20" s="300" t="s">
        <v>623</v>
      </c>
      <c r="L20" s="301">
        <v>330207</v>
      </c>
      <c r="M20" s="301">
        <f t="shared" si="5"/>
        <v>351.010041</v>
      </c>
      <c r="Q20" s="299" t="s">
        <v>554</v>
      </c>
      <c r="R20" s="300" t="s">
        <v>566</v>
      </c>
      <c r="S20" s="301">
        <v>31734180</v>
      </c>
      <c r="T20" s="301">
        <v>0</v>
      </c>
      <c r="U20" s="301">
        <f t="shared" si="6"/>
        <v>33733.433339999996</v>
      </c>
      <c r="V20" s="301">
        <f t="shared" si="7"/>
        <v>0</v>
      </c>
      <c r="Z20" s="296" t="s">
        <v>566</v>
      </c>
      <c r="AA20" s="297">
        <v>7278607</v>
      </c>
      <c r="AB20" s="297">
        <f t="shared" si="8"/>
        <v>7737.1592409999994</v>
      </c>
      <c r="AF20" s="296" t="s">
        <v>566</v>
      </c>
      <c r="AG20" s="297">
        <v>31734180</v>
      </c>
      <c r="AH20" s="297">
        <f t="shared" si="0"/>
        <v>33733.433339999996</v>
      </c>
      <c r="AI20" s="297">
        <v>7278607</v>
      </c>
      <c r="AL20" s="450"/>
      <c r="AN20" s="447" t="s">
        <v>554</v>
      </c>
      <c r="AO20" s="448" t="s">
        <v>566</v>
      </c>
      <c r="AP20" s="449">
        <v>0</v>
      </c>
      <c r="AQ20" s="449">
        <f t="shared" si="9"/>
        <v>0</v>
      </c>
      <c r="AU20" s="447" t="s">
        <v>554</v>
      </c>
      <c r="AV20" s="448" t="s">
        <v>566</v>
      </c>
      <c r="AW20" s="449">
        <v>31734180</v>
      </c>
      <c r="AX20" s="449">
        <v>7278607</v>
      </c>
      <c r="AY20" s="449">
        <v>24455573</v>
      </c>
      <c r="AZ20" s="450">
        <f t="shared" si="10"/>
        <v>33733.433339999996</v>
      </c>
      <c r="BA20" s="450">
        <f t="shared" si="11"/>
        <v>7737.1592409999994</v>
      </c>
      <c r="BB20" s="450">
        <f t="shared" si="12"/>
        <v>25996.274098999998</v>
      </c>
      <c r="BF20" s="447" t="s">
        <v>554</v>
      </c>
      <c r="BG20" s="448" t="s">
        <v>623</v>
      </c>
      <c r="BH20" s="449">
        <v>943448</v>
      </c>
      <c r="BI20" s="450">
        <f t="shared" si="13"/>
        <v>943.44799999999998</v>
      </c>
      <c r="BM20" s="451" t="s">
        <v>554</v>
      </c>
      <c r="BN20" s="94" t="s">
        <v>566</v>
      </c>
      <c r="BO20" s="95">
        <v>0</v>
      </c>
      <c r="BP20" s="95">
        <v>31734180</v>
      </c>
      <c r="BQ20" s="95">
        <v>7278607</v>
      </c>
      <c r="BR20" s="95">
        <v>24455573</v>
      </c>
      <c r="BS20" s="95">
        <v>7278607</v>
      </c>
      <c r="BT20" s="450">
        <f t="shared" si="14"/>
        <v>31734.18</v>
      </c>
      <c r="BU20" s="450">
        <f t="shared" si="15"/>
        <v>7278.607</v>
      </c>
      <c r="BV20" s="450">
        <f t="shared" si="16"/>
        <v>24455.573</v>
      </c>
      <c r="BW20" s="450">
        <f t="shared" si="17"/>
        <v>7278.607</v>
      </c>
      <c r="CA20" s="94" t="s">
        <v>566</v>
      </c>
      <c r="CB20" s="450">
        <v>7544641</v>
      </c>
      <c r="CC20" s="450">
        <f t="shared" si="18"/>
        <v>7544.6409999999996</v>
      </c>
      <c r="CG20" s="448" t="s">
        <v>566</v>
      </c>
      <c r="CH20" s="449">
        <v>0</v>
      </c>
      <c r="CI20" s="449">
        <v>31734180</v>
      </c>
      <c r="CJ20" s="449">
        <v>-31734180</v>
      </c>
      <c r="CK20" s="449">
        <v>14823248</v>
      </c>
      <c r="CL20" s="449">
        <v>16910932</v>
      </c>
      <c r="CM20" s="449">
        <v>14823248</v>
      </c>
      <c r="CN20" s="449">
        <f t="shared" si="19"/>
        <v>31734.18</v>
      </c>
      <c r="CO20" s="449">
        <f t="shared" si="20"/>
        <v>14823.248</v>
      </c>
      <c r="CP20" s="449">
        <f t="shared" si="21"/>
        <v>16910.932000000001</v>
      </c>
      <c r="CQ20" s="449">
        <f t="shared" si="22"/>
        <v>14823.248</v>
      </c>
      <c r="CU20" s="448" t="s">
        <v>566</v>
      </c>
      <c r="CV20" s="449">
        <v>0</v>
      </c>
      <c r="CW20" s="449">
        <v>0</v>
      </c>
      <c r="CX20" s="450">
        <f t="shared" si="23"/>
        <v>0</v>
      </c>
      <c r="CY20" s="450">
        <f t="shared" si="24"/>
        <v>0</v>
      </c>
      <c r="DB20" s="602" t="s">
        <v>566</v>
      </c>
      <c r="DC20" s="603">
        <v>31734180</v>
      </c>
      <c r="DD20" s="603">
        <v>14823248</v>
      </c>
      <c r="DE20" s="603">
        <v>16910932</v>
      </c>
      <c r="DF20" s="603">
        <v>14823248</v>
      </c>
      <c r="DG20" s="604">
        <f t="shared" si="25"/>
        <v>31734.18</v>
      </c>
      <c r="DH20" s="604">
        <f t="shared" si="26"/>
        <v>14823.248</v>
      </c>
      <c r="DI20" s="604">
        <f t="shared" si="27"/>
        <v>16910.932000000001</v>
      </c>
      <c r="DJ20" s="604">
        <f t="shared" si="28"/>
        <v>14823.248</v>
      </c>
      <c r="DN20" s="94" t="s">
        <v>623</v>
      </c>
      <c r="DO20" s="94">
        <v>969641</v>
      </c>
      <c r="DP20" s="94">
        <v>969641</v>
      </c>
      <c r="DQ20" s="666">
        <f t="shared" si="29"/>
        <v>969.64099999999996</v>
      </c>
      <c r="DR20" s="666">
        <f t="shared" si="30"/>
        <v>969.64099999999996</v>
      </c>
      <c r="DV20" s="94" t="s">
        <v>566</v>
      </c>
      <c r="DW20" s="95">
        <v>31734180</v>
      </c>
      <c r="DX20" s="95">
        <v>14823248</v>
      </c>
      <c r="DY20" s="95">
        <v>16910932</v>
      </c>
      <c r="DZ20" s="95">
        <v>14823248</v>
      </c>
      <c r="EA20" s="95">
        <f t="shared" si="31"/>
        <v>31734.18</v>
      </c>
      <c r="EB20" s="95">
        <f t="shared" si="32"/>
        <v>14823.248</v>
      </c>
      <c r="EC20" s="95">
        <f t="shared" si="33"/>
        <v>16910.932000000001</v>
      </c>
      <c r="ED20" s="95">
        <f t="shared" si="34"/>
        <v>14823.248</v>
      </c>
      <c r="EH20" s="444" t="s">
        <v>359</v>
      </c>
      <c r="EI20" s="444">
        <v>6286665</v>
      </c>
      <c r="EJ20" s="450">
        <f t="shared" si="35"/>
        <v>6286.665</v>
      </c>
      <c r="EN20" s="444" t="s">
        <v>566</v>
      </c>
      <c r="EO20" s="450">
        <v>31734180</v>
      </c>
      <c r="EP20" s="450">
        <v>22323977</v>
      </c>
      <c r="EQ20" s="450">
        <v>9410203</v>
      </c>
      <c r="ER20" s="450">
        <v>22323977</v>
      </c>
      <c r="ES20" s="746">
        <f t="shared" si="36"/>
        <v>31734.18</v>
      </c>
      <c r="ET20" s="746">
        <f t="shared" si="37"/>
        <v>22323.976999999999</v>
      </c>
      <c r="EU20" s="746">
        <f t="shared" si="38"/>
        <v>9410.2029999999995</v>
      </c>
      <c r="EV20" s="746">
        <f t="shared" si="39"/>
        <v>22323.976999999999</v>
      </c>
      <c r="EZ20" s="780" t="s">
        <v>554</v>
      </c>
      <c r="FA20" s="781" t="s">
        <v>359</v>
      </c>
      <c r="FB20" s="444">
        <v>0</v>
      </c>
      <c r="FC20" s="450">
        <f t="shared" si="40"/>
        <v>0</v>
      </c>
      <c r="FG20" s="785" t="s">
        <v>554</v>
      </c>
      <c r="FH20" s="784" t="s">
        <v>566</v>
      </c>
      <c r="FI20" s="782">
        <v>31734180</v>
      </c>
      <c r="FJ20" s="783">
        <v>22323977</v>
      </c>
      <c r="FK20" s="783">
        <v>9410203</v>
      </c>
      <c r="FL20" s="783">
        <v>22323977</v>
      </c>
      <c r="FM20" s="450">
        <f t="shared" si="41"/>
        <v>31734.18</v>
      </c>
      <c r="FN20" s="450">
        <f t="shared" si="42"/>
        <v>22323.976999999999</v>
      </c>
      <c r="FO20" s="450">
        <f t="shared" si="43"/>
        <v>9410.2029999999995</v>
      </c>
      <c r="FP20" s="450">
        <f t="shared" si="44"/>
        <v>22323.976999999999</v>
      </c>
      <c r="FT20" s="451" t="s">
        <v>554</v>
      </c>
      <c r="FU20" s="94" t="s">
        <v>566</v>
      </c>
      <c r="FV20" s="95">
        <v>0</v>
      </c>
      <c r="FW20" s="95">
        <v>0</v>
      </c>
      <c r="FX20" s="95">
        <v>0</v>
      </c>
      <c r="FY20" s="450">
        <f t="shared" si="45"/>
        <v>0</v>
      </c>
      <c r="FZ20" s="450">
        <f t="shared" si="46"/>
        <v>0</v>
      </c>
      <c r="GA20" s="450">
        <f t="shared" si="47"/>
        <v>0</v>
      </c>
      <c r="GG20" s="817" t="s">
        <v>554</v>
      </c>
      <c r="GH20" s="818" t="s">
        <v>566</v>
      </c>
      <c r="GI20" s="819">
        <v>31734180</v>
      </c>
      <c r="GJ20" s="819">
        <v>22323977</v>
      </c>
      <c r="GK20" s="819">
        <v>9410203</v>
      </c>
      <c r="GL20" s="819">
        <v>22323977</v>
      </c>
      <c r="GM20" s="819">
        <v>0</v>
      </c>
      <c r="GN20" s="450">
        <f t="shared" si="48"/>
        <v>31734.18</v>
      </c>
      <c r="GO20" s="450">
        <f t="shared" si="49"/>
        <v>22323.976999999999</v>
      </c>
      <c r="GP20" s="450">
        <f t="shared" si="50"/>
        <v>9410.2029999999995</v>
      </c>
      <c r="GQ20" s="450">
        <f t="shared" si="51"/>
        <v>22323.976999999999</v>
      </c>
      <c r="GR20" s="450">
        <f t="shared" si="52"/>
        <v>0</v>
      </c>
      <c r="GV20" s="841" t="s">
        <v>565</v>
      </c>
      <c r="GW20" s="840">
        <v>13839655</v>
      </c>
      <c r="GX20" s="450">
        <f t="shared" si="53"/>
        <v>13839.655000000001</v>
      </c>
      <c r="HB20" s="843" t="s">
        <v>565</v>
      </c>
      <c r="HC20" s="819">
        <v>64141355</v>
      </c>
      <c r="HD20" s="819">
        <v>55901219</v>
      </c>
      <c r="HE20" s="819">
        <v>8240136</v>
      </c>
      <c r="HF20" s="819">
        <v>55901219</v>
      </c>
      <c r="HG20" s="450">
        <f t="shared" si="54"/>
        <v>64141.355000000003</v>
      </c>
      <c r="HH20" s="450">
        <f t="shared" si="55"/>
        <v>8240.1360000000004</v>
      </c>
      <c r="HI20" s="450">
        <f t="shared" si="56"/>
        <v>55901.218999999997</v>
      </c>
      <c r="HJ20" s="450">
        <f t="shared" si="57"/>
        <v>8240.1360000000004</v>
      </c>
      <c r="HK20" s="450">
        <f t="shared" si="58"/>
        <v>55901.218999999997</v>
      </c>
    </row>
    <row r="21" spans="1:219" ht="15" customHeight="1" x14ac:dyDescent="0.3">
      <c r="A21" s="295" t="s">
        <v>554</v>
      </c>
      <c r="B21" s="296" t="s">
        <v>359</v>
      </c>
      <c r="C21" s="297">
        <v>32397175</v>
      </c>
      <c r="D21" s="298">
        <f t="shared" si="3"/>
        <v>34438.197024999994</v>
      </c>
      <c r="E21" s="297">
        <v>0</v>
      </c>
      <c r="F21" s="297">
        <f t="shared" si="4"/>
        <v>0</v>
      </c>
      <c r="J21" s="299" t="s">
        <v>355</v>
      </c>
      <c r="K21" s="300" t="s">
        <v>364</v>
      </c>
      <c r="L21" s="301">
        <v>896580880</v>
      </c>
      <c r="M21" s="301">
        <f t="shared" si="5"/>
        <v>953065.47543999995</v>
      </c>
      <c r="Q21" s="299" t="s">
        <v>554</v>
      </c>
      <c r="R21" s="300" t="s">
        <v>359</v>
      </c>
      <c r="S21" s="301">
        <v>32397175</v>
      </c>
      <c r="T21" s="301">
        <v>0</v>
      </c>
      <c r="U21" s="301">
        <f t="shared" si="6"/>
        <v>34438.197024999994</v>
      </c>
      <c r="V21" s="301">
        <f t="shared" si="7"/>
        <v>0</v>
      </c>
      <c r="Z21" s="296" t="s">
        <v>359</v>
      </c>
      <c r="AA21" s="297">
        <v>7139375</v>
      </c>
      <c r="AB21" s="297">
        <f t="shared" si="8"/>
        <v>7589.1556249999994</v>
      </c>
      <c r="AF21" s="296" t="s">
        <v>359</v>
      </c>
      <c r="AG21" s="297">
        <v>32397175</v>
      </c>
      <c r="AH21" s="297">
        <f t="shared" si="0"/>
        <v>34438.197024999994</v>
      </c>
      <c r="AI21" s="297">
        <v>7139375</v>
      </c>
      <c r="AL21" s="450"/>
      <c r="AN21" s="447" t="s">
        <v>554</v>
      </c>
      <c r="AO21" s="448" t="s">
        <v>359</v>
      </c>
      <c r="AP21" s="449">
        <v>0</v>
      </c>
      <c r="AQ21" s="449">
        <f t="shared" si="9"/>
        <v>0</v>
      </c>
      <c r="AU21" s="447" t="s">
        <v>554</v>
      </c>
      <c r="AV21" s="448" t="s">
        <v>359</v>
      </c>
      <c r="AW21" s="449">
        <v>32397175</v>
      </c>
      <c r="AX21" s="449">
        <v>7139375</v>
      </c>
      <c r="AY21" s="449">
        <v>25257800</v>
      </c>
      <c r="AZ21" s="450">
        <f t="shared" si="10"/>
        <v>34438.197024999994</v>
      </c>
      <c r="BA21" s="450">
        <f t="shared" si="11"/>
        <v>7589.1556249999994</v>
      </c>
      <c r="BB21" s="450">
        <f t="shared" si="12"/>
        <v>26849.041399999998</v>
      </c>
      <c r="BF21" s="447" t="s">
        <v>355</v>
      </c>
      <c r="BG21" s="448" t="s">
        <v>364</v>
      </c>
      <c r="BH21" s="449">
        <v>934236692</v>
      </c>
      <c r="BI21" s="450">
        <f t="shared" si="13"/>
        <v>934236.69200000004</v>
      </c>
      <c r="BM21" s="451" t="s">
        <v>554</v>
      </c>
      <c r="BN21" s="94" t="s">
        <v>359</v>
      </c>
      <c r="BO21" s="95">
        <v>0</v>
      </c>
      <c r="BP21" s="95">
        <v>32397175</v>
      </c>
      <c r="BQ21" s="95">
        <v>7139375</v>
      </c>
      <c r="BR21" s="95">
        <v>25257800</v>
      </c>
      <c r="BS21" s="95">
        <v>7139375</v>
      </c>
      <c r="BT21" s="450">
        <f t="shared" si="14"/>
        <v>32397.174999999999</v>
      </c>
      <c r="BU21" s="450">
        <f t="shared" si="15"/>
        <v>7139.375</v>
      </c>
      <c r="BV21" s="450">
        <f t="shared" si="16"/>
        <v>25257.8</v>
      </c>
      <c r="BW21" s="450">
        <f t="shared" si="17"/>
        <v>7139.375</v>
      </c>
      <c r="CA21" s="94" t="s">
        <v>359</v>
      </c>
      <c r="CB21" s="450">
        <v>6311547</v>
      </c>
      <c r="CC21" s="450">
        <f t="shared" si="18"/>
        <v>6311.5469999999996</v>
      </c>
      <c r="CG21" s="448" t="s">
        <v>359</v>
      </c>
      <c r="CH21" s="449">
        <v>0</v>
      </c>
      <c r="CI21" s="449">
        <v>32397175</v>
      </c>
      <c r="CJ21" s="449">
        <v>-32397175</v>
      </c>
      <c r="CK21" s="449">
        <v>13450922</v>
      </c>
      <c r="CL21" s="449">
        <v>18946253</v>
      </c>
      <c r="CM21" s="449">
        <v>13450922</v>
      </c>
      <c r="CN21" s="449">
        <f t="shared" si="19"/>
        <v>32397.174999999999</v>
      </c>
      <c r="CO21" s="449">
        <f t="shared" si="20"/>
        <v>13450.922</v>
      </c>
      <c r="CP21" s="449">
        <f t="shared" si="21"/>
        <v>18946.253000000001</v>
      </c>
      <c r="CQ21" s="449">
        <f t="shared" si="22"/>
        <v>13450.922</v>
      </c>
      <c r="CU21" s="448" t="s">
        <v>359</v>
      </c>
      <c r="CV21" s="449">
        <v>0</v>
      </c>
      <c r="CW21" s="449">
        <v>0</v>
      </c>
      <c r="CX21" s="450">
        <f t="shared" si="23"/>
        <v>0</v>
      </c>
      <c r="CY21" s="450">
        <f t="shared" si="24"/>
        <v>0</v>
      </c>
      <c r="DB21" s="602" t="s">
        <v>359</v>
      </c>
      <c r="DC21" s="603">
        <v>32397175</v>
      </c>
      <c r="DD21" s="603">
        <v>13450922</v>
      </c>
      <c r="DE21" s="603">
        <v>18946253</v>
      </c>
      <c r="DF21" s="603">
        <v>13450922</v>
      </c>
      <c r="DG21" s="604">
        <f t="shared" si="25"/>
        <v>32397.174999999999</v>
      </c>
      <c r="DH21" s="604">
        <f t="shared" si="26"/>
        <v>13450.922</v>
      </c>
      <c r="DI21" s="604">
        <f t="shared" si="27"/>
        <v>18946.253000000001</v>
      </c>
      <c r="DJ21" s="604">
        <f t="shared" si="28"/>
        <v>13450.922</v>
      </c>
      <c r="DN21" s="94" t="s">
        <v>364</v>
      </c>
      <c r="DO21" s="94">
        <v>935000631</v>
      </c>
      <c r="DP21" s="94">
        <v>935000631</v>
      </c>
      <c r="DQ21" s="666">
        <f t="shared" si="29"/>
        <v>935000.63100000005</v>
      </c>
      <c r="DR21" s="666">
        <f t="shared" si="30"/>
        <v>935000.63100000005</v>
      </c>
      <c r="DV21" s="94" t="s">
        <v>359</v>
      </c>
      <c r="DW21" s="95">
        <v>32397175</v>
      </c>
      <c r="DX21" s="95">
        <v>13450922</v>
      </c>
      <c r="DY21" s="95">
        <v>18946253</v>
      </c>
      <c r="DZ21" s="95">
        <v>13450922</v>
      </c>
      <c r="EA21" s="95">
        <f t="shared" si="31"/>
        <v>32397.174999999999</v>
      </c>
      <c r="EB21" s="95">
        <f t="shared" si="32"/>
        <v>13450.922</v>
      </c>
      <c r="EC21" s="95">
        <f t="shared" si="33"/>
        <v>18946.253000000001</v>
      </c>
      <c r="ED21" s="95">
        <f t="shared" si="34"/>
        <v>13450.922</v>
      </c>
      <c r="EH21" s="444" t="s">
        <v>360</v>
      </c>
      <c r="EI21" s="444">
        <v>10784123</v>
      </c>
      <c r="EJ21" s="450">
        <f t="shared" si="35"/>
        <v>10784.123</v>
      </c>
      <c r="EN21" s="444" t="s">
        <v>359</v>
      </c>
      <c r="EO21" s="450">
        <v>32397175</v>
      </c>
      <c r="EP21" s="450">
        <v>19737587</v>
      </c>
      <c r="EQ21" s="450">
        <v>12659588</v>
      </c>
      <c r="ER21" s="450">
        <v>19737587</v>
      </c>
      <c r="ES21" s="746">
        <f t="shared" si="36"/>
        <v>32397.174999999999</v>
      </c>
      <c r="ET21" s="746">
        <f t="shared" si="37"/>
        <v>19737.587</v>
      </c>
      <c r="EU21" s="746">
        <f t="shared" si="38"/>
        <v>12659.588</v>
      </c>
      <c r="EV21" s="746">
        <f t="shared" si="39"/>
        <v>19737.587</v>
      </c>
      <c r="EZ21" s="780" t="s">
        <v>553</v>
      </c>
      <c r="FA21" s="781" t="s">
        <v>360</v>
      </c>
      <c r="FB21" s="444">
        <v>10972813</v>
      </c>
      <c r="FC21" s="450">
        <f t="shared" si="40"/>
        <v>10972.813</v>
      </c>
      <c r="FG21" s="785" t="s">
        <v>554</v>
      </c>
      <c r="FH21" s="784" t="s">
        <v>359</v>
      </c>
      <c r="FI21" s="782">
        <v>32397175</v>
      </c>
      <c r="FJ21" s="783">
        <v>19737587</v>
      </c>
      <c r="FK21" s="783">
        <v>12659588</v>
      </c>
      <c r="FL21" s="783">
        <v>19737587</v>
      </c>
      <c r="FM21" s="450">
        <f t="shared" si="41"/>
        <v>32397.174999999999</v>
      </c>
      <c r="FN21" s="450">
        <f t="shared" si="42"/>
        <v>19737.587</v>
      </c>
      <c r="FO21" s="450">
        <f t="shared" si="43"/>
        <v>12659.588</v>
      </c>
      <c r="FP21" s="450">
        <f t="shared" si="44"/>
        <v>19737.587</v>
      </c>
      <c r="FT21" s="451" t="s">
        <v>554</v>
      </c>
      <c r="FU21" s="94" t="s">
        <v>359</v>
      </c>
      <c r="FV21" s="95">
        <v>0</v>
      </c>
      <c r="FW21" s="95">
        <v>0</v>
      </c>
      <c r="FX21" s="95">
        <v>0</v>
      </c>
      <c r="FY21" s="450">
        <f t="shared" si="45"/>
        <v>0</v>
      </c>
      <c r="FZ21" s="450">
        <f t="shared" si="46"/>
        <v>0</v>
      </c>
      <c r="GA21" s="450">
        <f t="shared" si="47"/>
        <v>0</v>
      </c>
      <c r="GG21" s="817" t="s">
        <v>554</v>
      </c>
      <c r="GH21" s="818" t="s">
        <v>359</v>
      </c>
      <c r="GI21" s="819">
        <v>32397175</v>
      </c>
      <c r="GJ21" s="819">
        <v>19737587</v>
      </c>
      <c r="GK21" s="819">
        <v>12659588</v>
      </c>
      <c r="GL21" s="819">
        <v>19737587</v>
      </c>
      <c r="GM21" s="819">
        <v>0</v>
      </c>
      <c r="GN21" s="450">
        <f t="shared" si="48"/>
        <v>32397.174999999999</v>
      </c>
      <c r="GO21" s="450">
        <f t="shared" si="49"/>
        <v>19737.587</v>
      </c>
      <c r="GP21" s="450">
        <f t="shared" si="50"/>
        <v>12659.588</v>
      </c>
      <c r="GQ21" s="450">
        <f t="shared" si="51"/>
        <v>19737.587</v>
      </c>
      <c r="GR21" s="450">
        <f t="shared" si="52"/>
        <v>0</v>
      </c>
      <c r="GV21" s="841" t="s">
        <v>566</v>
      </c>
      <c r="GW21" s="840">
        <v>7529345</v>
      </c>
      <c r="GX21" s="450">
        <f t="shared" si="53"/>
        <v>7529.3450000000003</v>
      </c>
      <c r="HB21" s="843" t="s">
        <v>566</v>
      </c>
      <c r="HC21" s="819">
        <v>31734180</v>
      </c>
      <c r="HD21" s="819">
        <v>29853322</v>
      </c>
      <c r="HE21" s="819">
        <v>1880858</v>
      </c>
      <c r="HF21" s="819">
        <v>29853322</v>
      </c>
      <c r="HG21" s="450">
        <f t="shared" si="54"/>
        <v>31734.18</v>
      </c>
      <c r="HH21" s="450">
        <f t="shared" si="55"/>
        <v>1880.8579999999999</v>
      </c>
      <c r="HI21" s="450">
        <f t="shared" si="56"/>
        <v>29853.322</v>
      </c>
      <c r="HJ21" s="450">
        <f t="shared" si="57"/>
        <v>1880.8579999999999</v>
      </c>
      <c r="HK21" s="450">
        <f t="shared" si="58"/>
        <v>29853.322</v>
      </c>
    </row>
    <row r="22" spans="1:219" ht="15" customHeight="1" x14ac:dyDescent="0.3">
      <c r="A22" s="295" t="s">
        <v>553</v>
      </c>
      <c r="B22" s="296" t="s">
        <v>360</v>
      </c>
      <c r="C22" s="297">
        <v>153167100</v>
      </c>
      <c r="D22" s="298">
        <f t="shared" si="3"/>
        <v>162816.62729999999</v>
      </c>
      <c r="E22" s="297">
        <v>12576161</v>
      </c>
      <c r="F22" s="297">
        <f t="shared" si="4"/>
        <v>13368.459143</v>
      </c>
      <c r="J22" s="299" t="s">
        <v>553</v>
      </c>
      <c r="K22" s="300" t="s">
        <v>365</v>
      </c>
      <c r="L22" s="301">
        <v>840017195</v>
      </c>
      <c r="M22" s="301">
        <f t="shared" si="5"/>
        <v>892938.27828499989</v>
      </c>
      <c r="Q22" s="299" t="s">
        <v>553</v>
      </c>
      <c r="R22" s="300" t="s">
        <v>360</v>
      </c>
      <c r="S22" s="301">
        <v>153167100</v>
      </c>
      <c r="T22" s="301">
        <v>24263742</v>
      </c>
      <c r="U22" s="301">
        <f t="shared" si="6"/>
        <v>162816.62729999999</v>
      </c>
      <c r="V22" s="301">
        <f t="shared" si="7"/>
        <v>25792.357745999998</v>
      </c>
      <c r="Z22" s="296" t="s">
        <v>360</v>
      </c>
      <c r="AA22" s="297">
        <v>5973241</v>
      </c>
      <c r="AB22" s="297">
        <f t="shared" si="8"/>
        <v>6349.5551829999995</v>
      </c>
      <c r="AF22" s="296" t="s">
        <v>360</v>
      </c>
      <c r="AG22" s="297">
        <v>151367100</v>
      </c>
      <c r="AH22" s="297">
        <f t="shared" si="0"/>
        <v>160903.2273</v>
      </c>
      <c r="AI22" s="297">
        <v>30236983</v>
      </c>
      <c r="AL22" s="450"/>
      <c r="AN22" s="447" t="s">
        <v>553</v>
      </c>
      <c r="AO22" s="448" t="s">
        <v>360</v>
      </c>
      <c r="AP22" s="449">
        <v>12233511</v>
      </c>
      <c r="AQ22" s="449">
        <f t="shared" si="9"/>
        <v>13004.222193</v>
      </c>
      <c r="AU22" s="447" t="s">
        <v>553</v>
      </c>
      <c r="AV22" s="448" t="s">
        <v>360</v>
      </c>
      <c r="AW22" s="449">
        <v>153467100</v>
      </c>
      <c r="AX22" s="449">
        <v>42470494</v>
      </c>
      <c r="AY22" s="449">
        <v>110996606</v>
      </c>
      <c r="AZ22" s="450">
        <f t="shared" si="10"/>
        <v>163135.52729999999</v>
      </c>
      <c r="BA22" s="450">
        <f t="shared" si="11"/>
        <v>45146.135122</v>
      </c>
      <c r="BB22" s="450">
        <f t="shared" si="12"/>
        <v>117989.39217799999</v>
      </c>
      <c r="BF22" s="447" t="s">
        <v>553</v>
      </c>
      <c r="BG22" s="448" t="s">
        <v>365</v>
      </c>
      <c r="BH22" s="449">
        <v>864577996</v>
      </c>
      <c r="BI22" s="450">
        <f t="shared" si="13"/>
        <v>864577.99600000004</v>
      </c>
      <c r="BM22" s="451" t="s">
        <v>553</v>
      </c>
      <c r="BN22" s="94" t="s">
        <v>360</v>
      </c>
      <c r="BO22" s="95">
        <v>0</v>
      </c>
      <c r="BP22" s="95">
        <v>154329100</v>
      </c>
      <c r="BQ22" s="95">
        <v>50945216</v>
      </c>
      <c r="BR22" s="95">
        <v>103383884</v>
      </c>
      <c r="BS22" s="95">
        <v>50945216</v>
      </c>
      <c r="BT22" s="450">
        <f t="shared" si="14"/>
        <v>154329.1</v>
      </c>
      <c r="BU22" s="450">
        <f t="shared" si="15"/>
        <v>50945.216</v>
      </c>
      <c r="BV22" s="450">
        <f t="shared" si="16"/>
        <v>103383.88400000001</v>
      </c>
      <c r="BW22" s="450">
        <f t="shared" si="17"/>
        <v>50945.216</v>
      </c>
      <c r="CA22" s="94" t="s">
        <v>360</v>
      </c>
      <c r="CB22" s="450">
        <v>7845756</v>
      </c>
      <c r="CC22" s="450">
        <f t="shared" si="18"/>
        <v>7845.7560000000003</v>
      </c>
      <c r="CG22" s="448" t="s">
        <v>360</v>
      </c>
      <c r="CH22" s="449">
        <v>0</v>
      </c>
      <c r="CI22" s="449">
        <v>154709020</v>
      </c>
      <c r="CJ22" s="449">
        <v>-154709020</v>
      </c>
      <c r="CK22" s="449">
        <v>58790972</v>
      </c>
      <c r="CL22" s="449">
        <v>95918048</v>
      </c>
      <c r="CM22" s="449">
        <v>58790972</v>
      </c>
      <c r="CN22" s="449">
        <f t="shared" si="19"/>
        <v>154709.01999999999</v>
      </c>
      <c r="CO22" s="449">
        <f t="shared" si="20"/>
        <v>58790.972000000002</v>
      </c>
      <c r="CP22" s="449">
        <f t="shared" si="21"/>
        <v>95918.047999999995</v>
      </c>
      <c r="CQ22" s="449">
        <f t="shared" si="22"/>
        <v>58790.972000000002</v>
      </c>
      <c r="CU22" s="448" t="s">
        <v>360</v>
      </c>
      <c r="CV22" s="449">
        <v>14131320</v>
      </c>
      <c r="CW22" s="449">
        <v>14131320</v>
      </c>
      <c r="CX22" s="450">
        <f t="shared" si="23"/>
        <v>14131.32</v>
      </c>
      <c r="CY22" s="450">
        <f t="shared" si="24"/>
        <v>14131.32</v>
      </c>
      <c r="DB22" s="602" t="s">
        <v>360</v>
      </c>
      <c r="DC22" s="603">
        <v>155159020</v>
      </c>
      <c r="DD22" s="603">
        <v>72922292</v>
      </c>
      <c r="DE22" s="603">
        <v>82236728</v>
      </c>
      <c r="DF22" s="603">
        <v>72922292</v>
      </c>
      <c r="DG22" s="604">
        <f t="shared" si="25"/>
        <v>155159.01999999999</v>
      </c>
      <c r="DH22" s="604">
        <f t="shared" si="26"/>
        <v>72922.292000000001</v>
      </c>
      <c r="DI22" s="604">
        <f t="shared" si="27"/>
        <v>82236.728000000003</v>
      </c>
      <c r="DJ22" s="604">
        <f t="shared" si="28"/>
        <v>72922.292000000001</v>
      </c>
      <c r="DN22" s="94" t="s">
        <v>365</v>
      </c>
      <c r="DO22" s="94">
        <v>862016551</v>
      </c>
      <c r="DP22" s="94">
        <v>862016551</v>
      </c>
      <c r="DQ22" s="666">
        <f t="shared" si="29"/>
        <v>862016.55099999998</v>
      </c>
      <c r="DR22" s="666">
        <f t="shared" si="30"/>
        <v>862016.55099999998</v>
      </c>
      <c r="DV22" s="94" t="s">
        <v>360</v>
      </c>
      <c r="DW22" s="95">
        <v>157495020</v>
      </c>
      <c r="DX22" s="95">
        <v>84157161</v>
      </c>
      <c r="DY22" s="95">
        <v>73337859</v>
      </c>
      <c r="DZ22" s="95">
        <v>84157161</v>
      </c>
      <c r="EA22" s="95">
        <f t="shared" si="31"/>
        <v>157495.01999999999</v>
      </c>
      <c r="EB22" s="95">
        <f t="shared" si="32"/>
        <v>84157.160999999993</v>
      </c>
      <c r="EC22" s="95">
        <f t="shared" si="33"/>
        <v>73337.858999999997</v>
      </c>
      <c r="ED22" s="95">
        <f t="shared" si="34"/>
        <v>84157.160999999993</v>
      </c>
      <c r="EH22" s="444" t="s">
        <v>567</v>
      </c>
      <c r="EI22" s="444">
        <v>10265228</v>
      </c>
      <c r="EJ22" s="450">
        <f t="shared" si="35"/>
        <v>10265.227999999999</v>
      </c>
      <c r="EN22" s="444" t="s">
        <v>360</v>
      </c>
      <c r="EO22" s="450">
        <v>157995020</v>
      </c>
      <c r="EP22" s="450">
        <v>94941284</v>
      </c>
      <c r="EQ22" s="450">
        <v>63053736</v>
      </c>
      <c r="ER22" s="450">
        <v>94941284</v>
      </c>
      <c r="ES22" s="746">
        <f t="shared" si="36"/>
        <v>157995.01999999999</v>
      </c>
      <c r="ET22" s="746">
        <f t="shared" si="37"/>
        <v>94941.284</v>
      </c>
      <c r="EU22" s="746">
        <f t="shared" si="38"/>
        <v>63053.735999999997</v>
      </c>
      <c r="EV22" s="746">
        <f t="shared" si="39"/>
        <v>94941.284</v>
      </c>
      <c r="EZ22" s="780" t="s">
        <v>554</v>
      </c>
      <c r="FA22" s="781" t="s">
        <v>567</v>
      </c>
      <c r="FB22" s="444">
        <v>10265228</v>
      </c>
      <c r="FC22" s="450">
        <f t="shared" si="40"/>
        <v>10265.227999999999</v>
      </c>
      <c r="FG22" s="785" t="s">
        <v>553</v>
      </c>
      <c r="FH22" s="784" t="s">
        <v>360</v>
      </c>
      <c r="FI22" s="782">
        <v>160095020</v>
      </c>
      <c r="FJ22" s="783">
        <v>105914097</v>
      </c>
      <c r="FK22" s="783">
        <v>54180923</v>
      </c>
      <c r="FL22" s="783">
        <v>105914097</v>
      </c>
      <c r="FM22" s="450">
        <f t="shared" si="41"/>
        <v>160095.01999999999</v>
      </c>
      <c r="FN22" s="450">
        <f t="shared" si="42"/>
        <v>105914.09699999999</v>
      </c>
      <c r="FO22" s="450">
        <f t="shared" si="43"/>
        <v>54180.923000000003</v>
      </c>
      <c r="FP22" s="450">
        <f t="shared" si="44"/>
        <v>105914.09699999999</v>
      </c>
      <c r="FT22" s="451" t="s">
        <v>553</v>
      </c>
      <c r="FU22" s="94" t="s">
        <v>360</v>
      </c>
      <c r="FV22" s="95">
        <v>-5000000</v>
      </c>
      <c r="FW22" s="95">
        <v>10909917</v>
      </c>
      <c r="FX22" s="95">
        <v>10909917</v>
      </c>
      <c r="FY22" s="450">
        <f t="shared" si="45"/>
        <v>-5000</v>
      </c>
      <c r="FZ22" s="450">
        <f t="shared" si="46"/>
        <v>10909.916999999999</v>
      </c>
      <c r="GA22" s="450">
        <f t="shared" si="47"/>
        <v>10909.916999999999</v>
      </c>
      <c r="GG22" s="817" t="s">
        <v>553</v>
      </c>
      <c r="GH22" s="818" t="s">
        <v>360</v>
      </c>
      <c r="GI22" s="819">
        <v>155095020</v>
      </c>
      <c r="GJ22" s="819">
        <v>116824014</v>
      </c>
      <c r="GK22" s="819">
        <v>38271006</v>
      </c>
      <c r="GL22" s="819">
        <v>116824014</v>
      </c>
      <c r="GM22" s="819">
        <v>0</v>
      </c>
      <c r="GN22" s="450">
        <f t="shared" si="48"/>
        <v>155095.01999999999</v>
      </c>
      <c r="GO22" s="450">
        <f t="shared" si="49"/>
        <v>116824.014</v>
      </c>
      <c r="GP22" s="450">
        <f t="shared" si="50"/>
        <v>38271.006000000001</v>
      </c>
      <c r="GQ22" s="450">
        <f t="shared" si="51"/>
        <v>116824.014</v>
      </c>
      <c r="GR22" s="450">
        <f t="shared" si="52"/>
        <v>0</v>
      </c>
      <c r="GV22" s="841" t="s">
        <v>359</v>
      </c>
      <c r="GW22" s="840">
        <v>6303068</v>
      </c>
      <c r="GX22" s="450">
        <f t="shared" si="53"/>
        <v>6303.0680000000002</v>
      </c>
      <c r="HB22" s="843" t="s">
        <v>359</v>
      </c>
      <c r="HC22" s="819">
        <v>32397175</v>
      </c>
      <c r="HD22" s="819">
        <v>26040655</v>
      </c>
      <c r="HE22" s="819">
        <v>6356520</v>
      </c>
      <c r="HF22" s="819">
        <v>26040655</v>
      </c>
      <c r="HG22" s="450">
        <f t="shared" si="54"/>
        <v>32397.174999999999</v>
      </c>
      <c r="HH22" s="450">
        <f t="shared" si="55"/>
        <v>6356.52</v>
      </c>
      <c r="HI22" s="450">
        <f t="shared" si="56"/>
        <v>26040.654999999999</v>
      </c>
      <c r="HJ22" s="450">
        <f t="shared" si="57"/>
        <v>6356.52</v>
      </c>
      <c r="HK22" s="450">
        <f t="shared" si="58"/>
        <v>26040.654999999999</v>
      </c>
    </row>
    <row r="23" spans="1:219" ht="15" customHeight="1" x14ac:dyDescent="0.3">
      <c r="A23" s="295" t="s">
        <v>554</v>
      </c>
      <c r="B23" s="296" t="s">
        <v>567</v>
      </c>
      <c r="C23" s="297">
        <v>145712700</v>
      </c>
      <c r="D23" s="298">
        <f t="shared" si="3"/>
        <v>154892.60010000001</v>
      </c>
      <c r="E23" s="297">
        <v>11829293</v>
      </c>
      <c r="F23" s="297">
        <f t="shared" si="4"/>
        <v>12574.538458999999</v>
      </c>
      <c r="J23" s="299" t="s">
        <v>554</v>
      </c>
      <c r="K23" s="300" t="s">
        <v>366</v>
      </c>
      <c r="L23" s="301">
        <v>203109335</v>
      </c>
      <c r="M23" s="301">
        <f t="shared" si="5"/>
        <v>215905.22310499998</v>
      </c>
      <c r="Q23" s="299" t="s">
        <v>554</v>
      </c>
      <c r="R23" s="300" t="s">
        <v>567</v>
      </c>
      <c r="S23" s="301">
        <v>145712700</v>
      </c>
      <c r="T23" s="301">
        <v>23186667</v>
      </c>
      <c r="U23" s="301">
        <f t="shared" si="6"/>
        <v>154892.60010000001</v>
      </c>
      <c r="V23" s="301">
        <f t="shared" si="7"/>
        <v>24647.427021</v>
      </c>
      <c r="Z23" s="296" t="s">
        <v>567</v>
      </c>
      <c r="AA23" s="297">
        <v>5485792</v>
      </c>
      <c r="AB23" s="297">
        <f t="shared" si="8"/>
        <v>5831.3968960000002</v>
      </c>
      <c r="AF23" s="296" t="s">
        <v>567</v>
      </c>
      <c r="AG23" s="297">
        <v>145712700</v>
      </c>
      <c r="AH23" s="297">
        <f t="shared" si="0"/>
        <v>154892.60010000001</v>
      </c>
      <c r="AI23" s="297">
        <v>28672459</v>
      </c>
      <c r="AL23" s="450"/>
      <c r="AN23" s="447" t="s">
        <v>554</v>
      </c>
      <c r="AO23" s="448" t="s">
        <v>567</v>
      </c>
      <c r="AP23" s="449">
        <v>11683166</v>
      </c>
      <c r="AQ23" s="449">
        <f t="shared" si="9"/>
        <v>12419.205457999999</v>
      </c>
      <c r="AU23" s="447" t="s">
        <v>554</v>
      </c>
      <c r="AV23" s="448" t="s">
        <v>567</v>
      </c>
      <c r="AW23" s="449">
        <v>145712700</v>
      </c>
      <c r="AX23" s="449">
        <v>40355625</v>
      </c>
      <c r="AY23" s="449">
        <v>105357075</v>
      </c>
      <c r="AZ23" s="450">
        <f t="shared" si="10"/>
        <v>154892.60010000001</v>
      </c>
      <c r="BA23" s="450">
        <f t="shared" si="11"/>
        <v>42898.029374999998</v>
      </c>
      <c r="BB23" s="450">
        <f t="shared" si="12"/>
        <v>111994.570725</v>
      </c>
      <c r="BF23" s="447" t="s">
        <v>554</v>
      </c>
      <c r="BG23" s="448" t="s">
        <v>366</v>
      </c>
      <c r="BH23" s="449">
        <v>209204948</v>
      </c>
      <c r="BI23" s="450">
        <f t="shared" si="13"/>
        <v>209204.948</v>
      </c>
      <c r="BM23" s="451" t="s">
        <v>554</v>
      </c>
      <c r="BN23" s="94" t="s">
        <v>567</v>
      </c>
      <c r="BO23" s="95">
        <v>0</v>
      </c>
      <c r="BP23" s="95">
        <v>145712700</v>
      </c>
      <c r="BQ23" s="95">
        <v>47886899</v>
      </c>
      <c r="BR23" s="95">
        <v>97825801</v>
      </c>
      <c r="BS23" s="95">
        <v>47886899</v>
      </c>
      <c r="BT23" s="450">
        <f t="shared" si="14"/>
        <v>145712.70000000001</v>
      </c>
      <c r="BU23" s="450">
        <f t="shared" si="15"/>
        <v>47886.898999999998</v>
      </c>
      <c r="BV23" s="450">
        <f t="shared" si="16"/>
        <v>97825.801000000007</v>
      </c>
      <c r="BW23" s="450">
        <f t="shared" si="17"/>
        <v>47886.898999999998</v>
      </c>
      <c r="CA23" s="94" t="s">
        <v>567</v>
      </c>
      <c r="CB23" s="450">
        <v>7531274</v>
      </c>
      <c r="CC23" s="450">
        <f t="shared" si="18"/>
        <v>7531.2740000000003</v>
      </c>
      <c r="CG23" s="448" t="s">
        <v>567</v>
      </c>
      <c r="CH23" s="449">
        <v>0</v>
      </c>
      <c r="CI23" s="449">
        <v>145712700</v>
      </c>
      <c r="CJ23" s="449">
        <v>-145712700</v>
      </c>
      <c r="CK23" s="449">
        <v>55418173</v>
      </c>
      <c r="CL23" s="449">
        <v>90294527</v>
      </c>
      <c r="CM23" s="449">
        <v>55418173</v>
      </c>
      <c r="CN23" s="449">
        <f t="shared" si="19"/>
        <v>145712.70000000001</v>
      </c>
      <c r="CO23" s="449">
        <f t="shared" si="20"/>
        <v>55418.173000000003</v>
      </c>
      <c r="CP23" s="449">
        <f t="shared" si="21"/>
        <v>90294.527000000002</v>
      </c>
      <c r="CQ23" s="449">
        <f t="shared" si="22"/>
        <v>55418.173000000003</v>
      </c>
      <c r="CU23" s="448" t="s">
        <v>567</v>
      </c>
      <c r="CV23" s="449">
        <v>12999182</v>
      </c>
      <c r="CW23" s="449">
        <v>12999182</v>
      </c>
      <c r="CX23" s="450">
        <f t="shared" si="23"/>
        <v>12999.182000000001</v>
      </c>
      <c r="CY23" s="450">
        <f t="shared" si="24"/>
        <v>12999.182000000001</v>
      </c>
      <c r="DB23" s="602" t="s">
        <v>567</v>
      </c>
      <c r="DC23" s="603">
        <v>145712700</v>
      </c>
      <c r="DD23" s="603">
        <v>68417355</v>
      </c>
      <c r="DE23" s="603">
        <v>77295345</v>
      </c>
      <c r="DF23" s="603">
        <v>68417355</v>
      </c>
      <c r="DG23" s="604">
        <f t="shared" si="25"/>
        <v>145712.70000000001</v>
      </c>
      <c r="DH23" s="604">
        <f t="shared" si="26"/>
        <v>68417.354999999996</v>
      </c>
      <c r="DI23" s="604">
        <f t="shared" si="27"/>
        <v>77295.345000000001</v>
      </c>
      <c r="DJ23" s="604">
        <f t="shared" si="28"/>
        <v>68417.354999999996</v>
      </c>
      <c r="DN23" s="94" t="s">
        <v>366</v>
      </c>
      <c r="DO23" s="94">
        <v>208372680</v>
      </c>
      <c r="DP23" s="94">
        <v>208372680</v>
      </c>
      <c r="DQ23" s="666">
        <f t="shared" si="29"/>
        <v>208372.68</v>
      </c>
      <c r="DR23" s="666">
        <f t="shared" si="30"/>
        <v>208372.68</v>
      </c>
      <c r="DV23" s="94" t="s">
        <v>567</v>
      </c>
      <c r="DW23" s="95">
        <v>145712700</v>
      </c>
      <c r="DX23" s="95">
        <v>78682583</v>
      </c>
      <c r="DY23" s="95">
        <v>67030117</v>
      </c>
      <c r="DZ23" s="95">
        <v>78682583</v>
      </c>
      <c r="EA23" s="95">
        <f t="shared" si="31"/>
        <v>145712.70000000001</v>
      </c>
      <c r="EB23" s="95">
        <f t="shared" si="32"/>
        <v>78682.582999999999</v>
      </c>
      <c r="EC23" s="95">
        <f t="shared" si="33"/>
        <v>67030.116999999998</v>
      </c>
      <c r="ED23" s="95">
        <f t="shared" si="34"/>
        <v>78682.582999999999</v>
      </c>
      <c r="EH23" s="444" t="s">
        <v>623</v>
      </c>
      <c r="EI23" s="444">
        <v>518895</v>
      </c>
      <c r="EJ23" s="450">
        <f t="shared" si="35"/>
        <v>518.89499999999998</v>
      </c>
      <c r="EN23" s="444" t="s">
        <v>567</v>
      </c>
      <c r="EO23" s="450">
        <v>145712700</v>
      </c>
      <c r="EP23" s="450">
        <v>88947811</v>
      </c>
      <c r="EQ23" s="450">
        <v>56764889</v>
      </c>
      <c r="ER23" s="450">
        <v>88947811</v>
      </c>
      <c r="ES23" s="746">
        <f t="shared" si="36"/>
        <v>145712.70000000001</v>
      </c>
      <c r="ET23" s="746">
        <f t="shared" si="37"/>
        <v>88947.811000000002</v>
      </c>
      <c r="EU23" s="746">
        <f t="shared" si="38"/>
        <v>56764.889000000003</v>
      </c>
      <c r="EV23" s="746">
        <f t="shared" si="39"/>
        <v>88947.811000000002</v>
      </c>
      <c r="EZ23" s="780" t="s">
        <v>554</v>
      </c>
      <c r="FA23" s="781" t="s">
        <v>623</v>
      </c>
      <c r="FB23" s="444">
        <v>707585</v>
      </c>
      <c r="FC23" s="450">
        <f t="shared" si="40"/>
        <v>707.58500000000004</v>
      </c>
      <c r="FG23" s="785" t="s">
        <v>554</v>
      </c>
      <c r="FH23" s="784" t="s">
        <v>567</v>
      </c>
      <c r="FI23" s="782">
        <v>145712700</v>
      </c>
      <c r="FJ23" s="783">
        <v>99213039</v>
      </c>
      <c r="FK23" s="783">
        <v>46499661</v>
      </c>
      <c r="FL23" s="783">
        <v>99213039</v>
      </c>
      <c r="FM23" s="450">
        <f t="shared" si="41"/>
        <v>145712.70000000001</v>
      </c>
      <c r="FN23" s="450">
        <f t="shared" si="42"/>
        <v>99213.039000000004</v>
      </c>
      <c r="FO23" s="450">
        <f t="shared" si="43"/>
        <v>46499.661</v>
      </c>
      <c r="FP23" s="450">
        <f t="shared" si="44"/>
        <v>99213.039000000004</v>
      </c>
      <c r="FT23" s="451" t="s">
        <v>554</v>
      </c>
      <c r="FU23" s="94" t="s">
        <v>567</v>
      </c>
      <c r="FV23" s="95">
        <v>-5000000</v>
      </c>
      <c r="FW23" s="95">
        <v>10265228</v>
      </c>
      <c r="FX23" s="95">
        <v>10265228</v>
      </c>
      <c r="FY23" s="450">
        <f t="shared" si="45"/>
        <v>-5000</v>
      </c>
      <c r="FZ23" s="450">
        <f t="shared" si="46"/>
        <v>10265.227999999999</v>
      </c>
      <c r="GA23" s="450">
        <f t="shared" si="47"/>
        <v>10265.227999999999</v>
      </c>
      <c r="GG23" s="817" t="s">
        <v>554</v>
      </c>
      <c r="GH23" s="818" t="s">
        <v>567</v>
      </c>
      <c r="GI23" s="819">
        <v>140712700</v>
      </c>
      <c r="GJ23" s="819">
        <v>109478267</v>
      </c>
      <c r="GK23" s="819">
        <v>31234433</v>
      </c>
      <c r="GL23" s="819">
        <v>109478267</v>
      </c>
      <c r="GM23" s="819">
        <v>0</v>
      </c>
      <c r="GN23" s="450">
        <f t="shared" si="48"/>
        <v>140712.70000000001</v>
      </c>
      <c r="GO23" s="450">
        <f t="shared" si="49"/>
        <v>109478.26700000001</v>
      </c>
      <c r="GP23" s="450">
        <f t="shared" si="50"/>
        <v>31234.433000000001</v>
      </c>
      <c r="GQ23" s="450">
        <f t="shared" si="51"/>
        <v>109478.26700000001</v>
      </c>
      <c r="GR23" s="450">
        <f t="shared" si="52"/>
        <v>0</v>
      </c>
      <c r="GV23" s="841" t="s">
        <v>924</v>
      </c>
      <c r="GW23" s="840">
        <v>7242</v>
      </c>
      <c r="GX23" s="450">
        <f t="shared" si="53"/>
        <v>7.242</v>
      </c>
      <c r="HB23" s="843" t="s">
        <v>924</v>
      </c>
      <c r="HC23" s="819">
        <v>10000</v>
      </c>
      <c r="HD23" s="819">
        <v>7242</v>
      </c>
      <c r="HE23" s="819">
        <v>2758</v>
      </c>
      <c r="HF23" s="819">
        <v>7242</v>
      </c>
      <c r="HG23" s="450">
        <f t="shared" si="54"/>
        <v>10</v>
      </c>
      <c r="HH23" s="450">
        <f t="shared" si="55"/>
        <v>2.758</v>
      </c>
      <c r="HI23" s="450">
        <f t="shared" si="56"/>
        <v>7.242</v>
      </c>
      <c r="HJ23" s="450">
        <f t="shared" si="57"/>
        <v>2.758</v>
      </c>
      <c r="HK23" s="450">
        <f t="shared" si="58"/>
        <v>7.242</v>
      </c>
    </row>
    <row r="24" spans="1:219" ht="15" customHeight="1" x14ac:dyDescent="0.3">
      <c r="A24" s="295" t="s">
        <v>554</v>
      </c>
      <c r="B24" s="296" t="s">
        <v>568</v>
      </c>
      <c r="C24" s="297">
        <v>3554400</v>
      </c>
      <c r="D24" s="298">
        <f t="shared" si="3"/>
        <v>3778.3271999999997</v>
      </c>
      <c r="E24" s="297">
        <v>0</v>
      </c>
      <c r="F24" s="297">
        <f t="shared" si="4"/>
        <v>0</v>
      </c>
      <c r="J24" s="299" t="s">
        <v>554</v>
      </c>
      <c r="K24" s="300" t="s">
        <v>570</v>
      </c>
      <c r="L24" s="301">
        <v>8783203</v>
      </c>
      <c r="M24" s="301">
        <f t="shared" si="5"/>
        <v>9336.5447889999996</v>
      </c>
      <c r="Q24" s="299" t="s">
        <v>554</v>
      </c>
      <c r="R24" s="300" t="s">
        <v>568</v>
      </c>
      <c r="S24" s="301">
        <v>3554400</v>
      </c>
      <c r="T24" s="301">
        <v>0</v>
      </c>
      <c r="U24" s="301">
        <f t="shared" si="6"/>
        <v>3778.3271999999997</v>
      </c>
      <c r="V24" s="301">
        <f t="shared" si="7"/>
        <v>0</v>
      </c>
      <c r="Z24" s="296" t="s">
        <v>623</v>
      </c>
      <c r="AA24" s="297">
        <v>487449</v>
      </c>
      <c r="AB24" s="297">
        <f t="shared" si="8"/>
        <v>518.15828699999997</v>
      </c>
      <c r="AF24" s="296" t="s">
        <v>568</v>
      </c>
      <c r="AG24" s="297">
        <v>3554400</v>
      </c>
      <c r="AH24" s="297">
        <f t="shared" si="0"/>
        <v>3778.3271999999997</v>
      </c>
      <c r="AI24" s="297">
        <v>0</v>
      </c>
      <c r="AL24" s="450"/>
      <c r="AN24" s="447" t="s">
        <v>554</v>
      </c>
      <c r="AO24" s="448" t="s">
        <v>623</v>
      </c>
      <c r="AP24" s="449">
        <v>550345</v>
      </c>
      <c r="AQ24" s="449">
        <f t="shared" si="9"/>
        <v>585.01673500000004</v>
      </c>
      <c r="AU24" s="447" t="s">
        <v>554</v>
      </c>
      <c r="AV24" s="448" t="s">
        <v>568</v>
      </c>
      <c r="AW24" s="449">
        <v>3554400</v>
      </c>
      <c r="AX24" s="449">
        <v>0</v>
      </c>
      <c r="AY24" s="449">
        <v>3554400</v>
      </c>
      <c r="AZ24" s="450">
        <f t="shared" si="10"/>
        <v>3778.3271999999997</v>
      </c>
      <c r="BA24" s="450">
        <f t="shared" si="11"/>
        <v>0</v>
      </c>
      <c r="BB24" s="450">
        <f t="shared" si="12"/>
        <v>3778.3271999999997</v>
      </c>
      <c r="BF24" s="447" t="s">
        <v>554</v>
      </c>
      <c r="BG24" s="448" t="s">
        <v>570</v>
      </c>
      <c r="BH24" s="449">
        <v>8995333</v>
      </c>
      <c r="BI24" s="450">
        <f t="shared" si="13"/>
        <v>8995.3330000000005</v>
      </c>
      <c r="BM24" s="451" t="s">
        <v>554</v>
      </c>
      <c r="BN24" s="94" t="s">
        <v>568</v>
      </c>
      <c r="BO24" s="95">
        <v>0</v>
      </c>
      <c r="BP24" s="95">
        <v>3554400</v>
      </c>
      <c r="BQ24" s="95">
        <v>0</v>
      </c>
      <c r="BR24" s="95">
        <v>3554400</v>
      </c>
      <c r="BS24" s="95">
        <v>0</v>
      </c>
      <c r="BT24" s="450">
        <f t="shared" si="14"/>
        <v>3554.4</v>
      </c>
      <c r="BU24" s="450">
        <f t="shared" si="15"/>
        <v>0</v>
      </c>
      <c r="BV24" s="450">
        <f t="shared" si="16"/>
        <v>3554.4</v>
      </c>
      <c r="BW24" s="450">
        <f t="shared" si="17"/>
        <v>0</v>
      </c>
      <c r="CA24" s="94" t="s">
        <v>623</v>
      </c>
      <c r="CB24" s="450">
        <v>314482</v>
      </c>
      <c r="CC24" s="450">
        <f t="shared" si="18"/>
        <v>314.48200000000003</v>
      </c>
      <c r="CG24" s="448" t="s">
        <v>568</v>
      </c>
      <c r="CH24" s="449">
        <v>0</v>
      </c>
      <c r="CI24" s="449">
        <v>3554400</v>
      </c>
      <c r="CJ24" s="449">
        <v>-3554400</v>
      </c>
      <c r="CK24" s="449">
        <v>0</v>
      </c>
      <c r="CL24" s="449">
        <v>3554400</v>
      </c>
      <c r="CM24" s="449">
        <v>0</v>
      </c>
      <c r="CN24" s="449">
        <f t="shared" si="19"/>
        <v>3554.4</v>
      </c>
      <c r="CO24" s="449">
        <f t="shared" si="20"/>
        <v>0</v>
      </c>
      <c r="CP24" s="449">
        <f t="shared" si="21"/>
        <v>3554.4</v>
      </c>
      <c r="CQ24" s="449">
        <f t="shared" si="22"/>
        <v>0</v>
      </c>
      <c r="CU24" s="448" t="s">
        <v>623</v>
      </c>
      <c r="CV24" s="449">
        <v>1132138</v>
      </c>
      <c r="CW24" s="449">
        <v>1132138</v>
      </c>
      <c r="CX24" s="450">
        <f t="shared" si="23"/>
        <v>1132.1379999999999</v>
      </c>
      <c r="CY24" s="450">
        <f t="shared" si="24"/>
        <v>1132.1379999999999</v>
      </c>
      <c r="DB24" s="602" t="s">
        <v>568</v>
      </c>
      <c r="DC24" s="603">
        <v>3554400</v>
      </c>
      <c r="DD24" s="603">
        <v>0</v>
      </c>
      <c r="DE24" s="603">
        <v>3554400</v>
      </c>
      <c r="DF24" s="603">
        <v>0</v>
      </c>
      <c r="DG24" s="604">
        <f t="shared" si="25"/>
        <v>3554.4</v>
      </c>
      <c r="DH24" s="604">
        <f t="shared" si="26"/>
        <v>0</v>
      </c>
      <c r="DI24" s="604">
        <f t="shared" si="27"/>
        <v>3554.4</v>
      </c>
      <c r="DJ24" s="604">
        <f t="shared" si="28"/>
        <v>0</v>
      </c>
      <c r="DN24" s="94" t="s">
        <v>570</v>
      </c>
      <c r="DO24" s="94">
        <v>8750858</v>
      </c>
      <c r="DP24" s="94">
        <v>8750858</v>
      </c>
      <c r="DQ24" s="666">
        <f t="shared" si="29"/>
        <v>8750.8580000000002</v>
      </c>
      <c r="DR24" s="666">
        <f t="shared" si="30"/>
        <v>8750.8580000000002</v>
      </c>
      <c r="DV24" s="94" t="s">
        <v>568</v>
      </c>
      <c r="DW24" s="95">
        <v>3554400</v>
      </c>
      <c r="DX24" s="95">
        <v>0</v>
      </c>
      <c r="DY24" s="95">
        <v>3554400</v>
      </c>
      <c r="DZ24" s="95">
        <v>0</v>
      </c>
      <c r="EA24" s="95">
        <f t="shared" si="31"/>
        <v>3554.4</v>
      </c>
      <c r="EB24" s="95">
        <f t="shared" si="32"/>
        <v>0</v>
      </c>
      <c r="EC24" s="95">
        <f t="shared" si="33"/>
        <v>3554.4</v>
      </c>
      <c r="ED24" s="95">
        <f t="shared" si="34"/>
        <v>0</v>
      </c>
      <c r="EH24" s="444" t="s">
        <v>361</v>
      </c>
      <c r="EI24" s="444">
        <v>193926</v>
      </c>
      <c r="EJ24" s="450">
        <f t="shared" si="35"/>
        <v>193.92599999999999</v>
      </c>
      <c r="EN24" s="444" t="s">
        <v>568</v>
      </c>
      <c r="EO24" s="450">
        <v>3554400</v>
      </c>
      <c r="EP24" s="450">
        <v>0</v>
      </c>
      <c r="EQ24" s="450">
        <v>3554400</v>
      </c>
      <c r="ER24" s="450">
        <v>0</v>
      </c>
      <c r="ES24" s="746">
        <f t="shared" si="36"/>
        <v>3554.4</v>
      </c>
      <c r="ET24" s="746">
        <f t="shared" si="37"/>
        <v>0</v>
      </c>
      <c r="EU24" s="746">
        <f t="shared" si="38"/>
        <v>3554.4</v>
      </c>
      <c r="EV24" s="746">
        <f t="shared" si="39"/>
        <v>0</v>
      </c>
      <c r="EZ24" s="780" t="s">
        <v>553</v>
      </c>
      <c r="FA24" s="781" t="s">
        <v>361</v>
      </c>
      <c r="FB24" s="444">
        <v>0</v>
      </c>
      <c r="FC24" s="450">
        <f t="shared" si="40"/>
        <v>0</v>
      </c>
      <c r="FG24" s="785" t="s">
        <v>554</v>
      </c>
      <c r="FH24" s="784" t="s">
        <v>568</v>
      </c>
      <c r="FI24" s="782">
        <v>3554400</v>
      </c>
      <c r="FJ24" s="783">
        <v>0</v>
      </c>
      <c r="FK24" s="783">
        <v>3554400</v>
      </c>
      <c r="FL24" s="783">
        <v>0</v>
      </c>
      <c r="FM24" s="450">
        <f t="shared" si="41"/>
        <v>3554.4</v>
      </c>
      <c r="FN24" s="450">
        <f t="shared" si="42"/>
        <v>0</v>
      </c>
      <c r="FO24" s="450">
        <f t="shared" si="43"/>
        <v>3554.4</v>
      </c>
      <c r="FP24" s="450">
        <f t="shared" si="44"/>
        <v>0</v>
      </c>
      <c r="FT24" s="451" t="s">
        <v>554</v>
      </c>
      <c r="FU24" s="94" t="s">
        <v>623</v>
      </c>
      <c r="FV24" s="95">
        <v>0</v>
      </c>
      <c r="FW24" s="95">
        <v>644689</v>
      </c>
      <c r="FX24" s="95">
        <v>644689</v>
      </c>
      <c r="FY24" s="450">
        <f t="shared" si="45"/>
        <v>0</v>
      </c>
      <c r="FZ24" s="450">
        <f t="shared" si="46"/>
        <v>644.68899999999996</v>
      </c>
      <c r="GA24" s="450">
        <f t="shared" si="47"/>
        <v>644.68899999999996</v>
      </c>
      <c r="GG24" s="817" t="s">
        <v>554</v>
      </c>
      <c r="GH24" s="818" t="s">
        <v>568</v>
      </c>
      <c r="GI24" s="819">
        <v>3554400</v>
      </c>
      <c r="GJ24" s="819">
        <v>0</v>
      </c>
      <c r="GK24" s="819">
        <v>3554400</v>
      </c>
      <c r="GL24" s="819">
        <v>0</v>
      </c>
      <c r="GM24" s="819">
        <v>0</v>
      </c>
      <c r="GN24" s="450">
        <f t="shared" si="48"/>
        <v>3554.4</v>
      </c>
      <c r="GO24" s="450">
        <f t="shared" si="49"/>
        <v>0</v>
      </c>
      <c r="GP24" s="450">
        <f t="shared" si="50"/>
        <v>3554.4</v>
      </c>
      <c r="GQ24" s="450">
        <f t="shared" si="51"/>
        <v>0</v>
      </c>
      <c r="GR24" s="450">
        <f t="shared" si="52"/>
        <v>0</v>
      </c>
      <c r="GV24" s="841" t="s">
        <v>360</v>
      </c>
      <c r="GW24" s="840">
        <v>10957088</v>
      </c>
      <c r="GX24" s="450">
        <f t="shared" si="53"/>
        <v>10957.088</v>
      </c>
      <c r="HB24" s="843" t="s">
        <v>360</v>
      </c>
      <c r="HC24" s="819">
        <v>138969235</v>
      </c>
      <c r="HD24" s="819">
        <v>127781102</v>
      </c>
      <c r="HE24" s="819">
        <v>11188133</v>
      </c>
      <c r="HF24" s="819">
        <v>127781102</v>
      </c>
      <c r="HG24" s="450">
        <f t="shared" si="54"/>
        <v>138969.23499999999</v>
      </c>
      <c r="HH24" s="450">
        <f t="shared" si="55"/>
        <v>11188.133</v>
      </c>
      <c r="HI24" s="450">
        <f t="shared" si="56"/>
        <v>127781.102</v>
      </c>
      <c r="HJ24" s="450">
        <f t="shared" si="57"/>
        <v>11188.133</v>
      </c>
      <c r="HK24" s="450">
        <f t="shared" si="58"/>
        <v>127781.102</v>
      </c>
    </row>
    <row r="25" spans="1:219" ht="15" customHeight="1" x14ac:dyDescent="0.3">
      <c r="A25" s="295" t="s">
        <v>554</v>
      </c>
      <c r="B25" s="296" t="s">
        <v>623</v>
      </c>
      <c r="C25" s="297">
        <v>3900000</v>
      </c>
      <c r="D25" s="298">
        <f t="shared" si="3"/>
        <v>4145.7</v>
      </c>
      <c r="E25" s="297">
        <v>746868</v>
      </c>
      <c r="F25" s="297">
        <f t="shared" si="4"/>
        <v>793.92068400000005</v>
      </c>
      <c r="J25" s="299" t="s">
        <v>554</v>
      </c>
      <c r="K25" s="300" t="s">
        <v>367</v>
      </c>
      <c r="L25" s="301">
        <v>138316246</v>
      </c>
      <c r="M25" s="301">
        <f t="shared" si="5"/>
        <v>147030.169498</v>
      </c>
      <c r="Q25" s="299" t="s">
        <v>554</v>
      </c>
      <c r="R25" s="300" t="s">
        <v>623</v>
      </c>
      <c r="S25" s="301">
        <v>3900000</v>
      </c>
      <c r="T25" s="301">
        <v>1077075</v>
      </c>
      <c r="U25" s="301">
        <f t="shared" si="6"/>
        <v>4145.7</v>
      </c>
      <c r="V25" s="301">
        <f t="shared" si="7"/>
        <v>1144.9307249999999</v>
      </c>
      <c r="Z25" s="296" t="s">
        <v>361</v>
      </c>
      <c r="AA25" s="297">
        <v>236898</v>
      </c>
      <c r="AB25" s="297">
        <f t="shared" si="8"/>
        <v>251.82257399999997</v>
      </c>
      <c r="AF25" s="296" t="s">
        <v>623</v>
      </c>
      <c r="AG25" s="297">
        <v>2100000</v>
      </c>
      <c r="AH25" s="297">
        <f t="shared" si="0"/>
        <v>2232.2999999999997</v>
      </c>
      <c r="AI25" s="297">
        <v>1564524</v>
      </c>
      <c r="AL25" s="450"/>
      <c r="AN25" s="447" t="s">
        <v>553</v>
      </c>
      <c r="AO25" s="448" t="s">
        <v>361</v>
      </c>
      <c r="AP25" s="449">
        <v>0</v>
      </c>
      <c r="AQ25" s="449">
        <f t="shared" si="9"/>
        <v>0</v>
      </c>
      <c r="AU25" s="447" t="s">
        <v>554</v>
      </c>
      <c r="AV25" s="448" t="s">
        <v>623</v>
      </c>
      <c r="AW25" s="449">
        <v>4200000</v>
      </c>
      <c r="AX25" s="449">
        <v>2114869</v>
      </c>
      <c r="AY25" s="449">
        <v>2085131</v>
      </c>
      <c r="AZ25" s="450">
        <f t="shared" si="10"/>
        <v>4464.5999999999995</v>
      </c>
      <c r="BA25" s="450">
        <f t="shared" si="11"/>
        <v>2248.1057470000001</v>
      </c>
      <c r="BB25" s="450">
        <f t="shared" si="12"/>
        <v>2216.4942529999998</v>
      </c>
      <c r="BF25" s="447" t="s">
        <v>554</v>
      </c>
      <c r="BG25" s="448" t="s">
        <v>367</v>
      </c>
      <c r="BH25" s="449">
        <v>144738852</v>
      </c>
      <c r="BI25" s="450">
        <f t="shared" si="13"/>
        <v>144738.85200000001</v>
      </c>
      <c r="BM25" s="451" t="s">
        <v>554</v>
      </c>
      <c r="BN25" s="94" t="s">
        <v>623</v>
      </c>
      <c r="BO25" s="95">
        <v>0</v>
      </c>
      <c r="BP25" s="95">
        <v>5062000</v>
      </c>
      <c r="BQ25" s="95">
        <v>3058317</v>
      </c>
      <c r="BR25" s="95">
        <v>2003683</v>
      </c>
      <c r="BS25" s="95">
        <v>3058317</v>
      </c>
      <c r="BT25" s="450">
        <f t="shared" si="14"/>
        <v>5062</v>
      </c>
      <c r="BU25" s="450">
        <f t="shared" si="15"/>
        <v>3058.317</v>
      </c>
      <c r="BV25" s="450">
        <f t="shared" si="16"/>
        <v>2003.683</v>
      </c>
      <c r="BW25" s="450">
        <f t="shared" si="17"/>
        <v>3058.317</v>
      </c>
      <c r="CA25" s="94" t="s">
        <v>569</v>
      </c>
      <c r="CB25" s="450">
        <v>0</v>
      </c>
      <c r="CC25" s="450">
        <f t="shared" si="18"/>
        <v>0</v>
      </c>
      <c r="CG25" s="448" t="s">
        <v>623</v>
      </c>
      <c r="CH25" s="449">
        <v>0</v>
      </c>
      <c r="CI25" s="449">
        <v>5262000</v>
      </c>
      <c r="CJ25" s="449">
        <v>-5262000</v>
      </c>
      <c r="CK25" s="449">
        <v>3372799</v>
      </c>
      <c r="CL25" s="449">
        <v>1889201</v>
      </c>
      <c r="CM25" s="449">
        <v>3372799</v>
      </c>
      <c r="CN25" s="449">
        <f t="shared" si="19"/>
        <v>5262</v>
      </c>
      <c r="CO25" s="449">
        <f t="shared" si="20"/>
        <v>3372.799</v>
      </c>
      <c r="CP25" s="449">
        <f t="shared" si="21"/>
        <v>1889.201</v>
      </c>
      <c r="CQ25" s="449">
        <f t="shared" si="22"/>
        <v>3372.799</v>
      </c>
      <c r="CU25" s="448" t="s">
        <v>361</v>
      </c>
      <c r="CV25" s="449">
        <v>0</v>
      </c>
      <c r="CW25" s="449">
        <v>0</v>
      </c>
      <c r="CX25" s="450">
        <f t="shared" si="23"/>
        <v>0</v>
      </c>
      <c r="CY25" s="450">
        <f t="shared" si="24"/>
        <v>0</v>
      </c>
      <c r="DB25" s="602" t="s">
        <v>623</v>
      </c>
      <c r="DC25" s="603">
        <v>5712000</v>
      </c>
      <c r="DD25" s="603">
        <v>4504937</v>
      </c>
      <c r="DE25" s="603">
        <v>1207063</v>
      </c>
      <c r="DF25" s="603">
        <v>4504937</v>
      </c>
      <c r="DG25" s="604">
        <f t="shared" si="25"/>
        <v>5712</v>
      </c>
      <c r="DH25" s="604">
        <f t="shared" si="26"/>
        <v>4504.9369999999999</v>
      </c>
      <c r="DI25" s="604">
        <f t="shared" si="27"/>
        <v>1207.0630000000001</v>
      </c>
      <c r="DJ25" s="604">
        <f t="shared" si="28"/>
        <v>4504.9369999999999</v>
      </c>
      <c r="DN25" s="94" t="s">
        <v>367</v>
      </c>
      <c r="DO25" s="94">
        <v>144769923</v>
      </c>
      <c r="DP25" s="94">
        <v>144769923</v>
      </c>
      <c r="DQ25" s="666">
        <f t="shared" si="29"/>
        <v>144769.92300000001</v>
      </c>
      <c r="DR25" s="666">
        <f t="shared" si="30"/>
        <v>144769.92300000001</v>
      </c>
      <c r="DV25" s="94" t="s">
        <v>623</v>
      </c>
      <c r="DW25" s="95">
        <v>8048000</v>
      </c>
      <c r="DX25" s="95">
        <v>5474578</v>
      </c>
      <c r="DY25" s="95">
        <v>2573422</v>
      </c>
      <c r="DZ25" s="95">
        <v>5474578</v>
      </c>
      <c r="EA25" s="95">
        <f t="shared" si="31"/>
        <v>8048</v>
      </c>
      <c r="EB25" s="95">
        <f t="shared" si="32"/>
        <v>5474.5780000000004</v>
      </c>
      <c r="EC25" s="95">
        <f t="shared" si="33"/>
        <v>2573.422</v>
      </c>
      <c r="ED25" s="95">
        <f t="shared" si="34"/>
        <v>5474.5780000000004</v>
      </c>
      <c r="EH25" s="444" t="s">
        <v>362</v>
      </c>
      <c r="EI25" s="444">
        <v>193926</v>
      </c>
      <c r="EJ25" s="450">
        <f t="shared" si="35"/>
        <v>193.92599999999999</v>
      </c>
      <c r="EN25" s="444" t="s">
        <v>623</v>
      </c>
      <c r="EO25" s="450">
        <v>8548000</v>
      </c>
      <c r="EP25" s="450">
        <v>5993473</v>
      </c>
      <c r="EQ25" s="450">
        <v>2554527</v>
      </c>
      <c r="ER25" s="450">
        <v>5993473</v>
      </c>
      <c r="ES25" s="746">
        <f t="shared" si="36"/>
        <v>8548</v>
      </c>
      <c r="ET25" s="746">
        <f t="shared" si="37"/>
        <v>5993.473</v>
      </c>
      <c r="EU25" s="746">
        <f t="shared" si="38"/>
        <v>2554.527</v>
      </c>
      <c r="EV25" s="746">
        <f t="shared" si="39"/>
        <v>5993.473</v>
      </c>
      <c r="EZ25" s="780" t="s">
        <v>554</v>
      </c>
      <c r="FA25" s="781" t="s">
        <v>362</v>
      </c>
      <c r="FB25" s="444">
        <v>0</v>
      </c>
      <c r="FC25" s="450">
        <f t="shared" si="40"/>
        <v>0</v>
      </c>
      <c r="FG25" s="785" t="s">
        <v>554</v>
      </c>
      <c r="FH25" s="784" t="s">
        <v>623</v>
      </c>
      <c r="FI25" s="782">
        <v>10648000</v>
      </c>
      <c r="FJ25" s="783">
        <v>6701058</v>
      </c>
      <c r="FK25" s="783">
        <v>3946942</v>
      </c>
      <c r="FL25" s="783">
        <v>6701058</v>
      </c>
      <c r="FM25" s="450">
        <f t="shared" si="41"/>
        <v>10648</v>
      </c>
      <c r="FN25" s="450">
        <f t="shared" si="42"/>
        <v>6701.058</v>
      </c>
      <c r="FO25" s="450">
        <f t="shared" si="43"/>
        <v>3946.942</v>
      </c>
      <c r="FP25" s="450">
        <f t="shared" si="44"/>
        <v>6701.058</v>
      </c>
      <c r="FT25" s="451" t="s">
        <v>553</v>
      </c>
      <c r="FU25" s="94" t="s">
        <v>361</v>
      </c>
      <c r="FV25" s="95">
        <v>0</v>
      </c>
      <c r="FW25" s="95">
        <v>0</v>
      </c>
      <c r="FX25" s="95">
        <v>0</v>
      </c>
      <c r="FY25" s="450">
        <f t="shared" si="45"/>
        <v>0</v>
      </c>
      <c r="FZ25" s="450">
        <f t="shared" si="46"/>
        <v>0</v>
      </c>
      <c r="GA25" s="450">
        <f t="shared" si="47"/>
        <v>0</v>
      </c>
      <c r="GG25" s="817" t="s">
        <v>554</v>
      </c>
      <c r="GH25" s="818" t="s">
        <v>623</v>
      </c>
      <c r="GI25" s="819">
        <v>10648000</v>
      </c>
      <c r="GJ25" s="819">
        <v>7345747</v>
      </c>
      <c r="GK25" s="819">
        <v>3302253</v>
      </c>
      <c r="GL25" s="819">
        <v>7345747</v>
      </c>
      <c r="GM25" s="819">
        <v>0</v>
      </c>
      <c r="GN25" s="450">
        <f t="shared" si="48"/>
        <v>10648</v>
      </c>
      <c r="GO25" s="450">
        <f t="shared" si="49"/>
        <v>7345.7470000000003</v>
      </c>
      <c r="GP25" s="450">
        <f t="shared" si="50"/>
        <v>3302.2530000000002</v>
      </c>
      <c r="GQ25" s="450">
        <f t="shared" si="51"/>
        <v>7345.7470000000003</v>
      </c>
      <c r="GR25" s="450">
        <f t="shared" si="52"/>
        <v>0</v>
      </c>
      <c r="GV25" s="841" t="s">
        <v>567</v>
      </c>
      <c r="GW25" s="840">
        <v>10265228</v>
      </c>
      <c r="GX25" s="450">
        <f t="shared" si="53"/>
        <v>10265.227999999999</v>
      </c>
      <c r="HB25" s="843" t="s">
        <v>567</v>
      </c>
      <c r="HC25" s="819">
        <v>125666835</v>
      </c>
      <c r="HD25" s="819">
        <v>119743495</v>
      </c>
      <c r="HE25" s="819">
        <v>5923340</v>
      </c>
      <c r="HF25" s="819">
        <v>119743495</v>
      </c>
      <c r="HG25" s="450">
        <f t="shared" si="54"/>
        <v>125666.83500000001</v>
      </c>
      <c r="HH25" s="450">
        <f t="shared" si="55"/>
        <v>5923.34</v>
      </c>
      <c r="HI25" s="450">
        <f t="shared" si="56"/>
        <v>119743.495</v>
      </c>
      <c r="HJ25" s="450">
        <f t="shared" si="57"/>
        <v>5923.34</v>
      </c>
      <c r="HK25" s="450">
        <f t="shared" si="58"/>
        <v>119743.495</v>
      </c>
    </row>
    <row r="26" spans="1:219" ht="15" customHeight="1" x14ac:dyDescent="0.3">
      <c r="A26" s="295" t="s">
        <v>553</v>
      </c>
      <c r="B26" s="296" t="s">
        <v>361</v>
      </c>
      <c r="C26" s="297">
        <v>1575794</v>
      </c>
      <c r="D26" s="298">
        <f t="shared" si="3"/>
        <v>1675.0690219999999</v>
      </c>
      <c r="E26" s="297">
        <v>300000</v>
      </c>
      <c r="F26" s="297">
        <f t="shared" si="4"/>
        <v>318.89999999999998</v>
      </c>
      <c r="J26" s="299" t="s">
        <v>554</v>
      </c>
      <c r="K26" s="300" t="s">
        <v>368</v>
      </c>
      <c r="L26" s="301">
        <v>19675875</v>
      </c>
      <c r="M26" s="301">
        <f t="shared" si="5"/>
        <v>20915.455125</v>
      </c>
      <c r="Q26" s="299" t="s">
        <v>553</v>
      </c>
      <c r="R26" s="300" t="s">
        <v>361</v>
      </c>
      <c r="S26" s="301">
        <v>1575794</v>
      </c>
      <c r="T26" s="301">
        <v>300000</v>
      </c>
      <c r="U26" s="301">
        <f t="shared" si="6"/>
        <v>1675.0690219999999</v>
      </c>
      <c r="V26" s="301">
        <f t="shared" si="7"/>
        <v>318.89999999999998</v>
      </c>
      <c r="Z26" s="296" t="s">
        <v>481</v>
      </c>
      <c r="AA26" s="297">
        <v>236898</v>
      </c>
      <c r="AB26" s="297">
        <f t="shared" si="8"/>
        <v>251.82257399999997</v>
      </c>
      <c r="AF26" s="296" t="s">
        <v>361</v>
      </c>
      <c r="AG26" s="297">
        <v>1575794</v>
      </c>
      <c r="AH26" s="297">
        <f t="shared" si="0"/>
        <v>1675.0690219999999</v>
      </c>
      <c r="AI26" s="297">
        <v>536898</v>
      </c>
      <c r="AL26" s="450"/>
      <c r="AN26" s="447" t="s">
        <v>554</v>
      </c>
      <c r="AO26" s="448" t="s">
        <v>481</v>
      </c>
      <c r="AP26" s="449">
        <v>0</v>
      </c>
      <c r="AQ26" s="449">
        <f t="shared" si="9"/>
        <v>0</v>
      </c>
      <c r="AU26" s="447" t="s">
        <v>553</v>
      </c>
      <c r="AV26" s="448" t="s">
        <v>361</v>
      </c>
      <c r="AW26" s="449">
        <v>1575794</v>
      </c>
      <c r="AX26" s="449">
        <v>536898</v>
      </c>
      <c r="AY26" s="449">
        <v>1038896</v>
      </c>
      <c r="AZ26" s="450">
        <f t="shared" si="10"/>
        <v>1675.0690219999999</v>
      </c>
      <c r="BA26" s="450">
        <f t="shared" si="11"/>
        <v>570.72257400000001</v>
      </c>
      <c r="BB26" s="450">
        <f t="shared" si="12"/>
        <v>1104.346448</v>
      </c>
      <c r="BF26" s="447" t="s">
        <v>554</v>
      </c>
      <c r="BG26" s="448" t="s">
        <v>368</v>
      </c>
      <c r="BH26" s="449">
        <v>20102519</v>
      </c>
      <c r="BI26" s="450">
        <f t="shared" si="13"/>
        <v>20102.519</v>
      </c>
      <c r="BM26" s="451" t="s">
        <v>553</v>
      </c>
      <c r="BN26" s="94" t="s">
        <v>361</v>
      </c>
      <c r="BO26" s="95">
        <v>0</v>
      </c>
      <c r="BP26" s="95">
        <v>1575794</v>
      </c>
      <c r="BQ26" s="95">
        <v>536898</v>
      </c>
      <c r="BR26" s="95">
        <v>1038896</v>
      </c>
      <c r="BS26" s="95">
        <v>536898</v>
      </c>
      <c r="BT26" s="450">
        <f t="shared" si="14"/>
        <v>1575.7940000000001</v>
      </c>
      <c r="BU26" s="450">
        <f t="shared" si="15"/>
        <v>536.89800000000002</v>
      </c>
      <c r="BV26" s="450">
        <f t="shared" si="16"/>
        <v>1038.896</v>
      </c>
      <c r="BW26" s="450">
        <f t="shared" si="17"/>
        <v>536.89800000000002</v>
      </c>
      <c r="CA26" s="94" t="s">
        <v>361</v>
      </c>
      <c r="CB26" s="450">
        <v>236898</v>
      </c>
      <c r="CC26" s="450">
        <f t="shared" si="18"/>
        <v>236.898</v>
      </c>
      <c r="CG26" s="448" t="s">
        <v>569</v>
      </c>
      <c r="CH26" s="449">
        <v>0</v>
      </c>
      <c r="CI26" s="449">
        <v>179920</v>
      </c>
      <c r="CJ26" s="449">
        <v>-179920</v>
      </c>
      <c r="CK26" s="449">
        <v>0</v>
      </c>
      <c r="CL26" s="449">
        <v>179920</v>
      </c>
      <c r="CM26" s="449">
        <v>0</v>
      </c>
      <c r="CN26" s="449">
        <f t="shared" si="19"/>
        <v>179.92</v>
      </c>
      <c r="CO26" s="449">
        <f t="shared" si="20"/>
        <v>0</v>
      </c>
      <c r="CP26" s="449">
        <f t="shared" si="21"/>
        <v>179.92</v>
      </c>
      <c r="CQ26" s="449">
        <f t="shared" si="22"/>
        <v>0</v>
      </c>
      <c r="CU26" s="448" t="s">
        <v>481</v>
      </c>
      <c r="CV26" s="449">
        <v>0</v>
      </c>
      <c r="CW26" s="449">
        <v>0</v>
      </c>
      <c r="CX26" s="450">
        <f t="shared" si="23"/>
        <v>0</v>
      </c>
      <c r="CY26" s="450">
        <f t="shared" si="24"/>
        <v>0</v>
      </c>
      <c r="DB26" s="602" t="s">
        <v>569</v>
      </c>
      <c r="DC26" s="603">
        <v>179920</v>
      </c>
      <c r="DD26" s="603">
        <v>0</v>
      </c>
      <c r="DE26" s="603">
        <v>179920</v>
      </c>
      <c r="DF26" s="603">
        <v>0</v>
      </c>
      <c r="DG26" s="604">
        <f t="shared" si="25"/>
        <v>179.92</v>
      </c>
      <c r="DH26" s="604">
        <f t="shared" si="26"/>
        <v>0</v>
      </c>
      <c r="DI26" s="604">
        <f t="shared" si="27"/>
        <v>179.92</v>
      </c>
      <c r="DJ26" s="604">
        <f t="shared" si="28"/>
        <v>0</v>
      </c>
      <c r="DN26" s="94" t="s">
        <v>368</v>
      </c>
      <c r="DO26" s="94">
        <v>20542686</v>
      </c>
      <c r="DP26" s="94">
        <v>20542686</v>
      </c>
      <c r="DQ26" s="666">
        <f t="shared" si="29"/>
        <v>20542.686000000002</v>
      </c>
      <c r="DR26" s="666">
        <f t="shared" si="30"/>
        <v>20542.686000000002</v>
      </c>
      <c r="DV26" s="94" t="s">
        <v>569</v>
      </c>
      <c r="DW26" s="95">
        <v>179920</v>
      </c>
      <c r="DX26" s="95">
        <v>0</v>
      </c>
      <c r="DY26" s="95">
        <v>179920</v>
      </c>
      <c r="DZ26" s="95">
        <v>0</v>
      </c>
      <c r="EA26" s="95">
        <f t="shared" si="31"/>
        <v>179.92</v>
      </c>
      <c r="EB26" s="95">
        <f t="shared" si="32"/>
        <v>0</v>
      </c>
      <c r="EC26" s="95">
        <f t="shared" si="33"/>
        <v>179.92</v>
      </c>
      <c r="ED26" s="95">
        <f t="shared" si="34"/>
        <v>0</v>
      </c>
      <c r="EH26" s="444" t="s">
        <v>364</v>
      </c>
      <c r="EI26" s="444">
        <v>1657071684</v>
      </c>
      <c r="EJ26" s="450">
        <f t="shared" si="35"/>
        <v>1657071.6839999999</v>
      </c>
      <c r="EN26" s="444" t="s">
        <v>569</v>
      </c>
      <c r="EO26" s="450">
        <v>179920</v>
      </c>
      <c r="EP26" s="450">
        <v>0</v>
      </c>
      <c r="EQ26" s="450">
        <v>179920</v>
      </c>
      <c r="ER26" s="450">
        <v>0</v>
      </c>
      <c r="ES26" s="746">
        <f t="shared" si="36"/>
        <v>179.92</v>
      </c>
      <c r="ET26" s="746">
        <f t="shared" si="37"/>
        <v>0</v>
      </c>
      <c r="EU26" s="746">
        <f t="shared" si="38"/>
        <v>179.92</v>
      </c>
      <c r="EV26" s="746">
        <f t="shared" si="39"/>
        <v>0</v>
      </c>
      <c r="EZ26" s="780" t="s">
        <v>355</v>
      </c>
      <c r="FA26" s="781" t="s">
        <v>364</v>
      </c>
      <c r="FB26" s="444">
        <v>934348566</v>
      </c>
      <c r="FC26" s="450">
        <f t="shared" si="40"/>
        <v>934348.56599999999</v>
      </c>
      <c r="FG26" s="785" t="s">
        <v>554</v>
      </c>
      <c r="FH26" s="784" t="s">
        <v>569</v>
      </c>
      <c r="FI26" s="782">
        <v>179920</v>
      </c>
      <c r="FJ26" s="783">
        <v>0</v>
      </c>
      <c r="FK26" s="783">
        <v>179920</v>
      </c>
      <c r="FL26" s="783">
        <v>0</v>
      </c>
      <c r="FM26" s="450">
        <f t="shared" si="41"/>
        <v>179.92</v>
      </c>
      <c r="FN26" s="450">
        <f t="shared" si="42"/>
        <v>0</v>
      </c>
      <c r="FO26" s="450">
        <f t="shared" si="43"/>
        <v>179.92</v>
      </c>
      <c r="FP26" s="450">
        <f t="shared" si="44"/>
        <v>0</v>
      </c>
      <c r="FT26" s="451" t="s">
        <v>554</v>
      </c>
      <c r="FU26" s="94" t="s">
        <v>362</v>
      </c>
      <c r="FV26" s="95">
        <v>0</v>
      </c>
      <c r="FW26" s="95">
        <v>0</v>
      </c>
      <c r="FX26" s="95">
        <v>0</v>
      </c>
      <c r="FY26" s="450">
        <f t="shared" si="45"/>
        <v>0</v>
      </c>
      <c r="FZ26" s="450">
        <f t="shared" si="46"/>
        <v>0</v>
      </c>
      <c r="GA26" s="450">
        <f t="shared" si="47"/>
        <v>0</v>
      </c>
      <c r="GG26" s="817" t="s">
        <v>554</v>
      </c>
      <c r="GH26" s="818" t="s">
        <v>569</v>
      </c>
      <c r="GI26" s="819">
        <v>179920</v>
      </c>
      <c r="GJ26" s="819">
        <v>0</v>
      </c>
      <c r="GK26" s="819">
        <v>179920</v>
      </c>
      <c r="GL26" s="819">
        <v>0</v>
      </c>
      <c r="GM26" s="819">
        <v>0</v>
      </c>
      <c r="GN26" s="450">
        <f t="shared" si="48"/>
        <v>179.92</v>
      </c>
      <c r="GO26" s="450">
        <f t="shared" si="49"/>
        <v>0</v>
      </c>
      <c r="GP26" s="450">
        <f t="shared" si="50"/>
        <v>179.92</v>
      </c>
      <c r="GQ26" s="450">
        <f t="shared" si="51"/>
        <v>0</v>
      </c>
      <c r="GR26" s="450">
        <f t="shared" si="52"/>
        <v>0</v>
      </c>
      <c r="GV26" s="841" t="s">
        <v>623</v>
      </c>
      <c r="GW26" s="840">
        <v>691860</v>
      </c>
      <c r="GX26" s="450">
        <f t="shared" si="53"/>
        <v>691.86</v>
      </c>
      <c r="HB26" s="843" t="s">
        <v>568</v>
      </c>
      <c r="HC26" s="819">
        <v>3554400</v>
      </c>
      <c r="HD26" s="819">
        <v>0</v>
      </c>
      <c r="HE26" s="819">
        <v>3554400</v>
      </c>
      <c r="HF26" s="819">
        <v>0</v>
      </c>
      <c r="HG26" s="450">
        <f t="shared" si="54"/>
        <v>3554.4</v>
      </c>
      <c r="HH26" s="450">
        <f t="shared" si="55"/>
        <v>3554.4</v>
      </c>
      <c r="HI26" s="450">
        <f t="shared" si="56"/>
        <v>0</v>
      </c>
      <c r="HJ26" s="450">
        <f t="shared" si="57"/>
        <v>3554.4</v>
      </c>
      <c r="HK26" s="450">
        <f t="shared" si="58"/>
        <v>0</v>
      </c>
    </row>
    <row r="27" spans="1:219" ht="15" customHeight="1" x14ac:dyDescent="0.3">
      <c r="A27" s="295" t="s">
        <v>554</v>
      </c>
      <c r="B27" s="296" t="s">
        <v>362</v>
      </c>
      <c r="C27" s="297">
        <v>397783</v>
      </c>
      <c r="D27" s="298">
        <f t="shared" si="3"/>
        <v>422.84332899999998</v>
      </c>
      <c r="E27" s="297">
        <v>0</v>
      </c>
      <c r="F27" s="297">
        <f t="shared" si="4"/>
        <v>0</v>
      </c>
      <c r="J27" s="299" t="s">
        <v>554</v>
      </c>
      <c r="K27" s="300" t="s">
        <v>571</v>
      </c>
      <c r="L27" s="301">
        <v>7160</v>
      </c>
      <c r="M27" s="301">
        <f t="shared" si="5"/>
        <v>7.6110799999999994</v>
      </c>
      <c r="Q27" s="299" t="s">
        <v>554</v>
      </c>
      <c r="R27" s="300" t="s">
        <v>362</v>
      </c>
      <c r="S27" s="301">
        <v>397783</v>
      </c>
      <c r="T27" s="301">
        <v>0</v>
      </c>
      <c r="U27" s="301">
        <f t="shared" si="6"/>
        <v>422.84332899999998</v>
      </c>
      <c r="V27" s="301">
        <f t="shared" si="7"/>
        <v>0</v>
      </c>
      <c r="Z27" s="296" t="s">
        <v>364</v>
      </c>
      <c r="AA27" s="297">
        <v>1573536388</v>
      </c>
      <c r="AB27" s="297">
        <f t="shared" si="8"/>
        <v>1672669.1804440001</v>
      </c>
      <c r="AF27" s="296" t="s">
        <v>362</v>
      </c>
      <c r="AG27" s="297">
        <v>397783</v>
      </c>
      <c r="AH27" s="297">
        <f t="shared" si="0"/>
        <v>422.84332899999998</v>
      </c>
      <c r="AI27" s="297">
        <v>0</v>
      </c>
      <c r="AL27" s="450"/>
      <c r="AN27" s="447" t="s">
        <v>355</v>
      </c>
      <c r="AO27" s="448" t="s">
        <v>364</v>
      </c>
      <c r="AP27" s="449">
        <v>869513506</v>
      </c>
      <c r="AQ27" s="449">
        <f t="shared" si="9"/>
        <v>924292.85687799996</v>
      </c>
      <c r="AU27" s="447" t="s">
        <v>554</v>
      </c>
      <c r="AV27" s="448" t="s">
        <v>362</v>
      </c>
      <c r="AW27" s="449">
        <v>397783</v>
      </c>
      <c r="AX27" s="449">
        <v>0</v>
      </c>
      <c r="AY27" s="449">
        <v>397783</v>
      </c>
      <c r="AZ27" s="450">
        <f t="shared" si="10"/>
        <v>422.84332899999998</v>
      </c>
      <c r="BA27" s="450">
        <f t="shared" si="11"/>
        <v>0</v>
      </c>
      <c r="BB27" s="450">
        <f t="shared" si="12"/>
        <v>422.84332899999998</v>
      </c>
      <c r="BF27" s="447" t="s">
        <v>554</v>
      </c>
      <c r="BG27" s="448" t="s">
        <v>572</v>
      </c>
      <c r="BH27" s="449">
        <v>8363109</v>
      </c>
      <c r="BI27" s="450">
        <f t="shared" si="13"/>
        <v>8363.1090000000004</v>
      </c>
      <c r="BM27" s="451" t="s">
        <v>554</v>
      </c>
      <c r="BN27" s="94" t="s">
        <v>362</v>
      </c>
      <c r="BO27" s="95">
        <v>0</v>
      </c>
      <c r="BP27" s="95">
        <v>397783</v>
      </c>
      <c r="BQ27" s="95">
        <v>0</v>
      </c>
      <c r="BR27" s="95">
        <v>397783</v>
      </c>
      <c r="BS27" s="95">
        <v>0</v>
      </c>
      <c r="BT27" s="450">
        <f t="shared" si="14"/>
        <v>397.78300000000002</v>
      </c>
      <c r="BU27" s="450">
        <f t="shared" si="15"/>
        <v>0</v>
      </c>
      <c r="BV27" s="450">
        <f t="shared" si="16"/>
        <v>397.78300000000002</v>
      </c>
      <c r="BW27" s="450">
        <f t="shared" si="17"/>
        <v>0</v>
      </c>
      <c r="CA27" s="94" t="s">
        <v>481</v>
      </c>
      <c r="CB27" s="450">
        <v>236898</v>
      </c>
      <c r="CC27" s="450">
        <f t="shared" si="18"/>
        <v>236.898</v>
      </c>
      <c r="CG27" s="448" t="s">
        <v>361</v>
      </c>
      <c r="CH27" s="449">
        <v>0</v>
      </c>
      <c r="CI27" s="449">
        <v>1581237</v>
      </c>
      <c r="CJ27" s="449">
        <v>-1581237</v>
      </c>
      <c r="CK27" s="449">
        <v>773796</v>
      </c>
      <c r="CL27" s="449">
        <v>807441</v>
      </c>
      <c r="CM27" s="449">
        <v>773796</v>
      </c>
      <c r="CN27" s="449">
        <f t="shared" si="19"/>
        <v>1581.2370000000001</v>
      </c>
      <c r="CO27" s="449">
        <f t="shared" si="20"/>
        <v>773.79600000000005</v>
      </c>
      <c r="CP27" s="449">
        <f t="shared" si="21"/>
        <v>807.44100000000003</v>
      </c>
      <c r="CQ27" s="449">
        <f t="shared" si="22"/>
        <v>773.79600000000005</v>
      </c>
      <c r="CU27" s="448" t="s">
        <v>364</v>
      </c>
      <c r="CV27" s="449">
        <v>927975076</v>
      </c>
      <c r="CW27" s="449">
        <v>927975076</v>
      </c>
      <c r="CX27" s="450">
        <f t="shared" si="23"/>
        <v>927975.076</v>
      </c>
      <c r="CY27" s="450">
        <f t="shared" si="24"/>
        <v>927975.076</v>
      </c>
      <c r="DB27" s="602" t="s">
        <v>361</v>
      </c>
      <c r="DC27" s="603">
        <v>1581237</v>
      </c>
      <c r="DD27" s="603">
        <v>773796</v>
      </c>
      <c r="DE27" s="603">
        <v>807441</v>
      </c>
      <c r="DF27" s="603">
        <v>773796</v>
      </c>
      <c r="DG27" s="604">
        <f t="shared" si="25"/>
        <v>1581.2370000000001</v>
      </c>
      <c r="DH27" s="604">
        <f t="shared" si="26"/>
        <v>773.79600000000005</v>
      </c>
      <c r="DI27" s="604">
        <f t="shared" si="27"/>
        <v>807.44100000000003</v>
      </c>
      <c r="DJ27" s="604">
        <f t="shared" si="28"/>
        <v>773.79600000000005</v>
      </c>
      <c r="DN27" s="94" t="s">
        <v>572</v>
      </c>
      <c r="DO27" s="94">
        <v>9208655</v>
      </c>
      <c r="DP27" s="94">
        <v>9208655</v>
      </c>
      <c r="DQ27" s="666">
        <f t="shared" si="29"/>
        <v>9208.6550000000007</v>
      </c>
      <c r="DR27" s="666">
        <f t="shared" si="30"/>
        <v>9208.6550000000007</v>
      </c>
      <c r="DV27" s="94" t="s">
        <v>361</v>
      </c>
      <c r="DW27" s="95">
        <v>1581237</v>
      </c>
      <c r="DX27" s="95">
        <v>773796</v>
      </c>
      <c r="DY27" s="95">
        <v>807441</v>
      </c>
      <c r="DZ27" s="95">
        <v>773796</v>
      </c>
      <c r="EA27" s="95">
        <f t="shared" si="31"/>
        <v>1581.2370000000001</v>
      </c>
      <c r="EB27" s="95">
        <f t="shared" si="32"/>
        <v>773.79600000000005</v>
      </c>
      <c r="EC27" s="95">
        <f t="shared" si="33"/>
        <v>807.44100000000003</v>
      </c>
      <c r="ED27" s="95">
        <f t="shared" si="34"/>
        <v>773.79600000000005</v>
      </c>
      <c r="EH27" s="444" t="s">
        <v>365</v>
      </c>
      <c r="EI27" s="444">
        <v>1267708673</v>
      </c>
      <c r="EJ27" s="450">
        <f t="shared" si="35"/>
        <v>1267708.673</v>
      </c>
      <c r="EN27" s="444" t="s">
        <v>361</v>
      </c>
      <c r="EO27" s="450">
        <v>1581237</v>
      </c>
      <c r="EP27" s="450">
        <v>967722</v>
      </c>
      <c r="EQ27" s="450">
        <v>613515</v>
      </c>
      <c r="ER27" s="450">
        <v>967722</v>
      </c>
      <c r="ES27" s="746">
        <f t="shared" si="36"/>
        <v>1581.2370000000001</v>
      </c>
      <c r="ET27" s="746">
        <f t="shared" si="37"/>
        <v>967.72199999999998</v>
      </c>
      <c r="EU27" s="746">
        <f t="shared" si="38"/>
        <v>613.51499999999999</v>
      </c>
      <c r="EV27" s="746">
        <f t="shared" si="39"/>
        <v>967.72199999999998</v>
      </c>
      <c r="EZ27" s="780" t="s">
        <v>553</v>
      </c>
      <c r="FA27" s="781" t="s">
        <v>365</v>
      </c>
      <c r="FB27" s="444">
        <v>870184908</v>
      </c>
      <c r="FC27" s="450">
        <f t="shared" si="40"/>
        <v>870184.90800000005</v>
      </c>
      <c r="FG27" s="785" t="s">
        <v>553</v>
      </c>
      <c r="FH27" s="784" t="s">
        <v>361</v>
      </c>
      <c r="FI27" s="782">
        <v>1581237</v>
      </c>
      <c r="FJ27" s="783">
        <v>967722</v>
      </c>
      <c r="FK27" s="783">
        <v>613515</v>
      </c>
      <c r="FL27" s="783">
        <v>967722</v>
      </c>
      <c r="FM27" s="450">
        <f t="shared" si="41"/>
        <v>1581.2370000000001</v>
      </c>
      <c r="FN27" s="450">
        <f t="shared" si="42"/>
        <v>967.72199999999998</v>
      </c>
      <c r="FO27" s="450">
        <f t="shared" si="43"/>
        <v>613.51499999999999</v>
      </c>
      <c r="FP27" s="450">
        <f t="shared" si="44"/>
        <v>967.72199999999998</v>
      </c>
      <c r="FT27" s="451" t="s">
        <v>355</v>
      </c>
      <c r="FU27" s="94" t="s">
        <v>364</v>
      </c>
      <c r="FV27" s="95">
        <v>295298000</v>
      </c>
      <c r="FW27" s="95">
        <v>949342005</v>
      </c>
      <c r="FX27" s="95">
        <v>949342005</v>
      </c>
      <c r="FY27" s="450">
        <f t="shared" si="45"/>
        <v>295298</v>
      </c>
      <c r="FZ27" s="450">
        <f t="shared" si="46"/>
        <v>949342.005</v>
      </c>
      <c r="GA27" s="450">
        <f t="shared" si="47"/>
        <v>949342.005</v>
      </c>
      <c r="GG27" s="817" t="s">
        <v>553</v>
      </c>
      <c r="GH27" s="818" t="s">
        <v>361</v>
      </c>
      <c r="GI27" s="819">
        <v>1581237</v>
      </c>
      <c r="GJ27" s="819">
        <v>967722</v>
      </c>
      <c r="GK27" s="819">
        <v>613515</v>
      </c>
      <c r="GL27" s="819">
        <v>967722</v>
      </c>
      <c r="GM27" s="819">
        <v>0</v>
      </c>
      <c r="GN27" s="450">
        <f t="shared" si="48"/>
        <v>1581.2370000000001</v>
      </c>
      <c r="GO27" s="450">
        <f t="shared" si="49"/>
        <v>967.72199999999998</v>
      </c>
      <c r="GP27" s="450">
        <f t="shared" si="50"/>
        <v>613.51499999999999</v>
      </c>
      <c r="GQ27" s="450">
        <f t="shared" si="51"/>
        <v>967.72199999999998</v>
      </c>
      <c r="GR27" s="450">
        <f t="shared" si="52"/>
        <v>0</v>
      </c>
      <c r="GV27" s="841" t="s">
        <v>361</v>
      </c>
      <c r="GW27" s="840">
        <v>2311346</v>
      </c>
      <c r="GX27" s="450">
        <f t="shared" si="53"/>
        <v>2311.346</v>
      </c>
      <c r="HB27" s="843" t="s">
        <v>623</v>
      </c>
      <c r="HC27" s="819">
        <v>9748000</v>
      </c>
      <c r="HD27" s="819">
        <v>8037607</v>
      </c>
      <c r="HE27" s="819">
        <v>1710393</v>
      </c>
      <c r="HF27" s="819">
        <v>8037607</v>
      </c>
      <c r="HG27" s="450">
        <f t="shared" si="54"/>
        <v>9748</v>
      </c>
      <c r="HH27" s="450">
        <f t="shared" si="55"/>
        <v>1710.393</v>
      </c>
      <c r="HI27" s="450">
        <f t="shared" si="56"/>
        <v>8037.607</v>
      </c>
      <c r="HJ27" s="450">
        <f t="shared" si="57"/>
        <v>1710.393</v>
      </c>
      <c r="HK27" s="450">
        <f t="shared" si="58"/>
        <v>8037.607</v>
      </c>
    </row>
    <row r="28" spans="1:219" ht="15" customHeight="1" x14ac:dyDescent="0.3">
      <c r="A28" s="295" t="s">
        <v>554</v>
      </c>
      <c r="B28" s="296" t="s">
        <v>481</v>
      </c>
      <c r="C28" s="297">
        <v>468353</v>
      </c>
      <c r="D28" s="298">
        <f t="shared" si="3"/>
        <v>497.859239</v>
      </c>
      <c r="E28" s="297">
        <v>0</v>
      </c>
      <c r="F28" s="297">
        <f t="shared" si="4"/>
        <v>0</v>
      </c>
      <c r="J28" s="299" t="s">
        <v>554</v>
      </c>
      <c r="K28" s="300" t="s">
        <v>572</v>
      </c>
      <c r="L28" s="301">
        <v>7217613</v>
      </c>
      <c r="M28" s="301">
        <f t="shared" si="5"/>
        <v>7672.3226189999996</v>
      </c>
      <c r="Q28" s="299" t="s">
        <v>554</v>
      </c>
      <c r="R28" s="300" t="s">
        <v>481</v>
      </c>
      <c r="S28" s="301">
        <v>468353</v>
      </c>
      <c r="T28" s="301">
        <v>0</v>
      </c>
      <c r="U28" s="301">
        <f t="shared" si="6"/>
        <v>497.859239</v>
      </c>
      <c r="V28" s="301">
        <f t="shared" si="7"/>
        <v>0</v>
      </c>
      <c r="Z28" s="296" t="s">
        <v>365</v>
      </c>
      <c r="AA28" s="297">
        <v>1201525335</v>
      </c>
      <c r="AB28" s="297">
        <f t="shared" si="8"/>
        <v>1277221.431105</v>
      </c>
      <c r="AF28" s="296" t="s">
        <v>481</v>
      </c>
      <c r="AG28" s="297">
        <v>468353</v>
      </c>
      <c r="AH28" s="297">
        <f t="shared" si="0"/>
        <v>497.859239</v>
      </c>
      <c r="AI28" s="297">
        <v>236898</v>
      </c>
      <c r="AL28" s="450"/>
      <c r="AN28" s="447" t="s">
        <v>553</v>
      </c>
      <c r="AO28" s="448" t="s">
        <v>365</v>
      </c>
      <c r="AP28" s="449">
        <v>803195126</v>
      </c>
      <c r="AQ28" s="449">
        <f t="shared" si="9"/>
        <v>853796.41893799999</v>
      </c>
      <c r="AU28" s="447" t="s">
        <v>554</v>
      </c>
      <c r="AV28" s="448" t="s">
        <v>481</v>
      </c>
      <c r="AW28" s="449">
        <v>468353</v>
      </c>
      <c r="AX28" s="449">
        <v>236898</v>
      </c>
      <c r="AY28" s="449">
        <v>231455</v>
      </c>
      <c r="AZ28" s="450">
        <f t="shared" si="10"/>
        <v>497.859239</v>
      </c>
      <c r="BA28" s="450">
        <f t="shared" si="11"/>
        <v>251.82257399999997</v>
      </c>
      <c r="BB28" s="450">
        <f t="shared" si="12"/>
        <v>246.036665</v>
      </c>
      <c r="BF28" s="447" t="s">
        <v>554</v>
      </c>
      <c r="BG28" s="448" t="s">
        <v>573</v>
      </c>
      <c r="BH28" s="449">
        <v>139935993</v>
      </c>
      <c r="BI28" s="450">
        <f t="shared" si="13"/>
        <v>139935.99299999999</v>
      </c>
      <c r="BM28" s="451" t="s">
        <v>554</v>
      </c>
      <c r="BN28" s="94" t="s">
        <v>481</v>
      </c>
      <c r="BO28" s="95">
        <v>0</v>
      </c>
      <c r="BP28" s="95">
        <v>468353</v>
      </c>
      <c r="BQ28" s="95">
        <v>236898</v>
      </c>
      <c r="BR28" s="95">
        <v>231455</v>
      </c>
      <c r="BS28" s="95">
        <v>236898</v>
      </c>
      <c r="BT28" s="450">
        <f t="shared" si="14"/>
        <v>468.35300000000001</v>
      </c>
      <c r="BU28" s="450">
        <f t="shared" si="15"/>
        <v>236.898</v>
      </c>
      <c r="BV28" s="450">
        <f t="shared" si="16"/>
        <v>231.45500000000001</v>
      </c>
      <c r="BW28" s="450">
        <f t="shared" si="17"/>
        <v>236.898</v>
      </c>
      <c r="CA28" s="94" t="s">
        <v>364</v>
      </c>
      <c r="CB28" s="450">
        <v>1656304310</v>
      </c>
      <c r="CC28" s="450">
        <f t="shared" si="18"/>
        <v>1656304.31</v>
      </c>
      <c r="CG28" s="448" t="s">
        <v>362</v>
      </c>
      <c r="CH28" s="449">
        <v>0</v>
      </c>
      <c r="CI28" s="449">
        <v>397783</v>
      </c>
      <c r="CJ28" s="449">
        <v>-397783</v>
      </c>
      <c r="CK28" s="449">
        <v>0</v>
      </c>
      <c r="CL28" s="449">
        <v>397783</v>
      </c>
      <c r="CM28" s="449">
        <v>0</v>
      </c>
      <c r="CN28" s="449">
        <f t="shared" si="19"/>
        <v>397.78300000000002</v>
      </c>
      <c r="CO28" s="449">
        <f t="shared" si="20"/>
        <v>0</v>
      </c>
      <c r="CP28" s="449">
        <f t="shared" si="21"/>
        <v>397.78300000000002</v>
      </c>
      <c r="CQ28" s="449">
        <f t="shared" si="22"/>
        <v>0</v>
      </c>
      <c r="CU28" s="448" t="s">
        <v>365</v>
      </c>
      <c r="CV28" s="449">
        <v>854272355</v>
      </c>
      <c r="CW28" s="449">
        <v>854272355</v>
      </c>
      <c r="CX28" s="450">
        <f t="shared" si="23"/>
        <v>854272.35499999998</v>
      </c>
      <c r="CY28" s="450">
        <f t="shared" si="24"/>
        <v>854272.35499999998</v>
      </c>
      <c r="DB28" s="602" t="s">
        <v>362</v>
      </c>
      <c r="DC28" s="603">
        <v>397783</v>
      </c>
      <c r="DD28" s="603">
        <v>0</v>
      </c>
      <c r="DE28" s="603">
        <v>397783</v>
      </c>
      <c r="DF28" s="603">
        <v>0</v>
      </c>
      <c r="DG28" s="604">
        <f t="shared" si="25"/>
        <v>397.78300000000002</v>
      </c>
      <c r="DH28" s="604">
        <f t="shared" si="26"/>
        <v>0</v>
      </c>
      <c r="DI28" s="604">
        <f t="shared" si="27"/>
        <v>397.78300000000002</v>
      </c>
      <c r="DJ28" s="604">
        <f t="shared" si="28"/>
        <v>0</v>
      </c>
      <c r="DN28" s="94" t="s">
        <v>573</v>
      </c>
      <c r="DO28" s="94">
        <v>139517099</v>
      </c>
      <c r="DP28" s="94">
        <v>139517099</v>
      </c>
      <c r="DQ28" s="666">
        <f t="shared" si="29"/>
        <v>139517.09899999999</v>
      </c>
      <c r="DR28" s="666">
        <f t="shared" si="30"/>
        <v>139517.09899999999</v>
      </c>
      <c r="DV28" s="94" t="s">
        <v>362</v>
      </c>
      <c r="DW28" s="95">
        <v>397783</v>
      </c>
      <c r="DX28" s="95">
        <v>0</v>
      </c>
      <c r="DY28" s="95">
        <v>397783</v>
      </c>
      <c r="DZ28" s="95">
        <v>0</v>
      </c>
      <c r="EA28" s="95">
        <f t="shared" si="31"/>
        <v>397.78300000000002</v>
      </c>
      <c r="EB28" s="95">
        <f t="shared" si="32"/>
        <v>0</v>
      </c>
      <c r="EC28" s="95">
        <f t="shared" si="33"/>
        <v>397.78300000000002</v>
      </c>
      <c r="ED28" s="95">
        <f t="shared" si="34"/>
        <v>0</v>
      </c>
      <c r="EH28" s="444" t="s">
        <v>366</v>
      </c>
      <c r="EI28" s="444">
        <v>209514663</v>
      </c>
      <c r="EJ28" s="450">
        <f t="shared" si="35"/>
        <v>209514.663</v>
      </c>
      <c r="EN28" s="444" t="s">
        <v>362</v>
      </c>
      <c r="EO28" s="450">
        <v>397783</v>
      </c>
      <c r="EP28" s="450">
        <v>193926</v>
      </c>
      <c r="EQ28" s="450">
        <v>203857</v>
      </c>
      <c r="ER28" s="450">
        <v>193926</v>
      </c>
      <c r="ES28" s="746">
        <f t="shared" si="36"/>
        <v>397.78300000000002</v>
      </c>
      <c r="ET28" s="746">
        <f t="shared" si="37"/>
        <v>193.92599999999999</v>
      </c>
      <c r="EU28" s="746">
        <f t="shared" si="38"/>
        <v>203.857</v>
      </c>
      <c r="EV28" s="746">
        <f t="shared" si="39"/>
        <v>193.92599999999999</v>
      </c>
      <c r="EZ28" s="780" t="s">
        <v>554</v>
      </c>
      <c r="FA28" s="781" t="s">
        <v>366</v>
      </c>
      <c r="FB28" s="444">
        <v>209952193</v>
      </c>
      <c r="FC28" s="450">
        <f t="shared" si="40"/>
        <v>209952.193</v>
      </c>
      <c r="FG28" s="785" t="s">
        <v>554</v>
      </c>
      <c r="FH28" s="784" t="s">
        <v>362</v>
      </c>
      <c r="FI28" s="782">
        <v>397783</v>
      </c>
      <c r="FJ28" s="783">
        <v>193926</v>
      </c>
      <c r="FK28" s="783">
        <v>203857</v>
      </c>
      <c r="FL28" s="783">
        <v>193926</v>
      </c>
      <c r="FM28" s="450">
        <f t="shared" si="41"/>
        <v>397.78300000000002</v>
      </c>
      <c r="FN28" s="450">
        <f t="shared" si="42"/>
        <v>193.92599999999999</v>
      </c>
      <c r="FO28" s="450">
        <f t="shared" si="43"/>
        <v>203.857</v>
      </c>
      <c r="FP28" s="450">
        <f t="shared" si="44"/>
        <v>193.92599999999999</v>
      </c>
      <c r="FT28" s="451" t="s">
        <v>553</v>
      </c>
      <c r="FU28" s="94" t="s">
        <v>365</v>
      </c>
      <c r="FV28" s="95">
        <v>282645000</v>
      </c>
      <c r="FW28" s="95">
        <v>868598143</v>
      </c>
      <c r="FX28" s="95">
        <v>868598143</v>
      </c>
      <c r="FY28" s="450">
        <f t="shared" si="45"/>
        <v>282645</v>
      </c>
      <c r="FZ28" s="450">
        <f t="shared" si="46"/>
        <v>868598.14300000004</v>
      </c>
      <c r="GA28" s="450">
        <f t="shared" si="47"/>
        <v>868598.14300000004</v>
      </c>
      <c r="GG28" s="817" t="s">
        <v>554</v>
      </c>
      <c r="GH28" s="818" t="s">
        <v>362</v>
      </c>
      <c r="GI28" s="819">
        <v>397783</v>
      </c>
      <c r="GJ28" s="819">
        <v>193926</v>
      </c>
      <c r="GK28" s="819">
        <v>203857</v>
      </c>
      <c r="GL28" s="819">
        <v>193926</v>
      </c>
      <c r="GM28" s="819">
        <v>0</v>
      </c>
      <c r="GN28" s="450">
        <f t="shared" si="48"/>
        <v>397.78300000000002</v>
      </c>
      <c r="GO28" s="450">
        <f t="shared" si="49"/>
        <v>193.92599999999999</v>
      </c>
      <c r="GP28" s="450">
        <f t="shared" si="50"/>
        <v>203.857</v>
      </c>
      <c r="GQ28" s="450">
        <f t="shared" si="51"/>
        <v>193.92599999999999</v>
      </c>
      <c r="GR28" s="450">
        <f t="shared" si="52"/>
        <v>0</v>
      </c>
      <c r="GV28" s="841" t="s">
        <v>362</v>
      </c>
      <c r="GW28" s="840">
        <v>426346</v>
      </c>
      <c r="GX28" s="450">
        <f t="shared" si="53"/>
        <v>426.346</v>
      </c>
      <c r="HB28" s="843" t="s">
        <v>569</v>
      </c>
      <c r="HC28" s="819">
        <v>0</v>
      </c>
      <c r="HD28" s="819">
        <v>0</v>
      </c>
      <c r="HE28" s="819">
        <v>0</v>
      </c>
      <c r="HF28" s="819">
        <v>0</v>
      </c>
      <c r="HG28" s="450">
        <f t="shared" si="54"/>
        <v>0</v>
      </c>
      <c r="HH28" s="450">
        <f t="shared" si="55"/>
        <v>0</v>
      </c>
      <c r="HI28" s="450">
        <f t="shared" si="56"/>
        <v>0</v>
      </c>
      <c r="HJ28" s="450">
        <f t="shared" si="57"/>
        <v>0</v>
      </c>
      <c r="HK28" s="450">
        <f t="shared" si="58"/>
        <v>0</v>
      </c>
    </row>
    <row r="29" spans="1:219" ht="15" customHeight="1" x14ac:dyDescent="0.3">
      <c r="A29" s="295" t="s">
        <v>554</v>
      </c>
      <c r="B29" s="296" t="s">
        <v>363</v>
      </c>
      <c r="C29" s="297">
        <v>709658</v>
      </c>
      <c r="D29" s="298">
        <f t="shared" si="3"/>
        <v>754.36645399999998</v>
      </c>
      <c r="E29" s="297">
        <v>300000</v>
      </c>
      <c r="F29" s="297">
        <f t="shared" si="4"/>
        <v>318.89999999999998</v>
      </c>
      <c r="J29" s="299" t="s">
        <v>554</v>
      </c>
      <c r="K29" s="300" t="s">
        <v>573</v>
      </c>
      <c r="L29" s="301">
        <v>135096518</v>
      </c>
      <c r="M29" s="301">
        <f t="shared" si="5"/>
        <v>143607.59863399999</v>
      </c>
      <c r="Q29" s="299" t="s">
        <v>554</v>
      </c>
      <c r="R29" s="300" t="s">
        <v>363</v>
      </c>
      <c r="S29" s="301">
        <v>709658</v>
      </c>
      <c r="T29" s="301">
        <v>300000</v>
      </c>
      <c r="U29" s="301">
        <f t="shared" si="6"/>
        <v>754.36645399999998</v>
      </c>
      <c r="V29" s="301">
        <f t="shared" si="7"/>
        <v>318.89999999999998</v>
      </c>
      <c r="Z29" s="296" t="s">
        <v>366</v>
      </c>
      <c r="AA29" s="297">
        <v>201579229</v>
      </c>
      <c r="AB29" s="297">
        <f t="shared" si="8"/>
        <v>214278.72042699999</v>
      </c>
      <c r="AF29" s="296" t="s">
        <v>363</v>
      </c>
      <c r="AG29" s="297">
        <v>709658</v>
      </c>
      <c r="AH29" s="297">
        <f t="shared" si="0"/>
        <v>754.36645399999998</v>
      </c>
      <c r="AI29" s="297">
        <v>300000</v>
      </c>
      <c r="AL29" s="450"/>
      <c r="AN29" s="447" t="s">
        <v>554</v>
      </c>
      <c r="AO29" s="448" t="s">
        <v>366</v>
      </c>
      <c r="AP29" s="449">
        <v>196086626</v>
      </c>
      <c r="AQ29" s="449">
        <f t="shared" si="9"/>
        <v>208440.08343799997</v>
      </c>
      <c r="AU29" s="447" t="s">
        <v>554</v>
      </c>
      <c r="AV29" s="448" t="s">
        <v>363</v>
      </c>
      <c r="AW29" s="449">
        <v>709658</v>
      </c>
      <c r="AX29" s="449">
        <v>300000</v>
      </c>
      <c r="AY29" s="449">
        <v>409658</v>
      </c>
      <c r="AZ29" s="450">
        <f t="shared" si="10"/>
        <v>754.36645399999998</v>
      </c>
      <c r="BA29" s="450">
        <f t="shared" si="11"/>
        <v>318.89999999999998</v>
      </c>
      <c r="BB29" s="450">
        <f t="shared" si="12"/>
        <v>435.466454</v>
      </c>
      <c r="BF29" s="447" t="s">
        <v>554</v>
      </c>
      <c r="BG29" s="448" t="s">
        <v>574</v>
      </c>
      <c r="BH29" s="449">
        <v>332147168</v>
      </c>
      <c r="BI29" s="450">
        <f t="shared" si="13"/>
        <v>332147.16800000001</v>
      </c>
      <c r="BM29" s="451" t="s">
        <v>554</v>
      </c>
      <c r="BN29" s="94" t="s">
        <v>363</v>
      </c>
      <c r="BO29" s="95">
        <v>0</v>
      </c>
      <c r="BP29" s="95">
        <v>709658</v>
      </c>
      <c r="BQ29" s="95">
        <v>300000</v>
      </c>
      <c r="BR29" s="95">
        <v>409658</v>
      </c>
      <c r="BS29" s="95">
        <v>300000</v>
      </c>
      <c r="BT29" s="450">
        <f t="shared" si="14"/>
        <v>709.65800000000002</v>
      </c>
      <c r="BU29" s="450">
        <f t="shared" si="15"/>
        <v>300</v>
      </c>
      <c r="BV29" s="450">
        <f t="shared" si="16"/>
        <v>409.65800000000002</v>
      </c>
      <c r="BW29" s="450">
        <f t="shared" si="17"/>
        <v>300</v>
      </c>
      <c r="CA29" s="94" t="s">
        <v>365</v>
      </c>
      <c r="CB29" s="450">
        <v>1274423847</v>
      </c>
      <c r="CC29" s="450">
        <f t="shared" si="18"/>
        <v>1274423.8470000001</v>
      </c>
      <c r="CG29" s="448" t="s">
        <v>481</v>
      </c>
      <c r="CH29" s="449">
        <v>0</v>
      </c>
      <c r="CI29" s="449">
        <v>473796</v>
      </c>
      <c r="CJ29" s="449">
        <v>-473796</v>
      </c>
      <c r="CK29" s="449">
        <v>473796</v>
      </c>
      <c r="CL29" s="449">
        <v>0</v>
      </c>
      <c r="CM29" s="449">
        <v>473796</v>
      </c>
      <c r="CN29" s="449">
        <f t="shared" si="19"/>
        <v>473.79599999999999</v>
      </c>
      <c r="CO29" s="449">
        <f t="shared" si="20"/>
        <v>473.79599999999999</v>
      </c>
      <c r="CP29" s="449">
        <f t="shared" si="21"/>
        <v>0</v>
      </c>
      <c r="CQ29" s="449">
        <f t="shared" si="22"/>
        <v>473.79599999999999</v>
      </c>
      <c r="CU29" s="448" t="s">
        <v>366</v>
      </c>
      <c r="CV29" s="449">
        <v>206515253</v>
      </c>
      <c r="CW29" s="449">
        <v>206515253</v>
      </c>
      <c r="CX29" s="450">
        <f t="shared" si="23"/>
        <v>206515.253</v>
      </c>
      <c r="CY29" s="450">
        <f t="shared" si="24"/>
        <v>206515.253</v>
      </c>
      <c r="DB29" s="602" t="s">
        <v>481</v>
      </c>
      <c r="DC29" s="603">
        <v>473796</v>
      </c>
      <c r="DD29" s="603">
        <v>473796</v>
      </c>
      <c r="DE29" s="603">
        <v>0</v>
      </c>
      <c r="DF29" s="603">
        <v>473796</v>
      </c>
      <c r="DG29" s="604">
        <f t="shared" si="25"/>
        <v>473.79599999999999</v>
      </c>
      <c r="DH29" s="604">
        <f t="shared" si="26"/>
        <v>473.79599999999999</v>
      </c>
      <c r="DI29" s="604">
        <f t="shared" si="27"/>
        <v>0</v>
      </c>
      <c r="DJ29" s="604">
        <f t="shared" si="28"/>
        <v>473.79599999999999</v>
      </c>
      <c r="DN29" s="94" t="s">
        <v>574</v>
      </c>
      <c r="DO29" s="94">
        <v>330734148</v>
      </c>
      <c r="DP29" s="94">
        <v>330734148</v>
      </c>
      <c r="DQ29" s="666">
        <f t="shared" si="29"/>
        <v>330734.14799999999</v>
      </c>
      <c r="DR29" s="666">
        <f t="shared" si="30"/>
        <v>330734.14799999999</v>
      </c>
      <c r="DV29" s="94" t="s">
        <v>481</v>
      </c>
      <c r="DW29" s="95">
        <v>473796</v>
      </c>
      <c r="DX29" s="95">
        <v>473796</v>
      </c>
      <c r="DY29" s="95">
        <v>0</v>
      </c>
      <c r="DZ29" s="95">
        <v>473796</v>
      </c>
      <c r="EA29" s="95">
        <f t="shared" si="31"/>
        <v>473.79599999999999</v>
      </c>
      <c r="EB29" s="95">
        <f t="shared" si="32"/>
        <v>473.79599999999999</v>
      </c>
      <c r="EC29" s="95">
        <f t="shared" si="33"/>
        <v>0</v>
      </c>
      <c r="ED29" s="95">
        <f t="shared" si="34"/>
        <v>473.79599999999999</v>
      </c>
      <c r="EH29" s="444" t="s">
        <v>570</v>
      </c>
      <c r="EI29" s="444">
        <v>10302860</v>
      </c>
      <c r="EJ29" s="450">
        <f t="shared" si="35"/>
        <v>10302.86</v>
      </c>
      <c r="EN29" s="444" t="s">
        <v>481</v>
      </c>
      <c r="EO29" s="450">
        <v>473796</v>
      </c>
      <c r="EP29" s="450">
        <v>473796</v>
      </c>
      <c r="EQ29" s="450">
        <v>0</v>
      </c>
      <c r="ER29" s="450">
        <v>473796</v>
      </c>
      <c r="ES29" s="746">
        <f t="shared" si="36"/>
        <v>473.79599999999999</v>
      </c>
      <c r="ET29" s="746">
        <f t="shared" si="37"/>
        <v>473.79599999999999</v>
      </c>
      <c r="EU29" s="746">
        <f t="shared" si="38"/>
        <v>0</v>
      </c>
      <c r="EV29" s="746">
        <f t="shared" si="39"/>
        <v>473.79599999999999</v>
      </c>
      <c r="EZ29" s="780" t="s">
        <v>554</v>
      </c>
      <c r="FA29" s="781" t="s">
        <v>570</v>
      </c>
      <c r="FB29" s="444">
        <v>9152235</v>
      </c>
      <c r="FC29" s="450">
        <f t="shared" si="40"/>
        <v>9152.2350000000006</v>
      </c>
      <c r="FG29" s="785" t="s">
        <v>554</v>
      </c>
      <c r="FH29" s="784" t="s">
        <v>481</v>
      </c>
      <c r="FI29" s="782">
        <v>473796</v>
      </c>
      <c r="FJ29" s="783">
        <v>473796</v>
      </c>
      <c r="FK29" s="783">
        <v>0</v>
      </c>
      <c r="FL29" s="783">
        <v>473796</v>
      </c>
      <c r="FM29" s="450">
        <f t="shared" si="41"/>
        <v>473.79599999999999</v>
      </c>
      <c r="FN29" s="450">
        <f t="shared" si="42"/>
        <v>473.79599999999999</v>
      </c>
      <c r="FO29" s="450">
        <f t="shared" si="43"/>
        <v>0</v>
      </c>
      <c r="FP29" s="450">
        <f t="shared" si="44"/>
        <v>473.79599999999999</v>
      </c>
      <c r="FT29" s="451" t="s">
        <v>554</v>
      </c>
      <c r="FU29" s="94" t="s">
        <v>366</v>
      </c>
      <c r="FV29" s="95">
        <v>-264827910</v>
      </c>
      <c r="FW29" s="95">
        <v>209554280</v>
      </c>
      <c r="FX29" s="95">
        <v>209554280</v>
      </c>
      <c r="FY29" s="450">
        <f t="shared" si="45"/>
        <v>-264827.90999999997</v>
      </c>
      <c r="FZ29" s="450">
        <f t="shared" si="46"/>
        <v>209554.28</v>
      </c>
      <c r="GA29" s="450">
        <f t="shared" si="47"/>
        <v>209554.28</v>
      </c>
      <c r="GG29" s="817" t="s">
        <v>554</v>
      </c>
      <c r="GH29" s="818" t="s">
        <v>481</v>
      </c>
      <c r="GI29" s="819">
        <v>473796</v>
      </c>
      <c r="GJ29" s="819">
        <v>473796</v>
      </c>
      <c r="GK29" s="819">
        <v>0</v>
      </c>
      <c r="GL29" s="819">
        <v>473796</v>
      </c>
      <c r="GM29" s="819">
        <v>0</v>
      </c>
      <c r="GN29" s="450">
        <f t="shared" si="48"/>
        <v>473.79599999999999</v>
      </c>
      <c r="GO29" s="450">
        <f t="shared" si="49"/>
        <v>473.79599999999999</v>
      </c>
      <c r="GP29" s="450">
        <f t="shared" si="50"/>
        <v>0</v>
      </c>
      <c r="GQ29" s="450">
        <f t="shared" si="51"/>
        <v>473.79599999999999</v>
      </c>
      <c r="GR29" s="450">
        <f t="shared" si="52"/>
        <v>0</v>
      </c>
      <c r="GV29" s="841" t="s">
        <v>363</v>
      </c>
      <c r="GW29" s="840">
        <v>1885000</v>
      </c>
      <c r="GX29" s="450">
        <f t="shared" si="53"/>
        <v>1885</v>
      </c>
      <c r="HB29" s="843" t="s">
        <v>361</v>
      </c>
      <c r="HC29" s="819">
        <v>3881237</v>
      </c>
      <c r="HD29" s="819">
        <v>3279068</v>
      </c>
      <c r="HE29" s="819">
        <v>602169</v>
      </c>
      <c r="HF29" s="819">
        <v>3279068</v>
      </c>
      <c r="HG29" s="450">
        <f t="shared" si="54"/>
        <v>3881.2370000000001</v>
      </c>
      <c r="HH29" s="450">
        <f t="shared" si="55"/>
        <v>602.16899999999998</v>
      </c>
      <c r="HI29" s="450">
        <f t="shared" si="56"/>
        <v>3279.0680000000002</v>
      </c>
      <c r="HJ29" s="450">
        <f t="shared" si="57"/>
        <v>602.16899999999998</v>
      </c>
      <c r="HK29" s="450">
        <f t="shared" si="58"/>
        <v>3279.0680000000002</v>
      </c>
    </row>
    <row r="30" spans="1:219" ht="15" customHeight="1" x14ac:dyDescent="0.3">
      <c r="A30" s="295" t="s">
        <v>355</v>
      </c>
      <c r="B30" s="296" t="s">
        <v>364</v>
      </c>
      <c r="C30" s="297">
        <v>13348357211</v>
      </c>
      <c r="D30" s="298">
        <f t="shared" si="3"/>
        <v>14189303.715292998</v>
      </c>
      <c r="E30" s="297">
        <v>916804273</v>
      </c>
      <c r="F30" s="297">
        <f t="shared" si="4"/>
        <v>974562.94219900004</v>
      </c>
      <c r="J30" s="299" t="s">
        <v>554</v>
      </c>
      <c r="K30" s="300" t="s">
        <v>574</v>
      </c>
      <c r="L30" s="301">
        <v>320776547</v>
      </c>
      <c r="M30" s="301">
        <f t="shared" si="5"/>
        <v>340985.469461</v>
      </c>
      <c r="Q30" s="299" t="s">
        <v>355</v>
      </c>
      <c r="R30" s="300" t="s">
        <v>364</v>
      </c>
      <c r="S30" s="301">
        <v>13348357211</v>
      </c>
      <c r="T30" s="301">
        <v>1813385153</v>
      </c>
      <c r="U30" s="301">
        <f t="shared" si="6"/>
        <v>14189303.715292998</v>
      </c>
      <c r="V30" s="301">
        <f t="shared" si="7"/>
        <v>1927628.4176389999</v>
      </c>
      <c r="Z30" s="296" t="s">
        <v>570</v>
      </c>
      <c r="AA30" s="297">
        <v>8769833</v>
      </c>
      <c r="AB30" s="297">
        <f t="shared" si="8"/>
        <v>9322.3324790000006</v>
      </c>
      <c r="AF30" s="296" t="s">
        <v>364</v>
      </c>
      <c r="AG30" s="297">
        <v>13350157211</v>
      </c>
      <c r="AH30" s="297">
        <f t="shared" si="0"/>
        <v>14191217.115292998</v>
      </c>
      <c r="AI30" s="297">
        <v>3386921541</v>
      </c>
      <c r="AL30" s="450"/>
      <c r="AN30" s="447" t="s">
        <v>554</v>
      </c>
      <c r="AO30" s="448" t="s">
        <v>570</v>
      </c>
      <c r="AP30" s="449">
        <v>8703197</v>
      </c>
      <c r="AQ30" s="449">
        <f t="shared" si="9"/>
        <v>9251.4984110000005</v>
      </c>
      <c r="AU30" s="447" t="s">
        <v>355</v>
      </c>
      <c r="AV30" s="448" t="s">
        <v>364</v>
      </c>
      <c r="AW30" s="449">
        <v>13343697211</v>
      </c>
      <c r="AX30" s="449">
        <v>4256435047</v>
      </c>
      <c r="AY30" s="449">
        <v>9087262164</v>
      </c>
      <c r="AZ30" s="450">
        <f t="shared" si="10"/>
        <v>14184350.135292998</v>
      </c>
      <c r="BA30" s="450">
        <f t="shared" si="11"/>
        <v>4524590.454961</v>
      </c>
      <c r="BB30" s="450">
        <f t="shared" si="12"/>
        <v>9659759.6803319994</v>
      </c>
      <c r="BF30" s="447" t="s">
        <v>554</v>
      </c>
      <c r="BG30" s="448" t="s">
        <v>575</v>
      </c>
      <c r="BH30" s="449">
        <v>1090074</v>
      </c>
      <c r="BI30" s="450">
        <f t="shared" si="13"/>
        <v>1090.0740000000001</v>
      </c>
      <c r="BM30" s="451" t="s">
        <v>355</v>
      </c>
      <c r="BN30" s="94" t="s">
        <v>364</v>
      </c>
      <c r="BO30" s="95">
        <v>0</v>
      </c>
      <c r="BP30" s="95">
        <v>13342835211</v>
      </c>
      <c r="BQ30" s="95">
        <v>5190671739</v>
      </c>
      <c r="BR30" s="95">
        <v>8152163472</v>
      </c>
      <c r="BS30" s="95">
        <v>5190671739</v>
      </c>
      <c r="BT30" s="450">
        <f t="shared" si="14"/>
        <v>13342835.210999999</v>
      </c>
      <c r="BU30" s="450">
        <f t="shared" si="15"/>
        <v>5190671.7390000001</v>
      </c>
      <c r="BV30" s="450">
        <f t="shared" si="16"/>
        <v>8152163.4720000001</v>
      </c>
      <c r="BW30" s="450">
        <f t="shared" si="17"/>
        <v>5190671.7390000001</v>
      </c>
      <c r="CA30" s="94" t="s">
        <v>366</v>
      </c>
      <c r="CB30" s="450">
        <v>215359416</v>
      </c>
      <c r="CC30" s="450">
        <f t="shared" si="18"/>
        <v>215359.416</v>
      </c>
      <c r="CG30" s="448" t="s">
        <v>363</v>
      </c>
      <c r="CH30" s="449">
        <v>0</v>
      </c>
      <c r="CI30" s="449">
        <v>709658</v>
      </c>
      <c r="CJ30" s="449">
        <v>-709658</v>
      </c>
      <c r="CK30" s="449">
        <v>300000</v>
      </c>
      <c r="CL30" s="449">
        <v>409658</v>
      </c>
      <c r="CM30" s="449">
        <v>300000</v>
      </c>
      <c r="CN30" s="449">
        <f t="shared" si="19"/>
        <v>709.65800000000002</v>
      </c>
      <c r="CO30" s="449">
        <f t="shared" si="20"/>
        <v>300</v>
      </c>
      <c r="CP30" s="449">
        <f t="shared" si="21"/>
        <v>409.65800000000002</v>
      </c>
      <c r="CQ30" s="449">
        <f t="shared" si="22"/>
        <v>300</v>
      </c>
      <c r="CU30" s="448" t="s">
        <v>570</v>
      </c>
      <c r="CV30" s="449">
        <v>9094411</v>
      </c>
      <c r="CW30" s="449">
        <v>9094411</v>
      </c>
      <c r="CX30" s="450">
        <f t="shared" si="23"/>
        <v>9094.4110000000001</v>
      </c>
      <c r="CY30" s="450">
        <f t="shared" si="24"/>
        <v>9094.4110000000001</v>
      </c>
      <c r="DB30" s="602" t="s">
        <v>363</v>
      </c>
      <c r="DC30" s="603">
        <v>709658</v>
      </c>
      <c r="DD30" s="603">
        <v>300000</v>
      </c>
      <c r="DE30" s="603">
        <v>409658</v>
      </c>
      <c r="DF30" s="603">
        <v>300000</v>
      </c>
      <c r="DG30" s="604">
        <f t="shared" si="25"/>
        <v>709.65800000000002</v>
      </c>
      <c r="DH30" s="604">
        <f t="shared" si="26"/>
        <v>300</v>
      </c>
      <c r="DI30" s="604">
        <f t="shared" si="27"/>
        <v>409.65800000000002</v>
      </c>
      <c r="DJ30" s="604">
        <f t="shared" si="28"/>
        <v>300</v>
      </c>
      <c r="DN30" s="94" t="s">
        <v>575</v>
      </c>
      <c r="DO30" s="94">
        <v>120502</v>
      </c>
      <c r="DP30" s="94">
        <v>120502</v>
      </c>
      <c r="DQ30" s="666">
        <f t="shared" si="29"/>
        <v>120.502</v>
      </c>
      <c r="DR30" s="666">
        <f t="shared" si="30"/>
        <v>120.502</v>
      </c>
      <c r="DV30" s="94" t="s">
        <v>363</v>
      </c>
      <c r="DW30" s="95">
        <v>709658</v>
      </c>
      <c r="DX30" s="95">
        <v>300000</v>
      </c>
      <c r="DY30" s="95">
        <v>409658</v>
      </c>
      <c r="DZ30" s="95">
        <v>300000</v>
      </c>
      <c r="EA30" s="95">
        <f t="shared" si="31"/>
        <v>709.65800000000002</v>
      </c>
      <c r="EB30" s="95">
        <f t="shared" si="32"/>
        <v>300</v>
      </c>
      <c r="EC30" s="95">
        <f t="shared" si="33"/>
        <v>409.65800000000002</v>
      </c>
      <c r="ED30" s="95">
        <f t="shared" si="34"/>
        <v>300</v>
      </c>
      <c r="EH30" s="444" t="s">
        <v>367</v>
      </c>
      <c r="EI30" s="444">
        <v>145675904</v>
      </c>
      <c r="EJ30" s="450">
        <f t="shared" si="35"/>
        <v>145675.90400000001</v>
      </c>
      <c r="EN30" s="444" t="s">
        <v>363</v>
      </c>
      <c r="EO30" s="450">
        <v>709658</v>
      </c>
      <c r="EP30" s="450">
        <v>300000</v>
      </c>
      <c r="EQ30" s="450">
        <v>409658</v>
      </c>
      <c r="ER30" s="450">
        <v>300000</v>
      </c>
      <c r="ES30" s="746">
        <f t="shared" si="36"/>
        <v>709.65800000000002</v>
      </c>
      <c r="ET30" s="746">
        <f t="shared" si="37"/>
        <v>300</v>
      </c>
      <c r="EU30" s="746">
        <f t="shared" si="38"/>
        <v>409.65800000000002</v>
      </c>
      <c r="EV30" s="746">
        <f t="shared" si="39"/>
        <v>300</v>
      </c>
      <c r="EZ30" s="780" t="s">
        <v>554</v>
      </c>
      <c r="FA30" s="781" t="s">
        <v>367</v>
      </c>
      <c r="FB30" s="444">
        <v>146439213</v>
      </c>
      <c r="FC30" s="450">
        <f t="shared" si="40"/>
        <v>146439.21299999999</v>
      </c>
      <c r="FG30" s="785" t="s">
        <v>554</v>
      </c>
      <c r="FH30" s="784" t="s">
        <v>363</v>
      </c>
      <c r="FI30" s="782">
        <v>709658</v>
      </c>
      <c r="FJ30" s="783">
        <v>300000</v>
      </c>
      <c r="FK30" s="783">
        <v>409658</v>
      </c>
      <c r="FL30" s="783">
        <v>300000</v>
      </c>
      <c r="FM30" s="450">
        <f t="shared" si="41"/>
        <v>709.65800000000002</v>
      </c>
      <c r="FN30" s="450">
        <f t="shared" si="42"/>
        <v>300</v>
      </c>
      <c r="FO30" s="450">
        <f t="shared" si="43"/>
        <v>409.65800000000002</v>
      </c>
      <c r="FP30" s="450">
        <f t="shared" si="44"/>
        <v>300</v>
      </c>
      <c r="FT30" s="451" t="s">
        <v>554</v>
      </c>
      <c r="FU30" s="94" t="s">
        <v>570</v>
      </c>
      <c r="FV30" s="95">
        <v>13983640</v>
      </c>
      <c r="FW30" s="95">
        <v>9247314</v>
      </c>
      <c r="FX30" s="95">
        <v>9247314</v>
      </c>
      <c r="FY30" s="450">
        <f t="shared" si="45"/>
        <v>13983.64</v>
      </c>
      <c r="FZ30" s="450">
        <f t="shared" si="46"/>
        <v>9247.3140000000003</v>
      </c>
      <c r="GA30" s="450">
        <f t="shared" si="47"/>
        <v>9247.3140000000003</v>
      </c>
      <c r="GG30" s="817" t="s">
        <v>554</v>
      </c>
      <c r="GH30" s="818" t="s">
        <v>363</v>
      </c>
      <c r="GI30" s="819">
        <v>709658</v>
      </c>
      <c r="GJ30" s="819">
        <v>300000</v>
      </c>
      <c r="GK30" s="819">
        <v>409658</v>
      </c>
      <c r="GL30" s="819">
        <v>300000</v>
      </c>
      <c r="GM30" s="819">
        <v>0</v>
      </c>
      <c r="GN30" s="450">
        <f t="shared" si="48"/>
        <v>709.65800000000002</v>
      </c>
      <c r="GO30" s="450">
        <f t="shared" si="49"/>
        <v>300</v>
      </c>
      <c r="GP30" s="450">
        <f t="shared" si="50"/>
        <v>409.65800000000002</v>
      </c>
      <c r="GQ30" s="450">
        <f t="shared" si="51"/>
        <v>300</v>
      </c>
      <c r="GR30" s="450">
        <f t="shared" si="52"/>
        <v>0</v>
      </c>
      <c r="GV30" s="841" t="s">
        <v>364</v>
      </c>
      <c r="GW30" s="840">
        <v>1873565451</v>
      </c>
      <c r="GX30" s="450">
        <f t="shared" si="53"/>
        <v>1873565.4509999999</v>
      </c>
      <c r="HB30" s="843" t="s">
        <v>362</v>
      </c>
      <c r="HC30" s="819">
        <v>697783</v>
      </c>
      <c r="HD30" s="819">
        <v>620272</v>
      </c>
      <c r="HE30" s="819">
        <v>77511</v>
      </c>
      <c r="HF30" s="819">
        <v>620272</v>
      </c>
      <c r="HG30" s="450">
        <f t="shared" si="54"/>
        <v>697.78300000000002</v>
      </c>
      <c r="HH30" s="450">
        <f t="shared" si="55"/>
        <v>77.510999999999996</v>
      </c>
      <c r="HI30" s="450">
        <f t="shared" si="56"/>
        <v>620.27200000000005</v>
      </c>
      <c r="HJ30" s="450">
        <f t="shared" si="57"/>
        <v>77.510999999999996</v>
      </c>
      <c r="HK30" s="450">
        <f t="shared" si="58"/>
        <v>620.27200000000005</v>
      </c>
    </row>
    <row r="31" spans="1:219" ht="15" customHeight="1" x14ac:dyDescent="0.3">
      <c r="A31" s="295" t="s">
        <v>553</v>
      </c>
      <c r="B31" s="296" t="s">
        <v>365</v>
      </c>
      <c r="C31" s="297">
        <v>11317846362</v>
      </c>
      <c r="D31" s="298">
        <f t="shared" si="3"/>
        <v>12030870.682805998</v>
      </c>
      <c r="E31" s="297">
        <v>841548675</v>
      </c>
      <c r="F31" s="297">
        <f t="shared" si="4"/>
        <v>894566.24152499996</v>
      </c>
      <c r="J31" s="299" t="s">
        <v>554</v>
      </c>
      <c r="K31" s="300" t="s">
        <v>575</v>
      </c>
      <c r="L31" s="301">
        <v>0</v>
      </c>
      <c r="M31" s="301">
        <f t="shared" si="5"/>
        <v>0</v>
      </c>
      <c r="Q31" s="299" t="s">
        <v>553</v>
      </c>
      <c r="R31" s="300" t="s">
        <v>365</v>
      </c>
      <c r="S31" s="301">
        <v>11317846362</v>
      </c>
      <c r="T31" s="301">
        <v>1681565870</v>
      </c>
      <c r="U31" s="301">
        <f t="shared" si="6"/>
        <v>12030870.682805998</v>
      </c>
      <c r="V31" s="301">
        <f t="shared" si="7"/>
        <v>1787504.51981</v>
      </c>
      <c r="Z31" s="296" t="s">
        <v>367</v>
      </c>
      <c r="AA31" s="297">
        <v>137227530</v>
      </c>
      <c r="AB31" s="297">
        <f t="shared" si="8"/>
        <v>145872.86439</v>
      </c>
      <c r="AF31" s="296" t="s">
        <v>365</v>
      </c>
      <c r="AG31" s="297">
        <v>11317846362</v>
      </c>
      <c r="AH31" s="297">
        <f t="shared" si="0"/>
        <v>12030870.682805998</v>
      </c>
      <c r="AI31" s="297">
        <v>2883091205</v>
      </c>
      <c r="AL31" s="450"/>
      <c r="AN31" s="447" t="s">
        <v>554</v>
      </c>
      <c r="AO31" s="448" t="s">
        <v>367</v>
      </c>
      <c r="AP31" s="449">
        <v>133526248</v>
      </c>
      <c r="AQ31" s="449">
        <f t="shared" si="9"/>
        <v>141938.40162399999</v>
      </c>
      <c r="AU31" s="447" t="s">
        <v>553</v>
      </c>
      <c r="AV31" s="448" t="s">
        <v>365</v>
      </c>
      <c r="AW31" s="449">
        <v>11313486362</v>
      </c>
      <c r="AX31" s="449">
        <v>3686286331</v>
      </c>
      <c r="AY31" s="449">
        <v>7627200031</v>
      </c>
      <c r="AZ31" s="450">
        <f t="shared" si="10"/>
        <v>12026236.002805999</v>
      </c>
      <c r="BA31" s="450">
        <f t="shared" si="11"/>
        <v>3918522.3698529997</v>
      </c>
      <c r="BB31" s="450">
        <f t="shared" si="12"/>
        <v>8107713.6329530003</v>
      </c>
      <c r="BF31" s="447" t="s">
        <v>553</v>
      </c>
      <c r="BG31" s="448" t="s">
        <v>369</v>
      </c>
      <c r="BH31" s="449">
        <v>38126444</v>
      </c>
      <c r="BI31" s="450">
        <f t="shared" si="13"/>
        <v>38126.444000000003</v>
      </c>
      <c r="BM31" s="451" t="s">
        <v>553</v>
      </c>
      <c r="BN31" s="94" t="s">
        <v>365</v>
      </c>
      <c r="BO31" s="95">
        <v>0</v>
      </c>
      <c r="BP31" s="95">
        <v>11313486362</v>
      </c>
      <c r="BQ31" s="95">
        <v>4550864327</v>
      </c>
      <c r="BR31" s="95">
        <v>6762622035</v>
      </c>
      <c r="BS31" s="95">
        <v>4550864327</v>
      </c>
      <c r="BT31" s="450">
        <f t="shared" si="14"/>
        <v>11313486.362</v>
      </c>
      <c r="BU31" s="450">
        <f t="shared" si="15"/>
        <v>4550864.3269999996</v>
      </c>
      <c r="BV31" s="450">
        <f t="shared" si="16"/>
        <v>6762622.0350000001</v>
      </c>
      <c r="BW31" s="450">
        <f t="shared" si="17"/>
        <v>4550864.3269999996</v>
      </c>
      <c r="CA31" s="94" t="s">
        <v>570</v>
      </c>
      <c r="CB31" s="450">
        <v>9217708</v>
      </c>
      <c r="CC31" s="450">
        <f t="shared" si="18"/>
        <v>9217.7080000000005</v>
      </c>
      <c r="CG31" s="448" t="s">
        <v>364</v>
      </c>
      <c r="CH31" s="449">
        <v>0</v>
      </c>
      <c r="CI31" s="449">
        <v>13342449848</v>
      </c>
      <c r="CJ31" s="449">
        <v>-13342449848</v>
      </c>
      <c r="CK31" s="449">
        <v>6846976049</v>
      </c>
      <c r="CL31" s="449">
        <v>6495473799</v>
      </c>
      <c r="CM31" s="449">
        <v>6846976049</v>
      </c>
      <c r="CN31" s="449">
        <f t="shared" si="19"/>
        <v>13342449.847999999</v>
      </c>
      <c r="CO31" s="449">
        <f t="shared" si="20"/>
        <v>6846976.0489999996</v>
      </c>
      <c r="CP31" s="449">
        <f t="shared" si="21"/>
        <v>6495473.7989999996</v>
      </c>
      <c r="CQ31" s="449">
        <f t="shared" si="22"/>
        <v>6846976.0489999996</v>
      </c>
      <c r="CU31" s="448" t="s">
        <v>367</v>
      </c>
      <c r="CV31" s="449">
        <v>143036341</v>
      </c>
      <c r="CW31" s="449">
        <v>143036341</v>
      </c>
      <c r="CX31" s="450">
        <f t="shared" si="23"/>
        <v>143036.34099999999</v>
      </c>
      <c r="CY31" s="450">
        <f t="shared" si="24"/>
        <v>143036.34099999999</v>
      </c>
      <c r="DB31" s="602" t="s">
        <v>364</v>
      </c>
      <c r="DC31" s="603">
        <v>13341999848</v>
      </c>
      <c r="DD31" s="603">
        <v>7774951125</v>
      </c>
      <c r="DE31" s="603">
        <v>5567048723</v>
      </c>
      <c r="DF31" s="603">
        <v>7774951125</v>
      </c>
      <c r="DG31" s="604">
        <f t="shared" si="25"/>
        <v>13341999.847999999</v>
      </c>
      <c r="DH31" s="604">
        <f t="shared" si="26"/>
        <v>7774951.125</v>
      </c>
      <c r="DI31" s="604">
        <f t="shared" si="27"/>
        <v>5567048.7230000002</v>
      </c>
      <c r="DJ31" s="604">
        <f t="shared" si="28"/>
        <v>7774951.125</v>
      </c>
      <c r="DN31" s="94" t="s">
        <v>576</v>
      </c>
      <c r="DO31" s="94">
        <v>0</v>
      </c>
      <c r="DP31" s="94">
        <v>0</v>
      </c>
      <c r="DQ31" s="666">
        <f t="shared" si="29"/>
        <v>0</v>
      </c>
      <c r="DR31" s="666">
        <f t="shared" si="30"/>
        <v>0</v>
      </c>
      <c r="DV31" s="94" t="s">
        <v>364</v>
      </c>
      <c r="DW31" s="95">
        <v>13339663848</v>
      </c>
      <c r="DX31" s="95">
        <v>8709951756</v>
      </c>
      <c r="DY31" s="95">
        <v>4629712092</v>
      </c>
      <c r="DZ31" s="95">
        <v>8709951756</v>
      </c>
      <c r="EA31" s="95">
        <f t="shared" si="31"/>
        <v>13339663.847999999</v>
      </c>
      <c r="EB31" s="95">
        <f t="shared" si="32"/>
        <v>8709951.7559999991</v>
      </c>
      <c r="EC31" s="95">
        <f t="shared" si="33"/>
        <v>4629712.0920000002</v>
      </c>
      <c r="ED31" s="95">
        <f t="shared" si="34"/>
        <v>8709951.7559999991</v>
      </c>
      <c r="EH31" s="444" t="s">
        <v>368</v>
      </c>
      <c r="EI31" s="444">
        <v>20418038</v>
      </c>
      <c r="EJ31" s="450">
        <f t="shared" si="35"/>
        <v>20418.038</v>
      </c>
      <c r="EN31" s="444" t="s">
        <v>364</v>
      </c>
      <c r="EO31" s="450">
        <v>13339163848</v>
      </c>
      <c r="EP31" s="450">
        <v>10367023440</v>
      </c>
      <c r="EQ31" s="450">
        <v>2972140408</v>
      </c>
      <c r="ER31" s="450">
        <v>10367023440</v>
      </c>
      <c r="ES31" s="746">
        <f t="shared" si="36"/>
        <v>13339163.847999999</v>
      </c>
      <c r="ET31" s="746">
        <f t="shared" si="37"/>
        <v>10367023.439999999</v>
      </c>
      <c r="EU31" s="746">
        <f t="shared" si="38"/>
        <v>2972140.4079999998</v>
      </c>
      <c r="EV31" s="746">
        <f t="shared" si="39"/>
        <v>10367023.439999999</v>
      </c>
      <c r="EZ31" s="780" t="s">
        <v>554</v>
      </c>
      <c r="FA31" s="781" t="s">
        <v>368</v>
      </c>
      <c r="FB31" s="444">
        <v>20418038</v>
      </c>
      <c r="FC31" s="450">
        <f t="shared" si="40"/>
        <v>20418.038</v>
      </c>
      <c r="FG31" s="785" t="s">
        <v>355</v>
      </c>
      <c r="FH31" s="784" t="s">
        <v>364</v>
      </c>
      <c r="FI31" s="782">
        <v>14082063848</v>
      </c>
      <c r="FJ31" s="783">
        <v>11301372006</v>
      </c>
      <c r="FK31" s="783">
        <v>2780691842</v>
      </c>
      <c r="FL31" s="783">
        <v>11301372006</v>
      </c>
      <c r="FM31" s="450">
        <f t="shared" si="41"/>
        <v>14082063.847999999</v>
      </c>
      <c r="FN31" s="450">
        <f t="shared" si="42"/>
        <v>11301372.005999999</v>
      </c>
      <c r="FO31" s="450">
        <f t="shared" si="43"/>
        <v>2780691.8420000002</v>
      </c>
      <c r="FP31" s="450">
        <f t="shared" si="44"/>
        <v>11301372.005999999</v>
      </c>
      <c r="FT31" s="451" t="s">
        <v>554</v>
      </c>
      <c r="FU31" s="94" t="s">
        <v>367</v>
      </c>
      <c r="FV31" s="95">
        <v>155715200</v>
      </c>
      <c r="FW31" s="95">
        <v>146167248</v>
      </c>
      <c r="FX31" s="95">
        <v>146167248</v>
      </c>
      <c r="FY31" s="450">
        <f t="shared" si="45"/>
        <v>155715.20000000001</v>
      </c>
      <c r="FZ31" s="450">
        <f t="shared" si="46"/>
        <v>146167.24799999999</v>
      </c>
      <c r="GA31" s="450">
        <f t="shared" si="47"/>
        <v>146167.24799999999</v>
      </c>
      <c r="GG31" s="817" t="s">
        <v>355</v>
      </c>
      <c r="GH31" s="818" t="s">
        <v>364</v>
      </c>
      <c r="GI31" s="819">
        <v>14377361848</v>
      </c>
      <c r="GJ31" s="819">
        <v>12250714011</v>
      </c>
      <c r="GK31" s="819">
        <v>2126647837</v>
      </c>
      <c r="GL31" s="819">
        <v>12250714011</v>
      </c>
      <c r="GM31" s="819">
        <v>0</v>
      </c>
      <c r="GN31" s="450">
        <f t="shared" si="48"/>
        <v>14377361.847999999</v>
      </c>
      <c r="GO31" s="450">
        <f t="shared" si="49"/>
        <v>12250714.011</v>
      </c>
      <c r="GP31" s="450">
        <f t="shared" si="50"/>
        <v>2126647.8369999998</v>
      </c>
      <c r="GQ31" s="450">
        <f t="shared" si="51"/>
        <v>12250714.011</v>
      </c>
      <c r="GR31" s="450">
        <f t="shared" si="52"/>
        <v>0</v>
      </c>
      <c r="GV31" s="841" t="s">
        <v>365</v>
      </c>
      <c r="GW31" s="840">
        <v>1388275041</v>
      </c>
      <c r="GX31" s="450">
        <f t="shared" si="53"/>
        <v>1388275.041</v>
      </c>
      <c r="HB31" s="843" t="s">
        <v>481</v>
      </c>
      <c r="HC31" s="819">
        <v>473796</v>
      </c>
      <c r="HD31" s="819">
        <v>473796</v>
      </c>
      <c r="HE31" s="819">
        <v>0</v>
      </c>
      <c r="HF31" s="819">
        <v>473796</v>
      </c>
      <c r="HG31" s="450">
        <f t="shared" si="54"/>
        <v>473.79599999999999</v>
      </c>
      <c r="HH31" s="450">
        <f t="shared" si="55"/>
        <v>0</v>
      </c>
      <c r="HI31" s="450">
        <f t="shared" si="56"/>
        <v>473.79599999999999</v>
      </c>
      <c r="HJ31" s="450">
        <f t="shared" si="57"/>
        <v>0</v>
      </c>
      <c r="HK31" s="450">
        <f t="shared" si="58"/>
        <v>473.79599999999999</v>
      </c>
    </row>
    <row r="32" spans="1:219" ht="15" customHeight="1" x14ac:dyDescent="0.3">
      <c r="A32" s="295" t="s">
        <v>554</v>
      </c>
      <c r="B32" s="296" t="s">
        <v>366</v>
      </c>
      <c r="C32" s="297">
        <v>2731415521</v>
      </c>
      <c r="D32" s="298">
        <f t="shared" si="3"/>
        <v>2903494.6988229998</v>
      </c>
      <c r="E32" s="297">
        <v>203625674</v>
      </c>
      <c r="F32" s="297">
        <f t="shared" si="4"/>
        <v>216454.09146199998</v>
      </c>
      <c r="J32" s="299" t="s">
        <v>554</v>
      </c>
      <c r="K32" s="300" t="s">
        <v>577</v>
      </c>
      <c r="L32" s="301">
        <v>7034698</v>
      </c>
      <c r="M32" s="301">
        <f t="shared" si="5"/>
        <v>7477.8839740000003</v>
      </c>
      <c r="Q32" s="299" t="s">
        <v>554</v>
      </c>
      <c r="R32" s="300" t="s">
        <v>366</v>
      </c>
      <c r="S32" s="301">
        <v>2731415521</v>
      </c>
      <c r="T32" s="301">
        <v>406735009</v>
      </c>
      <c r="U32" s="301">
        <f t="shared" si="6"/>
        <v>2903494.6988229998</v>
      </c>
      <c r="V32" s="301">
        <f t="shared" si="7"/>
        <v>432359.31456700002</v>
      </c>
      <c r="Z32" s="296" t="s">
        <v>368</v>
      </c>
      <c r="AA32" s="297">
        <v>19458718</v>
      </c>
      <c r="AB32" s="297">
        <f t="shared" si="8"/>
        <v>20684.617234000001</v>
      </c>
      <c r="AF32" s="296" t="s">
        <v>366</v>
      </c>
      <c r="AG32" s="297">
        <v>2731415356</v>
      </c>
      <c r="AH32" s="297">
        <f t="shared" si="0"/>
        <v>2903494.523428</v>
      </c>
      <c r="AI32" s="297">
        <v>608314238</v>
      </c>
      <c r="AL32" s="450"/>
      <c r="AN32" s="447" t="s">
        <v>554</v>
      </c>
      <c r="AO32" s="448" t="s">
        <v>368</v>
      </c>
      <c r="AP32" s="449">
        <v>16984864</v>
      </c>
      <c r="AQ32" s="449">
        <f t="shared" si="9"/>
        <v>18054.910432000001</v>
      </c>
      <c r="AU32" s="447" t="s">
        <v>554</v>
      </c>
      <c r="AV32" s="448" t="s">
        <v>366</v>
      </c>
      <c r="AW32" s="449">
        <v>2727055356</v>
      </c>
      <c r="AX32" s="449">
        <v>804400864</v>
      </c>
      <c r="AY32" s="449">
        <v>1922654492</v>
      </c>
      <c r="AZ32" s="450">
        <f t="shared" si="10"/>
        <v>2898859.8434279999</v>
      </c>
      <c r="BA32" s="450">
        <f t="shared" si="11"/>
        <v>855078.11843199993</v>
      </c>
      <c r="BB32" s="450">
        <f t="shared" si="12"/>
        <v>2043781.7249960001</v>
      </c>
      <c r="BF32" s="447" t="s">
        <v>554</v>
      </c>
      <c r="BG32" s="448" t="s">
        <v>578</v>
      </c>
      <c r="BH32" s="449">
        <v>3404700</v>
      </c>
      <c r="BI32" s="450">
        <f t="shared" si="13"/>
        <v>3404.7</v>
      </c>
      <c r="BM32" s="451" t="s">
        <v>554</v>
      </c>
      <c r="BN32" s="94" t="s">
        <v>366</v>
      </c>
      <c r="BO32" s="95">
        <v>0</v>
      </c>
      <c r="BP32" s="95">
        <v>2727055356</v>
      </c>
      <c r="BQ32" s="95">
        <v>1013605812</v>
      </c>
      <c r="BR32" s="95">
        <v>1713449544</v>
      </c>
      <c r="BS32" s="95">
        <v>1013605812</v>
      </c>
      <c r="BT32" s="450">
        <f t="shared" si="14"/>
        <v>2727055.3560000001</v>
      </c>
      <c r="BU32" s="450">
        <f t="shared" si="15"/>
        <v>1013605.812</v>
      </c>
      <c r="BV32" s="450">
        <f t="shared" si="16"/>
        <v>1713449.544</v>
      </c>
      <c r="BW32" s="450">
        <f t="shared" si="17"/>
        <v>1013605.812</v>
      </c>
      <c r="CA32" s="94" t="s">
        <v>367</v>
      </c>
      <c r="CB32" s="450">
        <v>150034577</v>
      </c>
      <c r="CC32" s="450">
        <f t="shared" si="18"/>
        <v>150034.57699999999</v>
      </c>
      <c r="CG32" s="448" t="s">
        <v>365</v>
      </c>
      <c r="CH32" s="449">
        <v>0</v>
      </c>
      <c r="CI32" s="449">
        <v>11312731987</v>
      </c>
      <c r="CJ32" s="449">
        <v>-11312731987</v>
      </c>
      <c r="CK32" s="449">
        <v>5825288174</v>
      </c>
      <c r="CL32" s="449">
        <v>5487443813</v>
      </c>
      <c r="CM32" s="449">
        <v>5825288174</v>
      </c>
      <c r="CN32" s="449">
        <f t="shared" si="19"/>
        <v>11312731.987</v>
      </c>
      <c r="CO32" s="449">
        <f t="shared" si="20"/>
        <v>5825288.1739999996</v>
      </c>
      <c r="CP32" s="449">
        <f t="shared" si="21"/>
        <v>5487443.8130000001</v>
      </c>
      <c r="CQ32" s="449">
        <f t="shared" si="22"/>
        <v>5825288.1739999996</v>
      </c>
      <c r="CU32" s="448" t="s">
        <v>368</v>
      </c>
      <c r="CV32" s="449">
        <v>20418038</v>
      </c>
      <c r="CW32" s="449">
        <v>20418038</v>
      </c>
      <c r="CX32" s="450">
        <f t="shared" si="23"/>
        <v>20418.038</v>
      </c>
      <c r="CY32" s="450">
        <f t="shared" si="24"/>
        <v>20418.038</v>
      </c>
      <c r="DB32" s="602" t="s">
        <v>365</v>
      </c>
      <c r="DC32" s="603">
        <v>11312731987</v>
      </c>
      <c r="DD32" s="603">
        <v>6679560529</v>
      </c>
      <c r="DE32" s="603">
        <v>4633171458</v>
      </c>
      <c r="DF32" s="603">
        <v>6679560529</v>
      </c>
      <c r="DG32" s="604">
        <f t="shared" si="25"/>
        <v>11312731.987</v>
      </c>
      <c r="DH32" s="604">
        <f t="shared" si="26"/>
        <v>6679560.5290000001</v>
      </c>
      <c r="DI32" s="604">
        <f t="shared" si="27"/>
        <v>4633171.4579999996</v>
      </c>
      <c r="DJ32" s="604">
        <f t="shared" si="28"/>
        <v>6679560.5290000001</v>
      </c>
      <c r="DN32" s="94" t="s">
        <v>577</v>
      </c>
      <c r="DO32" s="94">
        <v>0</v>
      </c>
      <c r="DP32" s="94">
        <v>0</v>
      </c>
      <c r="DQ32" s="666">
        <f t="shared" si="29"/>
        <v>0</v>
      </c>
      <c r="DR32" s="666">
        <f t="shared" si="30"/>
        <v>0</v>
      </c>
      <c r="DV32" s="94" t="s">
        <v>365</v>
      </c>
      <c r="DW32" s="95">
        <v>11272731987</v>
      </c>
      <c r="DX32" s="95">
        <v>7541577080</v>
      </c>
      <c r="DY32" s="95">
        <v>3731154907</v>
      </c>
      <c r="DZ32" s="95">
        <v>7541577080</v>
      </c>
      <c r="EA32" s="95">
        <f t="shared" si="31"/>
        <v>11272731.987</v>
      </c>
      <c r="EB32" s="95">
        <f t="shared" si="32"/>
        <v>7541577.0800000001</v>
      </c>
      <c r="EC32" s="95">
        <f t="shared" si="33"/>
        <v>3731154.9070000001</v>
      </c>
      <c r="ED32" s="95">
        <f t="shared" si="34"/>
        <v>7541577.0800000001</v>
      </c>
      <c r="EH32" s="444" t="s">
        <v>572</v>
      </c>
      <c r="EI32" s="444">
        <v>9333395</v>
      </c>
      <c r="EJ32" s="450">
        <f t="shared" si="35"/>
        <v>9333.3950000000004</v>
      </c>
      <c r="EN32" s="444" t="s">
        <v>365</v>
      </c>
      <c r="EO32" s="450">
        <v>11217361990</v>
      </c>
      <c r="EP32" s="450">
        <v>8809285753</v>
      </c>
      <c r="EQ32" s="450">
        <v>2408076237</v>
      </c>
      <c r="ER32" s="450">
        <v>8809285753</v>
      </c>
      <c r="ES32" s="746">
        <f t="shared" si="36"/>
        <v>11217361.99</v>
      </c>
      <c r="ET32" s="746">
        <f t="shared" si="37"/>
        <v>8809285.7530000005</v>
      </c>
      <c r="EU32" s="746">
        <f t="shared" si="38"/>
        <v>2408076.2370000002</v>
      </c>
      <c r="EV32" s="746">
        <f t="shared" si="39"/>
        <v>8809285.7530000005</v>
      </c>
      <c r="EZ32" s="780" t="s">
        <v>554</v>
      </c>
      <c r="FA32" s="781" t="s">
        <v>572</v>
      </c>
      <c r="FB32" s="444">
        <v>10001338</v>
      </c>
      <c r="FC32" s="450">
        <f t="shared" si="40"/>
        <v>10001.338</v>
      </c>
      <c r="FG32" s="785" t="s">
        <v>553</v>
      </c>
      <c r="FH32" s="784" t="s">
        <v>365</v>
      </c>
      <c r="FI32" s="782">
        <v>11962361990</v>
      </c>
      <c r="FJ32" s="783">
        <v>9679470661</v>
      </c>
      <c r="FK32" s="783">
        <v>2282891329</v>
      </c>
      <c r="FL32" s="783">
        <v>9679470661</v>
      </c>
      <c r="FM32" s="450">
        <f t="shared" si="41"/>
        <v>11962361.99</v>
      </c>
      <c r="FN32" s="450">
        <f t="shared" si="42"/>
        <v>9679470.6610000003</v>
      </c>
      <c r="FO32" s="450">
        <f t="shared" si="43"/>
        <v>2282891.3289999999</v>
      </c>
      <c r="FP32" s="450">
        <f t="shared" si="44"/>
        <v>9679470.6610000003</v>
      </c>
      <c r="FT32" s="451" t="s">
        <v>554</v>
      </c>
      <c r="FU32" s="94" t="s">
        <v>368</v>
      </c>
      <c r="FV32" s="95">
        <v>20641642</v>
      </c>
      <c r="FW32" s="95">
        <v>20418038</v>
      </c>
      <c r="FX32" s="95">
        <v>20418038</v>
      </c>
      <c r="FY32" s="450">
        <f t="shared" si="45"/>
        <v>20641.642</v>
      </c>
      <c r="FZ32" s="450">
        <f t="shared" si="46"/>
        <v>20418.038</v>
      </c>
      <c r="GA32" s="450">
        <f t="shared" si="47"/>
        <v>20418.038</v>
      </c>
      <c r="GG32" s="817" t="s">
        <v>553</v>
      </c>
      <c r="GH32" s="818" t="s">
        <v>365</v>
      </c>
      <c r="GI32" s="819">
        <v>12245006990</v>
      </c>
      <c r="GJ32" s="819">
        <v>10548068804</v>
      </c>
      <c r="GK32" s="819">
        <v>1696938186</v>
      </c>
      <c r="GL32" s="819">
        <v>10548068804</v>
      </c>
      <c r="GM32" s="819">
        <v>0</v>
      </c>
      <c r="GN32" s="450">
        <f t="shared" si="48"/>
        <v>12245006.99</v>
      </c>
      <c r="GO32" s="450">
        <f t="shared" si="49"/>
        <v>10548068.804</v>
      </c>
      <c r="GP32" s="450">
        <f t="shared" si="50"/>
        <v>1696938.186</v>
      </c>
      <c r="GQ32" s="450">
        <f t="shared" si="51"/>
        <v>10548068.804</v>
      </c>
      <c r="GR32" s="450">
        <f t="shared" si="52"/>
        <v>0</v>
      </c>
      <c r="GV32" s="841" t="s">
        <v>366</v>
      </c>
      <c r="GW32" s="840">
        <v>230627833</v>
      </c>
      <c r="GX32" s="450">
        <f t="shared" si="53"/>
        <v>230627.83300000001</v>
      </c>
      <c r="HB32" s="843" t="s">
        <v>363</v>
      </c>
      <c r="HC32" s="819">
        <v>2709658</v>
      </c>
      <c r="HD32" s="819">
        <v>2185000</v>
      </c>
      <c r="HE32" s="819">
        <v>524658</v>
      </c>
      <c r="HF32" s="819">
        <v>2185000</v>
      </c>
      <c r="HG32" s="450">
        <f t="shared" si="54"/>
        <v>2709.6579999999999</v>
      </c>
      <c r="HH32" s="450">
        <f t="shared" si="55"/>
        <v>524.65800000000002</v>
      </c>
      <c r="HI32" s="450">
        <f t="shared" si="56"/>
        <v>2185</v>
      </c>
      <c r="HJ32" s="450">
        <f t="shared" si="57"/>
        <v>524.65800000000002</v>
      </c>
      <c r="HK32" s="450">
        <f t="shared" si="58"/>
        <v>2185</v>
      </c>
    </row>
    <row r="33" spans="1:219" ht="15" customHeight="1" x14ac:dyDescent="0.3">
      <c r="A33" s="295" t="s">
        <v>554</v>
      </c>
      <c r="B33" s="296" t="s">
        <v>570</v>
      </c>
      <c r="C33" s="297">
        <v>94969046</v>
      </c>
      <c r="D33" s="298">
        <f t="shared" si="3"/>
        <v>100952.095898</v>
      </c>
      <c r="E33" s="297">
        <v>8688420</v>
      </c>
      <c r="F33" s="297">
        <f t="shared" si="4"/>
        <v>9235.7904600000002</v>
      </c>
      <c r="J33" s="299" t="s">
        <v>553</v>
      </c>
      <c r="K33" s="300" t="s">
        <v>369</v>
      </c>
      <c r="L33" s="301">
        <v>36461686</v>
      </c>
      <c r="M33" s="301">
        <f t="shared" si="5"/>
        <v>38758.772217999998</v>
      </c>
      <c r="Q33" s="299" t="s">
        <v>554</v>
      </c>
      <c r="R33" s="300" t="s">
        <v>570</v>
      </c>
      <c r="S33" s="301">
        <v>94969046</v>
      </c>
      <c r="T33" s="301">
        <v>17471623</v>
      </c>
      <c r="U33" s="301">
        <f t="shared" si="6"/>
        <v>100952.095898</v>
      </c>
      <c r="V33" s="301">
        <f t="shared" si="7"/>
        <v>18572.335249</v>
      </c>
      <c r="Z33" s="296" t="s">
        <v>571</v>
      </c>
      <c r="AA33" s="297">
        <v>7160</v>
      </c>
      <c r="AB33" s="297">
        <f t="shared" si="8"/>
        <v>7.6110799999999994</v>
      </c>
      <c r="AF33" s="296" t="s">
        <v>570</v>
      </c>
      <c r="AG33" s="297">
        <v>94969046</v>
      </c>
      <c r="AH33" s="297">
        <f t="shared" si="0"/>
        <v>100952.095898</v>
      </c>
      <c r="AI33" s="297">
        <v>26241456</v>
      </c>
      <c r="AL33" s="450"/>
      <c r="AN33" s="447" t="s">
        <v>554</v>
      </c>
      <c r="AO33" s="448" t="s">
        <v>571</v>
      </c>
      <c r="AP33" s="449">
        <v>0</v>
      </c>
      <c r="AQ33" s="449">
        <f t="shared" si="9"/>
        <v>0</v>
      </c>
      <c r="AU33" s="447" t="s">
        <v>554</v>
      </c>
      <c r="AV33" s="448" t="s">
        <v>570</v>
      </c>
      <c r="AW33" s="449">
        <v>94969046</v>
      </c>
      <c r="AX33" s="449">
        <v>34944653</v>
      </c>
      <c r="AY33" s="449">
        <v>60024393</v>
      </c>
      <c r="AZ33" s="450">
        <f t="shared" si="10"/>
        <v>100952.095898</v>
      </c>
      <c r="BA33" s="450">
        <f t="shared" si="11"/>
        <v>37146.166138999994</v>
      </c>
      <c r="BB33" s="450">
        <f t="shared" si="12"/>
        <v>63805.929758999991</v>
      </c>
      <c r="BF33" s="447" t="s">
        <v>554</v>
      </c>
      <c r="BG33" s="448" t="s">
        <v>579</v>
      </c>
      <c r="BH33" s="449">
        <v>34721744</v>
      </c>
      <c r="BI33" s="450">
        <f t="shared" si="13"/>
        <v>34721.743999999999</v>
      </c>
      <c r="BM33" s="451" t="s">
        <v>554</v>
      </c>
      <c r="BN33" s="94" t="s">
        <v>570</v>
      </c>
      <c r="BO33" s="95">
        <v>0</v>
      </c>
      <c r="BP33" s="95">
        <v>94969046</v>
      </c>
      <c r="BQ33" s="95">
        <v>43939986</v>
      </c>
      <c r="BR33" s="95">
        <v>51029060</v>
      </c>
      <c r="BS33" s="95">
        <v>43939986</v>
      </c>
      <c r="BT33" s="450">
        <f t="shared" si="14"/>
        <v>94969.046000000002</v>
      </c>
      <c r="BU33" s="450">
        <f t="shared" si="15"/>
        <v>43939.985999999997</v>
      </c>
      <c r="BV33" s="450">
        <f t="shared" si="16"/>
        <v>51029.06</v>
      </c>
      <c r="BW33" s="450">
        <f t="shared" si="17"/>
        <v>43939.985999999997</v>
      </c>
      <c r="CA33" s="94" t="s">
        <v>368</v>
      </c>
      <c r="CB33" s="450">
        <v>20025715</v>
      </c>
      <c r="CC33" s="450">
        <f t="shared" si="18"/>
        <v>20025.715</v>
      </c>
      <c r="CG33" s="448" t="s">
        <v>366</v>
      </c>
      <c r="CH33" s="449">
        <v>0</v>
      </c>
      <c r="CI33" s="449">
        <v>2726300981</v>
      </c>
      <c r="CJ33" s="449">
        <v>-2726300981</v>
      </c>
      <c r="CK33" s="449">
        <v>1228965228</v>
      </c>
      <c r="CL33" s="449">
        <v>1497335753</v>
      </c>
      <c r="CM33" s="449">
        <v>1228965228</v>
      </c>
      <c r="CN33" s="449">
        <f t="shared" si="19"/>
        <v>2726300.9810000001</v>
      </c>
      <c r="CO33" s="449">
        <f t="shared" si="20"/>
        <v>1228965.2279999999</v>
      </c>
      <c r="CP33" s="449">
        <f t="shared" si="21"/>
        <v>1497335.753</v>
      </c>
      <c r="CQ33" s="449">
        <f t="shared" si="22"/>
        <v>1228965.2279999999</v>
      </c>
      <c r="CU33" s="448" t="s">
        <v>572</v>
      </c>
      <c r="CV33" s="449">
        <v>9022258</v>
      </c>
      <c r="CW33" s="449">
        <v>9022258</v>
      </c>
      <c r="CX33" s="450">
        <f t="shared" si="23"/>
        <v>9022.2579999999998</v>
      </c>
      <c r="CY33" s="450">
        <f t="shared" si="24"/>
        <v>9022.2579999999998</v>
      </c>
      <c r="DB33" s="602" t="s">
        <v>366</v>
      </c>
      <c r="DC33" s="603">
        <v>2726300981</v>
      </c>
      <c r="DD33" s="603">
        <v>1435480481</v>
      </c>
      <c r="DE33" s="603">
        <v>1290820500</v>
      </c>
      <c r="DF33" s="603">
        <v>1435480481</v>
      </c>
      <c r="DG33" s="604">
        <f t="shared" si="25"/>
        <v>2726300.9810000001</v>
      </c>
      <c r="DH33" s="604">
        <f t="shared" si="26"/>
        <v>1435480.4809999999</v>
      </c>
      <c r="DI33" s="604">
        <f t="shared" si="27"/>
        <v>1290820.5</v>
      </c>
      <c r="DJ33" s="604">
        <f t="shared" si="28"/>
        <v>1435480.4809999999</v>
      </c>
      <c r="DN33" s="94" t="s">
        <v>369</v>
      </c>
      <c r="DO33" s="94">
        <v>38000626</v>
      </c>
      <c r="DP33" s="94">
        <v>38000626</v>
      </c>
      <c r="DQ33" s="666">
        <f t="shared" si="29"/>
        <v>38000.625999999997</v>
      </c>
      <c r="DR33" s="666">
        <f t="shared" si="30"/>
        <v>38000.625999999997</v>
      </c>
      <c r="DV33" s="94" t="s">
        <v>366</v>
      </c>
      <c r="DW33" s="95">
        <v>2686300981</v>
      </c>
      <c r="DX33" s="95">
        <v>1643853161</v>
      </c>
      <c r="DY33" s="95">
        <v>1042447820</v>
      </c>
      <c r="DZ33" s="95">
        <v>1643853161</v>
      </c>
      <c r="EA33" s="95">
        <f t="shared" si="31"/>
        <v>2686300.9810000001</v>
      </c>
      <c r="EB33" s="95">
        <f t="shared" si="32"/>
        <v>1643853.1610000001</v>
      </c>
      <c r="EC33" s="95">
        <f t="shared" si="33"/>
        <v>1042447.82</v>
      </c>
      <c r="ED33" s="95">
        <f t="shared" si="34"/>
        <v>1643853.1610000001</v>
      </c>
      <c r="EH33" s="444" t="s">
        <v>573</v>
      </c>
      <c r="EI33" s="444">
        <v>218936527</v>
      </c>
      <c r="EJ33" s="450">
        <f t="shared" si="35"/>
        <v>218936.527</v>
      </c>
      <c r="EN33" s="444" t="s">
        <v>366</v>
      </c>
      <c r="EO33" s="450">
        <v>2536796971</v>
      </c>
      <c r="EP33" s="450">
        <v>1853367824</v>
      </c>
      <c r="EQ33" s="450">
        <v>683429147</v>
      </c>
      <c r="ER33" s="450">
        <v>1853367824</v>
      </c>
      <c r="ES33" s="746">
        <f t="shared" si="36"/>
        <v>2536796.9709999999</v>
      </c>
      <c r="ET33" s="746">
        <f t="shared" si="37"/>
        <v>1853367.824</v>
      </c>
      <c r="EU33" s="746">
        <f t="shared" si="38"/>
        <v>683429.147</v>
      </c>
      <c r="EV33" s="746">
        <f t="shared" si="39"/>
        <v>1853367.824</v>
      </c>
      <c r="EZ33" s="780" t="s">
        <v>554</v>
      </c>
      <c r="FA33" s="781" t="s">
        <v>573</v>
      </c>
      <c r="FB33" s="444">
        <v>141042652</v>
      </c>
      <c r="FC33" s="450">
        <f t="shared" si="40"/>
        <v>141042.652</v>
      </c>
      <c r="FG33" s="785" t="s">
        <v>554</v>
      </c>
      <c r="FH33" s="784" t="s">
        <v>366</v>
      </c>
      <c r="FI33" s="782">
        <v>3281796971</v>
      </c>
      <c r="FJ33" s="783">
        <v>2063320017</v>
      </c>
      <c r="FK33" s="783">
        <v>1218476954</v>
      </c>
      <c r="FL33" s="783">
        <v>2063320017</v>
      </c>
      <c r="FM33" s="450">
        <f t="shared" si="41"/>
        <v>3281796.9709999999</v>
      </c>
      <c r="FN33" s="450">
        <f t="shared" si="42"/>
        <v>2063320.017</v>
      </c>
      <c r="FO33" s="450">
        <f t="shared" si="43"/>
        <v>1218476.9539999999</v>
      </c>
      <c r="FP33" s="450">
        <f t="shared" si="44"/>
        <v>2063320.017</v>
      </c>
      <c r="FT33" s="451" t="s">
        <v>554</v>
      </c>
      <c r="FU33" s="94" t="s">
        <v>572</v>
      </c>
      <c r="FV33" s="95">
        <v>0</v>
      </c>
      <c r="FW33" s="95">
        <v>9391005</v>
      </c>
      <c r="FX33" s="95">
        <v>9391005</v>
      </c>
      <c r="FY33" s="450">
        <f t="shared" si="45"/>
        <v>0</v>
      </c>
      <c r="FZ33" s="450">
        <f t="shared" si="46"/>
        <v>9391.0049999999992</v>
      </c>
      <c r="GA33" s="450">
        <f t="shared" si="47"/>
        <v>9391.0049999999992</v>
      </c>
      <c r="GG33" s="817" t="s">
        <v>554</v>
      </c>
      <c r="GH33" s="818" t="s">
        <v>366</v>
      </c>
      <c r="GI33" s="819">
        <v>3016969061</v>
      </c>
      <c r="GJ33" s="819">
        <v>2272874297</v>
      </c>
      <c r="GK33" s="819">
        <v>744094764</v>
      </c>
      <c r="GL33" s="819">
        <v>2272874297</v>
      </c>
      <c r="GM33" s="819">
        <v>0</v>
      </c>
      <c r="GN33" s="450">
        <f t="shared" si="48"/>
        <v>3016969.0610000002</v>
      </c>
      <c r="GO33" s="450">
        <f t="shared" si="49"/>
        <v>2272874.2969999998</v>
      </c>
      <c r="GP33" s="450">
        <f t="shared" si="50"/>
        <v>744094.76399999997</v>
      </c>
      <c r="GQ33" s="450">
        <f t="shared" si="51"/>
        <v>2272874.2969999998</v>
      </c>
      <c r="GR33" s="450">
        <f t="shared" si="52"/>
        <v>0</v>
      </c>
      <c r="GV33" s="841" t="s">
        <v>570</v>
      </c>
      <c r="GW33" s="840">
        <v>10238335</v>
      </c>
      <c r="GX33" s="450">
        <f t="shared" si="53"/>
        <v>10238.334999999999</v>
      </c>
      <c r="HB33" s="843" t="s">
        <v>364</v>
      </c>
      <c r="HC33" s="819">
        <v>14263358633</v>
      </c>
      <c r="HD33" s="819">
        <v>14124279462</v>
      </c>
      <c r="HE33" s="819">
        <v>139079171</v>
      </c>
      <c r="HF33" s="819">
        <v>14124279462</v>
      </c>
      <c r="HG33" s="450">
        <f t="shared" si="54"/>
        <v>14263358.632999999</v>
      </c>
      <c r="HH33" s="450">
        <f t="shared" si="55"/>
        <v>139079.171</v>
      </c>
      <c r="HI33" s="450">
        <f t="shared" si="56"/>
        <v>14124279.461999999</v>
      </c>
      <c r="HJ33" s="450">
        <f t="shared" si="57"/>
        <v>139079.171</v>
      </c>
      <c r="HK33" s="450">
        <f t="shared" si="58"/>
        <v>14124279.461999999</v>
      </c>
    </row>
    <row r="34" spans="1:219" ht="15" customHeight="1" x14ac:dyDescent="0.3">
      <c r="A34" s="295" t="s">
        <v>554</v>
      </c>
      <c r="B34" s="296" t="s">
        <v>367</v>
      </c>
      <c r="C34" s="297">
        <v>1558780587</v>
      </c>
      <c r="D34" s="298">
        <f t="shared" si="3"/>
        <v>1656983.7639810001</v>
      </c>
      <c r="E34" s="297">
        <v>138396457</v>
      </c>
      <c r="F34" s="297">
        <f t="shared" si="4"/>
        <v>147115.43379099999</v>
      </c>
      <c r="J34" s="299" t="s">
        <v>554</v>
      </c>
      <c r="K34" s="300" t="s">
        <v>578</v>
      </c>
      <c r="L34" s="301">
        <v>3354260</v>
      </c>
      <c r="M34" s="301">
        <f t="shared" si="5"/>
        <v>3565.5783799999999</v>
      </c>
      <c r="Q34" s="299" t="s">
        <v>554</v>
      </c>
      <c r="R34" s="300" t="s">
        <v>367</v>
      </c>
      <c r="S34" s="301">
        <v>1558780587</v>
      </c>
      <c r="T34" s="301">
        <v>276712703</v>
      </c>
      <c r="U34" s="301">
        <f t="shared" si="6"/>
        <v>1656983.7639810001</v>
      </c>
      <c r="V34" s="301">
        <f t="shared" si="7"/>
        <v>294145.60328899999</v>
      </c>
      <c r="Z34" s="296" t="s">
        <v>572</v>
      </c>
      <c r="AA34" s="297">
        <v>7328427</v>
      </c>
      <c r="AB34" s="297">
        <f t="shared" si="8"/>
        <v>7790.1179009999996</v>
      </c>
      <c r="AF34" s="296" t="s">
        <v>367</v>
      </c>
      <c r="AG34" s="297">
        <v>1558780587</v>
      </c>
      <c r="AH34" s="297">
        <f t="shared" si="0"/>
        <v>1656983.7639810001</v>
      </c>
      <c r="AI34" s="297">
        <v>413940233</v>
      </c>
      <c r="AL34" s="450"/>
      <c r="AN34" s="447" t="s">
        <v>554</v>
      </c>
      <c r="AO34" s="448" t="s">
        <v>572</v>
      </c>
      <c r="AP34" s="449">
        <v>7298374</v>
      </c>
      <c r="AQ34" s="449">
        <f t="shared" si="9"/>
        <v>7758.1715619999995</v>
      </c>
      <c r="AU34" s="447" t="s">
        <v>554</v>
      </c>
      <c r="AV34" s="448" t="s">
        <v>367</v>
      </c>
      <c r="AW34" s="449">
        <v>1558780587</v>
      </c>
      <c r="AX34" s="449">
        <v>547466481</v>
      </c>
      <c r="AY34" s="449">
        <v>1011314106</v>
      </c>
      <c r="AZ34" s="450">
        <f t="shared" si="10"/>
        <v>1656983.7639810001</v>
      </c>
      <c r="BA34" s="450">
        <f t="shared" si="11"/>
        <v>581956.86930300004</v>
      </c>
      <c r="BB34" s="450">
        <f t="shared" si="12"/>
        <v>1075026.8946779999</v>
      </c>
      <c r="BF34" s="447" t="s">
        <v>553</v>
      </c>
      <c r="BG34" s="448" t="s">
        <v>580</v>
      </c>
      <c r="BH34" s="449">
        <v>1133675</v>
      </c>
      <c r="BI34" s="450">
        <f t="shared" si="13"/>
        <v>1133.675</v>
      </c>
      <c r="BM34" s="451" t="s">
        <v>554</v>
      </c>
      <c r="BN34" s="94" t="s">
        <v>367</v>
      </c>
      <c r="BO34" s="95">
        <v>0</v>
      </c>
      <c r="BP34" s="95">
        <v>1558780587</v>
      </c>
      <c r="BQ34" s="95">
        <v>692205333</v>
      </c>
      <c r="BR34" s="95">
        <v>866575254</v>
      </c>
      <c r="BS34" s="95">
        <v>692205333</v>
      </c>
      <c r="BT34" s="450">
        <f t="shared" si="14"/>
        <v>1558780.5870000001</v>
      </c>
      <c r="BU34" s="450">
        <f t="shared" si="15"/>
        <v>692205.33299999998</v>
      </c>
      <c r="BV34" s="450">
        <f t="shared" si="16"/>
        <v>866575.25399999996</v>
      </c>
      <c r="BW34" s="450">
        <f t="shared" si="17"/>
        <v>692205.33299999998</v>
      </c>
      <c r="CA34" s="94" t="s">
        <v>571</v>
      </c>
      <c r="CB34" s="450">
        <v>0</v>
      </c>
      <c r="CC34" s="450">
        <f t="shared" si="18"/>
        <v>0</v>
      </c>
      <c r="CG34" s="448" t="s">
        <v>570</v>
      </c>
      <c r="CH34" s="449">
        <v>0</v>
      </c>
      <c r="CI34" s="449">
        <v>94969046</v>
      </c>
      <c r="CJ34" s="449">
        <v>-94969046</v>
      </c>
      <c r="CK34" s="449">
        <v>53157694</v>
      </c>
      <c r="CL34" s="449">
        <v>41811352</v>
      </c>
      <c r="CM34" s="449">
        <v>53157694</v>
      </c>
      <c r="CN34" s="449">
        <f t="shared" si="19"/>
        <v>94969.046000000002</v>
      </c>
      <c r="CO34" s="449">
        <f t="shared" si="20"/>
        <v>53157.694000000003</v>
      </c>
      <c r="CP34" s="449">
        <f t="shared" si="21"/>
        <v>41811.351999999999</v>
      </c>
      <c r="CQ34" s="449">
        <f t="shared" si="22"/>
        <v>53157.694000000003</v>
      </c>
      <c r="CU34" s="448" t="s">
        <v>573</v>
      </c>
      <c r="CV34" s="449">
        <v>138236196</v>
      </c>
      <c r="CW34" s="449">
        <v>138236196</v>
      </c>
      <c r="CX34" s="450">
        <f t="shared" si="23"/>
        <v>138236.196</v>
      </c>
      <c r="CY34" s="450">
        <f t="shared" si="24"/>
        <v>138236.196</v>
      </c>
      <c r="DB34" s="602" t="s">
        <v>570</v>
      </c>
      <c r="DC34" s="603">
        <v>94969046</v>
      </c>
      <c r="DD34" s="603">
        <v>62252105</v>
      </c>
      <c r="DE34" s="603">
        <v>32716941</v>
      </c>
      <c r="DF34" s="603">
        <v>62252105</v>
      </c>
      <c r="DG34" s="604">
        <f t="shared" si="25"/>
        <v>94969.046000000002</v>
      </c>
      <c r="DH34" s="604">
        <f t="shared" si="26"/>
        <v>62252.105000000003</v>
      </c>
      <c r="DI34" s="604">
        <f t="shared" si="27"/>
        <v>32716.940999999999</v>
      </c>
      <c r="DJ34" s="604">
        <f t="shared" si="28"/>
        <v>62252.105000000003</v>
      </c>
      <c r="DN34" s="94" t="s">
        <v>578</v>
      </c>
      <c r="DO34" s="94">
        <v>3379480</v>
      </c>
      <c r="DP34" s="94">
        <v>3379480</v>
      </c>
      <c r="DQ34" s="666">
        <f t="shared" si="29"/>
        <v>3379.48</v>
      </c>
      <c r="DR34" s="666">
        <f t="shared" si="30"/>
        <v>3379.48</v>
      </c>
      <c r="DV34" s="94" t="s">
        <v>570</v>
      </c>
      <c r="DW34" s="95">
        <v>94969046</v>
      </c>
      <c r="DX34" s="95">
        <v>71002963</v>
      </c>
      <c r="DY34" s="95">
        <v>23966083</v>
      </c>
      <c r="DZ34" s="95">
        <v>71002963</v>
      </c>
      <c r="EA34" s="95">
        <f t="shared" si="31"/>
        <v>94969.046000000002</v>
      </c>
      <c r="EB34" s="95">
        <f t="shared" si="32"/>
        <v>71002.963000000003</v>
      </c>
      <c r="EC34" s="95">
        <f t="shared" si="33"/>
        <v>23966.082999999999</v>
      </c>
      <c r="ED34" s="95">
        <f t="shared" si="34"/>
        <v>71002.963000000003</v>
      </c>
      <c r="EH34" s="444" t="s">
        <v>574</v>
      </c>
      <c r="EI34" s="444">
        <v>332358442</v>
      </c>
      <c r="EJ34" s="450">
        <f t="shared" si="35"/>
        <v>332358.44199999998</v>
      </c>
      <c r="EN34" s="444" t="s">
        <v>570</v>
      </c>
      <c r="EO34" s="450">
        <v>94969046</v>
      </c>
      <c r="EP34" s="450">
        <v>81305823</v>
      </c>
      <c r="EQ34" s="450">
        <v>13663223</v>
      </c>
      <c r="ER34" s="450">
        <v>81305823</v>
      </c>
      <c r="ES34" s="746">
        <f t="shared" si="36"/>
        <v>94969.046000000002</v>
      </c>
      <c r="ET34" s="746">
        <f t="shared" si="37"/>
        <v>81305.823000000004</v>
      </c>
      <c r="EU34" s="746">
        <f t="shared" si="38"/>
        <v>13663.223</v>
      </c>
      <c r="EV34" s="746">
        <f t="shared" si="39"/>
        <v>81305.823000000004</v>
      </c>
      <c r="EZ34" s="780" t="s">
        <v>554</v>
      </c>
      <c r="FA34" s="781" t="s">
        <v>574</v>
      </c>
      <c r="FB34" s="444">
        <v>333046926</v>
      </c>
      <c r="FC34" s="450">
        <f t="shared" si="40"/>
        <v>333046.92599999998</v>
      </c>
      <c r="FG34" s="785" t="s">
        <v>554</v>
      </c>
      <c r="FH34" s="784" t="s">
        <v>570</v>
      </c>
      <c r="FI34" s="782">
        <v>94969046</v>
      </c>
      <c r="FJ34" s="783">
        <v>90458058</v>
      </c>
      <c r="FK34" s="783">
        <v>4510988</v>
      </c>
      <c r="FL34" s="783">
        <v>90458058</v>
      </c>
      <c r="FM34" s="450">
        <f t="shared" si="41"/>
        <v>94969.046000000002</v>
      </c>
      <c r="FN34" s="450">
        <f t="shared" si="42"/>
        <v>90458.058000000005</v>
      </c>
      <c r="FO34" s="450">
        <f t="shared" si="43"/>
        <v>4510.9880000000003</v>
      </c>
      <c r="FP34" s="450">
        <f t="shared" si="44"/>
        <v>90458.058000000005</v>
      </c>
      <c r="FT34" s="451" t="s">
        <v>554</v>
      </c>
      <c r="FU34" s="94" t="s">
        <v>573</v>
      </c>
      <c r="FV34" s="95">
        <v>0</v>
      </c>
      <c r="FW34" s="95">
        <v>140754366</v>
      </c>
      <c r="FX34" s="95">
        <v>140754366</v>
      </c>
      <c r="FY34" s="450">
        <f t="shared" si="45"/>
        <v>0</v>
      </c>
      <c r="FZ34" s="450">
        <f t="shared" si="46"/>
        <v>140754.36600000001</v>
      </c>
      <c r="GA34" s="450">
        <f t="shared" si="47"/>
        <v>140754.36600000001</v>
      </c>
      <c r="GG34" s="817" t="s">
        <v>554</v>
      </c>
      <c r="GH34" s="818" t="s">
        <v>570</v>
      </c>
      <c r="GI34" s="819">
        <v>108952686</v>
      </c>
      <c r="GJ34" s="819">
        <v>99705372</v>
      </c>
      <c r="GK34" s="819">
        <v>9247314</v>
      </c>
      <c r="GL34" s="819">
        <v>99705372</v>
      </c>
      <c r="GM34" s="819">
        <v>0</v>
      </c>
      <c r="GN34" s="450">
        <f t="shared" si="48"/>
        <v>108952.686</v>
      </c>
      <c r="GO34" s="450">
        <f t="shared" si="49"/>
        <v>99705.372000000003</v>
      </c>
      <c r="GP34" s="450">
        <f t="shared" si="50"/>
        <v>9247.3140000000003</v>
      </c>
      <c r="GQ34" s="450">
        <f t="shared" si="51"/>
        <v>99705.372000000003</v>
      </c>
      <c r="GR34" s="450">
        <f t="shared" si="52"/>
        <v>0</v>
      </c>
      <c r="GV34" s="841" t="s">
        <v>367</v>
      </c>
      <c r="GW34" s="840">
        <v>160491509</v>
      </c>
      <c r="GX34" s="450">
        <f t="shared" si="53"/>
        <v>160491.50899999999</v>
      </c>
      <c r="HB34" s="843" t="s">
        <v>365</v>
      </c>
      <c r="HC34" s="819">
        <v>12047937596</v>
      </c>
      <c r="HD34" s="819">
        <v>11936343845</v>
      </c>
      <c r="HE34" s="819">
        <v>111593751</v>
      </c>
      <c r="HF34" s="819">
        <v>11936343845</v>
      </c>
      <c r="HG34" s="450">
        <f t="shared" si="54"/>
        <v>12047937.596000001</v>
      </c>
      <c r="HH34" s="450">
        <f t="shared" si="55"/>
        <v>111593.751</v>
      </c>
      <c r="HI34" s="450">
        <f t="shared" si="56"/>
        <v>11936343.845000001</v>
      </c>
      <c r="HJ34" s="450">
        <f t="shared" si="57"/>
        <v>111593.751</v>
      </c>
      <c r="HK34" s="450">
        <f t="shared" si="58"/>
        <v>11936343.845000001</v>
      </c>
    </row>
    <row r="35" spans="1:219" ht="15" customHeight="1" x14ac:dyDescent="0.3">
      <c r="A35" s="295" t="s">
        <v>554</v>
      </c>
      <c r="B35" s="296" t="s">
        <v>368</v>
      </c>
      <c r="C35" s="297">
        <v>217979625</v>
      </c>
      <c r="D35" s="298">
        <f t="shared" si="3"/>
        <v>231712.34137499999</v>
      </c>
      <c r="E35" s="297">
        <v>19740700</v>
      </c>
      <c r="F35" s="297">
        <f t="shared" si="4"/>
        <v>20984.364099999999</v>
      </c>
      <c r="J35" s="299" t="s">
        <v>554</v>
      </c>
      <c r="K35" s="300" t="s">
        <v>579</v>
      </c>
      <c r="L35" s="301">
        <v>33107426</v>
      </c>
      <c r="M35" s="301">
        <f t="shared" si="5"/>
        <v>35193.193837999999</v>
      </c>
      <c r="Q35" s="299" t="s">
        <v>554</v>
      </c>
      <c r="R35" s="300" t="s">
        <v>368</v>
      </c>
      <c r="S35" s="301">
        <v>217979625</v>
      </c>
      <c r="T35" s="301">
        <v>39416575</v>
      </c>
      <c r="U35" s="301">
        <f t="shared" si="6"/>
        <v>231712.34137499999</v>
      </c>
      <c r="V35" s="301">
        <f t="shared" si="7"/>
        <v>41899.819224999992</v>
      </c>
      <c r="Z35" s="296" t="s">
        <v>573</v>
      </c>
      <c r="AA35" s="297">
        <v>196577919</v>
      </c>
      <c r="AB35" s="297">
        <f t="shared" si="8"/>
        <v>208962.32789699998</v>
      </c>
      <c r="AF35" s="296" t="s">
        <v>368</v>
      </c>
      <c r="AG35" s="297">
        <v>217979625</v>
      </c>
      <c r="AH35" s="297">
        <f t="shared" ref="AH35:AH66" si="59">+AG35/$AJ$2*$AK$2</f>
        <v>231712.34137499999</v>
      </c>
      <c r="AI35" s="297">
        <v>58875293</v>
      </c>
      <c r="AL35" s="450"/>
      <c r="AN35" s="447" t="s">
        <v>554</v>
      </c>
      <c r="AO35" s="448" t="s">
        <v>573</v>
      </c>
      <c r="AP35" s="449">
        <v>130824437</v>
      </c>
      <c r="AQ35" s="449">
        <f t="shared" si="9"/>
        <v>139066.37653099999</v>
      </c>
      <c r="AU35" s="447" t="s">
        <v>554</v>
      </c>
      <c r="AV35" s="448" t="s">
        <v>368</v>
      </c>
      <c r="AW35" s="449">
        <v>217979625</v>
      </c>
      <c r="AX35" s="449">
        <v>75860157</v>
      </c>
      <c r="AY35" s="449">
        <v>142119468</v>
      </c>
      <c r="AZ35" s="450">
        <f t="shared" si="10"/>
        <v>231712.34137499999</v>
      </c>
      <c r="BA35" s="450">
        <f t="shared" si="11"/>
        <v>80639.346891000008</v>
      </c>
      <c r="BB35" s="450">
        <f t="shared" si="12"/>
        <v>151072.994484</v>
      </c>
      <c r="BF35" s="447" t="s">
        <v>554</v>
      </c>
      <c r="BG35" s="448" t="s">
        <v>581</v>
      </c>
      <c r="BH35" s="449">
        <v>552303</v>
      </c>
      <c r="BI35" s="450">
        <f t="shared" si="13"/>
        <v>552.303</v>
      </c>
      <c r="BM35" s="451" t="s">
        <v>554</v>
      </c>
      <c r="BN35" s="94" t="s">
        <v>368</v>
      </c>
      <c r="BO35" s="95">
        <v>0</v>
      </c>
      <c r="BP35" s="95">
        <v>217979625</v>
      </c>
      <c r="BQ35" s="95">
        <v>95962676</v>
      </c>
      <c r="BR35" s="95">
        <v>122016949</v>
      </c>
      <c r="BS35" s="95">
        <v>95962676</v>
      </c>
      <c r="BT35" s="450">
        <f t="shared" si="14"/>
        <v>217979.625</v>
      </c>
      <c r="BU35" s="450">
        <f t="shared" si="15"/>
        <v>95962.676000000007</v>
      </c>
      <c r="BV35" s="450">
        <f t="shared" si="16"/>
        <v>122016.94899999999</v>
      </c>
      <c r="BW35" s="450">
        <f t="shared" si="17"/>
        <v>95962.676000000007</v>
      </c>
      <c r="CA35" s="94" t="s">
        <v>572</v>
      </c>
      <c r="CB35" s="450">
        <v>9232671</v>
      </c>
      <c r="CC35" s="450">
        <f t="shared" si="18"/>
        <v>9232.6710000000003</v>
      </c>
      <c r="CG35" s="448" t="s">
        <v>367</v>
      </c>
      <c r="CH35" s="449">
        <v>0</v>
      </c>
      <c r="CI35" s="449">
        <v>1558780587</v>
      </c>
      <c r="CJ35" s="449">
        <v>-1558780587</v>
      </c>
      <c r="CK35" s="449">
        <v>842239910</v>
      </c>
      <c r="CL35" s="449">
        <v>716540677</v>
      </c>
      <c r="CM35" s="449">
        <v>842239910</v>
      </c>
      <c r="CN35" s="449">
        <f t="shared" si="19"/>
        <v>1558780.5870000001</v>
      </c>
      <c r="CO35" s="449">
        <f t="shared" si="20"/>
        <v>842239.91</v>
      </c>
      <c r="CP35" s="449">
        <f t="shared" si="21"/>
        <v>716540.67700000003</v>
      </c>
      <c r="CQ35" s="449">
        <f t="shared" si="22"/>
        <v>842239.91</v>
      </c>
      <c r="CU35" s="448" t="s">
        <v>574</v>
      </c>
      <c r="CV35" s="449">
        <v>327280581</v>
      </c>
      <c r="CW35" s="449">
        <v>327280581</v>
      </c>
      <c r="CX35" s="450">
        <f t="shared" si="23"/>
        <v>327280.58100000001</v>
      </c>
      <c r="CY35" s="450">
        <f t="shared" si="24"/>
        <v>327280.58100000001</v>
      </c>
      <c r="DB35" s="602" t="s">
        <v>367</v>
      </c>
      <c r="DC35" s="603">
        <v>1558780587</v>
      </c>
      <c r="DD35" s="603">
        <v>985276251</v>
      </c>
      <c r="DE35" s="603">
        <v>573504336</v>
      </c>
      <c r="DF35" s="603">
        <v>985276251</v>
      </c>
      <c r="DG35" s="604">
        <f t="shared" si="25"/>
        <v>1558780.5870000001</v>
      </c>
      <c r="DH35" s="604">
        <f t="shared" si="26"/>
        <v>985276.25100000005</v>
      </c>
      <c r="DI35" s="604">
        <f t="shared" si="27"/>
        <v>573504.33600000001</v>
      </c>
      <c r="DJ35" s="604">
        <f t="shared" si="28"/>
        <v>985276.25100000005</v>
      </c>
      <c r="DN35" s="94" t="s">
        <v>579</v>
      </c>
      <c r="DO35" s="94">
        <v>34621146</v>
      </c>
      <c r="DP35" s="94">
        <v>34621146</v>
      </c>
      <c r="DQ35" s="666">
        <f t="shared" si="29"/>
        <v>34621.146000000001</v>
      </c>
      <c r="DR35" s="666">
        <f t="shared" si="30"/>
        <v>34621.146000000001</v>
      </c>
      <c r="DV35" s="94" t="s">
        <v>367</v>
      </c>
      <c r="DW35" s="95">
        <v>1558780587</v>
      </c>
      <c r="DX35" s="95">
        <v>1130046174</v>
      </c>
      <c r="DY35" s="95">
        <v>428734413</v>
      </c>
      <c r="DZ35" s="95">
        <v>1130046174</v>
      </c>
      <c r="EA35" s="95">
        <f t="shared" si="31"/>
        <v>1558780.5870000001</v>
      </c>
      <c r="EB35" s="95">
        <f t="shared" si="32"/>
        <v>1130046.1740000001</v>
      </c>
      <c r="EC35" s="95">
        <f t="shared" si="33"/>
        <v>428734.413</v>
      </c>
      <c r="ED35" s="95">
        <f t="shared" si="34"/>
        <v>1130046.1740000001</v>
      </c>
      <c r="EH35" s="444" t="s">
        <v>575</v>
      </c>
      <c r="EI35" s="444">
        <v>309878453</v>
      </c>
      <c r="EJ35" s="450">
        <f t="shared" si="35"/>
        <v>309878.45299999998</v>
      </c>
      <c r="EN35" s="444" t="s">
        <v>367</v>
      </c>
      <c r="EO35" s="450">
        <v>1558780587</v>
      </c>
      <c r="EP35" s="450">
        <v>1275722078</v>
      </c>
      <c r="EQ35" s="450">
        <v>283058509</v>
      </c>
      <c r="ER35" s="450">
        <v>1275722078</v>
      </c>
      <c r="ES35" s="746">
        <f t="shared" si="36"/>
        <v>1558780.5870000001</v>
      </c>
      <c r="ET35" s="746">
        <f t="shared" si="37"/>
        <v>1275722.078</v>
      </c>
      <c r="EU35" s="746">
        <f t="shared" si="38"/>
        <v>283058.50900000002</v>
      </c>
      <c r="EV35" s="746">
        <f t="shared" si="39"/>
        <v>1275722.078</v>
      </c>
      <c r="EZ35" s="780" t="s">
        <v>554</v>
      </c>
      <c r="FA35" s="781" t="s">
        <v>575</v>
      </c>
      <c r="FB35" s="444">
        <v>132313</v>
      </c>
      <c r="FC35" s="450">
        <f t="shared" si="40"/>
        <v>132.31299999999999</v>
      </c>
      <c r="FG35" s="785" t="s">
        <v>554</v>
      </c>
      <c r="FH35" s="784" t="s">
        <v>367</v>
      </c>
      <c r="FI35" s="782">
        <v>1558780587</v>
      </c>
      <c r="FJ35" s="783">
        <v>1422161291</v>
      </c>
      <c r="FK35" s="783">
        <v>136619296</v>
      </c>
      <c r="FL35" s="783">
        <v>1422161291</v>
      </c>
      <c r="FM35" s="450">
        <f t="shared" si="41"/>
        <v>1558780.5870000001</v>
      </c>
      <c r="FN35" s="450">
        <f t="shared" si="42"/>
        <v>1422161.291</v>
      </c>
      <c r="FO35" s="450">
        <f t="shared" si="43"/>
        <v>136619.296</v>
      </c>
      <c r="FP35" s="450">
        <f t="shared" si="44"/>
        <v>1422161.291</v>
      </c>
      <c r="FT35" s="451" t="s">
        <v>554</v>
      </c>
      <c r="FU35" s="94" t="s">
        <v>574</v>
      </c>
      <c r="FV35" s="95">
        <v>357132428</v>
      </c>
      <c r="FW35" s="95">
        <v>333065892</v>
      </c>
      <c r="FX35" s="95">
        <v>333065892</v>
      </c>
      <c r="FY35" s="450">
        <f t="shared" si="45"/>
        <v>357132.42800000001</v>
      </c>
      <c r="FZ35" s="450">
        <f t="shared" si="46"/>
        <v>333065.89199999999</v>
      </c>
      <c r="GA35" s="450">
        <f t="shared" si="47"/>
        <v>333065.89199999999</v>
      </c>
      <c r="GG35" s="817" t="s">
        <v>554</v>
      </c>
      <c r="GH35" s="818" t="s">
        <v>367</v>
      </c>
      <c r="GI35" s="819">
        <v>1714495787</v>
      </c>
      <c r="GJ35" s="819">
        <v>1568328539</v>
      </c>
      <c r="GK35" s="819">
        <v>146167248</v>
      </c>
      <c r="GL35" s="819">
        <v>1568328539</v>
      </c>
      <c r="GM35" s="819">
        <v>0</v>
      </c>
      <c r="GN35" s="450">
        <f t="shared" si="48"/>
        <v>1714495.787</v>
      </c>
      <c r="GO35" s="450">
        <f t="shared" si="49"/>
        <v>1568328.5390000001</v>
      </c>
      <c r="GP35" s="450">
        <f t="shared" si="50"/>
        <v>146167.24799999999</v>
      </c>
      <c r="GQ35" s="450">
        <f t="shared" si="51"/>
        <v>1568328.5390000001</v>
      </c>
      <c r="GR35" s="450">
        <f t="shared" si="52"/>
        <v>0</v>
      </c>
      <c r="GV35" s="841" t="s">
        <v>368</v>
      </c>
      <c r="GW35" s="840">
        <v>22776024</v>
      </c>
      <c r="GX35" s="450">
        <f t="shared" si="53"/>
        <v>22776.024000000001</v>
      </c>
      <c r="HB35" s="843" t="s">
        <v>366</v>
      </c>
      <c r="HC35" s="819">
        <v>2554398667</v>
      </c>
      <c r="HD35" s="819">
        <v>2503502130</v>
      </c>
      <c r="HE35" s="819">
        <v>50896537</v>
      </c>
      <c r="HF35" s="819">
        <v>2503502130</v>
      </c>
      <c r="HG35" s="450">
        <f t="shared" si="54"/>
        <v>2554398.6669999999</v>
      </c>
      <c r="HH35" s="450">
        <f t="shared" si="55"/>
        <v>50896.536999999997</v>
      </c>
      <c r="HI35" s="450">
        <f t="shared" si="56"/>
        <v>2503502.13</v>
      </c>
      <c r="HJ35" s="450">
        <f t="shared" si="57"/>
        <v>50896.536999999997</v>
      </c>
      <c r="HK35" s="450">
        <f t="shared" si="58"/>
        <v>2503502.13</v>
      </c>
    </row>
    <row r="36" spans="1:219" ht="15" customHeight="1" x14ac:dyDescent="0.3">
      <c r="A36" s="295" t="s">
        <v>554</v>
      </c>
      <c r="B36" s="296" t="s">
        <v>571</v>
      </c>
      <c r="C36" s="297">
        <v>14155</v>
      </c>
      <c r="D36" s="298">
        <f t="shared" si="3"/>
        <v>15.046764999999999</v>
      </c>
      <c r="E36" s="297">
        <v>7160</v>
      </c>
      <c r="F36" s="297">
        <f t="shared" si="4"/>
        <v>7.6110799999999994</v>
      </c>
      <c r="J36" s="299" t="s">
        <v>553</v>
      </c>
      <c r="K36" s="300" t="s">
        <v>580</v>
      </c>
      <c r="L36" s="301">
        <v>0</v>
      </c>
      <c r="M36" s="301">
        <f t="shared" si="5"/>
        <v>0</v>
      </c>
      <c r="Q36" s="299" t="s">
        <v>554</v>
      </c>
      <c r="R36" s="300" t="s">
        <v>571</v>
      </c>
      <c r="S36" s="301">
        <v>21315</v>
      </c>
      <c r="T36" s="301">
        <v>14320</v>
      </c>
      <c r="U36" s="301">
        <f t="shared" si="6"/>
        <v>22.657845000000002</v>
      </c>
      <c r="V36" s="301">
        <f t="shared" si="7"/>
        <v>15.222159999999999</v>
      </c>
      <c r="Z36" s="296" t="s">
        <v>574</v>
      </c>
      <c r="AA36" s="297">
        <v>317934373</v>
      </c>
      <c r="AB36" s="297">
        <f t="shared" si="8"/>
        <v>337964.23849900003</v>
      </c>
      <c r="AF36" s="296" t="s">
        <v>571</v>
      </c>
      <c r="AG36" s="297">
        <v>21480</v>
      </c>
      <c r="AH36" s="297">
        <f t="shared" si="59"/>
        <v>22.83324</v>
      </c>
      <c r="AI36" s="297">
        <v>21480</v>
      </c>
      <c r="AL36" s="450"/>
      <c r="AN36" s="447" t="s">
        <v>554</v>
      </c>
      <c r="AO36" s="448" t="s">
        <v>574</v>
      </c>
      <c r="AP36" s="449">
        <v>309042106</v>
      </c>
      <c r="AQ36" s="449">
        <f t="shared" si="9"/>
        <v>328511.75867800001</v>
      </c>
      <c r="AU36" s="447" t="s">
        <v>554</v>
      </c>
      <c r="AV36" s="448" t="s">
        <v>571</v>
      </c>
      <c r="AW36" s="449">
        <v>21480</v>
      </c>
      <c r="AX36" s="449">
        <v>21480</v>
      </c>
      <c r="AY36" s="449">
        <v>0</v>
      </c>
      <c r="AZ36" s="450">
        <f t="shared" si="10"/>
        <v>22.83324</v>
      </c>
      <c r="BA36" s="450">
        <f t="shared" si="11"/>
        <v>22.83324</v>
      </c>
      <c r="BB36" s="450">
        <f t="shared" si="12"/>
        <v>0</v>
      </c>
      <c r="BF36" s="447" t="s">
        <v>554</v>
      </c>
      <c r="BG36" s="448" t="s">
        <v>370</v>
      </c>
      <c r="BH36" s="449">
        <v>581372</v>
      </c>
      <c r="BI36" s="450">
        <f t="shared" si="13"/>
        <v>581.37199999999996</v>
      </c>
      <c r="BM36" s="451" t="s">
        <v>554</v>
      </c>
      <c r="BN36" s="94" t="s">
        <v>571</v>
      </c>
      <c r="BO36" s="95">
        <v>0</v>
      </c>
      <c r="BP36" s="95">
        <v>21480</v>
      </c>
      <c r="BQ36" s="95">
        <v>21480</v>
      </c>
      <c r="BR36" s="95">
        <v>0</v>
      </c>
      <c r="BS36" s="95">
        <v>21480</v>
      </c>
      <c r="BT36" s="450">
        <f t="shared" si="14"/>
        <v>21.48</v>
      </c>
      <c r="BU36" s="450">
        <f t="shared" si="15"/>
        <v>21.48</v>
      </c>
      <c r="BV36" s="450">
        <f t="shared" si="16"/>
        <v>0</v>
      </c>
      <c r="BW36" s="450">
        <f t="shared" si="17"/>
        <v>21.48</v>
      </c>
      <c r="CA36" s="94" t="s">
        <v>573</v>
      </c>
      <c r="CB36" s="450">
        <v>212418143</v>
      </c>
      <c r="CC36" s="450">
        <f t="shared" si="18"/>
        <v>212418.14300000001</v>
      </c>
      <c r="CG36" s="448" t="s">
        <v>368</v>
      </c>
      <c r="CH36" s="449">
        <v>0</v>
      </c>
      <c r="CI36" s="449">
        <v>217979625</v>
      </c>
      <c r="CJ36" s="449">
        <v>-217979625</v>
      </c>
      <c r="CK36" s="449">
        <v>115988391</v>
      </c>
      <c r="CL36" s="449">
        <v>101991234</v>
      </c>
      <c r="CM36" s="449">
        <v>115988391</v>
      </c>
      <c r="CN36" s="449">
        <f t="shared" si="19"/>
        <v>217979.625</v>
      </c>
      <c r="CO36" s="449">
        <f t="shared" si="20"/>
        <v>115988.391</v>
      </c>
      <c r="CP36" s="449">
        <f t="shared" si="21"/>
        <v>101991.234</v>
      </c>
      <c r="CQ36" s="449">
        <f t="shared" si="22"/>
        <v>115988.391</v>
      </c>
      <c r="CU36" s="448" t="s">
        <v>575</v>
      </c>
      <c r="CV36" s="449">
        <v>465616</v>
      </c>
      <c r="CW36" s="449">
        <v>465616</v>
      </c>
      <c r="CX36" s="450">
        <f t="shared" si="23"/>
        <v>465.61599999999999</v>
      </c>
      <c r="CY36" s="450">
        <f t="shared" si="24"/>
        <v>465.61599999999999</v>
      </c>
      <c r="DB36" s="602" t="s">
        <v>368</v>
      </c>
      <c r="DC36" s="603">
        <v>217979625</v>
      </c>
      <c r="DD36" s="603">
        <v>136406429</v>
      </c>
      <c r="DE36" s="603">
        <v>81573196</v>
      </c>
      <c r="DF36" s="603">
        <v>136406429</v>
      </c>
      <c r="DG36" s="604">
        <f t="shared" si="25"/>
        <v>217979.625</v>
      </c>
      <c r="DH36" s="604">
        <f t="shared" si="26"/>
        <v>136406.429</v>
      </c>
      <c r="DI36" s="604">
        <f t="shared" si="27"/>
        <v>81573.195999999996</v>
      </c>
      <c r="DJ36" s="604">
        <f t="shared" si="28"/>
        <v>136406.429</v>
      </c>
      <c r="DN36" s="94" t="s">
        <v>580</v>
      </c>
      <c r="DO36" s="94">
        <v>94374</v>
      </c>
      <c r="DP36" s="94">
        <v>94374</v>
      </c>
      <c r="DQ36" s="666">
        <f t="shared" si="29"/>
        <v>94.373999999999995</v>
      </c>
      <c r="DR36" s="666">
        <f t="shared" si="30"/>
        <v>94.373999999999995</v>
      </c>
      <c r="DV36" s="94" t="s">
        <v>368</v>
      </c>
      <c r="DW36" s="95">
        <v>217979625</v>
      </c>
      <c r="DX36" s="95">
        <v>156949115</v>
      </c>
      <c r="DY36" s="95">
        <v>61030510</v>
      </c>
      <c r="DZ36" s="95">
        <v>156949115</v>
      </c>
      <c r="EA36" s="95">
        <f t="shared" si="31"/>
        <v>217979.625</v>
      </c>
      <c r="EB36" s="95">
        <f t="shared" si="32"/>
        <v>156949.11499999999</v>
      </c>
      <c r="EC36" s="95">
        <f t="shared" si="33"/>
        <v>61030.51</v>
      </c>
      <c r="ED36" s="95">
        <f t="shared" si="34"/>
        <v>156949.11499999999</v>
      </c>
      <c r="EH36" s="444" t="s">
        <v>576</v>
      </c>
      <c r="EI36" s="444">
        <v>11290391</v>
      </c>
      <c r="EJ36" s="450">
        <f t="shared" si="35"/>
        <v>11290.391</v>
      </c>
      <c r="EN36" s="444" t="s">
        <v>368</v>
      </c>
      <c r="EO36" s="450">
        <v>217979625</v>
      </c>
      <c r="EP36" s="450">
        <v>177367153</v>
      </c>
      <c r="EQ36" s="450">
        <v>40612472</v>
      </c>
      <c r="ER36" s="450">
        <v>177367153</v>
      </c>
      <c r="ES36" s="746">
        <f t="shared" si="36"/>
        <v>217979.625</v>
      </c>
      <c r="ET36" s="746">
        <f t="shared" si="37"/>
        <v>177367.15299999999</v>
      </c>
      <c r="EU36" s="746">
        <f t="shared" si="38"/>
        <v>40612.472000000002</v>
      </c>
      <c r="EV36" s="746">
        <f t="shared" si="39"/>
        <v>177367.15299999999</v>
      </c>
      <c r="EZ36" s="780" t="s">
        <v>554</v>
      </c>
      <c r="FA36" s="781" t="s">
        <v>576</v>
      </c>
      <c r="FB36" s="444">
        <v>0</v>
      </c>
      <c r="FC36" s="450">
        <f t="shared" si="40"/>
        <v>0</v>
      </c>
      <c r="FG36" s="785" t="s">
        <v>554</v>
      </c>
      <c r="FH36" s="784" t="s">
        <v>368</v>
      </c>
      <c r="FI36" s="782">
        <v>217979625</v>
      </c>
      <c r="FJ36" s="783">
        <v>197785191</v>
      </c>
      <c r="FK36" s="783">
        <v>20194434</v>
      </c>
      <c r="FL36" s="783">
        <v>197785191</v>
      </c>
      <c r="FM36" s="450">
        <f t="shared" si="41"/>
        <v>217979.625</v>
      </c>
      <c r="FN36" s="450">
        <f t="shared" si="42"/>
        <v>197785.19099999999</v>
      </c>
      <c r="FO36" s="450">
        <f t="shared" si="43"/>
        <v>20194.434000000001</v>
      </c>
      <c r="FP36" s="450">
        <f t="shared" si="44"/>
        <v>197785.19099999999</v>
      </c>
      <c r="FT36" s="451" t="s">
        <v>554</v>
      </c>
      <c r="FU36" s="94" t="s">
        <v>575</v>
      </c>
      <c r="FV36" s="95">
        <v>0</v>
      </c>
      <c r="FW36" s="95">
        <v>0</v>
      </c>
      <c r="FX36" s="95">
        <v>0</v>
      </c>
      <c r="FY36" s="450">
        <f t="shared" si="45"/>
        <v>0</v>
      </c>
      <c r="FZ36" s="450">
        <f t="shared" si="46"/>
        <v>0</v>
      </c>
      <c r="GA36" s="450">
        <f t="shared" si="47"/>
        <v>0</v>
      </c>
      <c r="GG36" s="817" t="s">
        <v>554</v>
      </c>
      <c r="GH36" s="818" t="s">
        <v>368</v>
      </c>
      <c r="GI36" s="819">
        <v>238621267</v>
      </c>
      <c r="GJ36" s="819">
        <v>218203229</v>
      </c>
      <c r="GK36" s="819">
        <v>20418038</v>
      </c>
      <c r="GL36" s="819">
        <v>218203229</v>
      </c>
      <c r="GM36" s="819">
        <v>0</v>
      </c>
      <c r="GN36" s="450">
        <f t="shared" si="48"/>
        <v>238621.26699999999</v>
      </c>
      <c r="GO36" s="450">
        <f t="shared" si="49"/>
        <v>218203.22899999999</v>
      </c>
      <c r="GP36" s="450">
        <f t="shared" si="50"/>
        <v>20418.038</v>
      </c>
      <c r="GQ36" s="450">
        <f t="shared" si="51"/>
        <v>218203.22899999999</v>
      </c>
      <c r="GR36" s="450">
        <f t="shared" si="52"/>
        <v>0</v>
      </c>
      <c r="GV36" s="841" t="s">
        <v>572</v>
      </c>
      <c r="GW36" s="840">
        <v>10059639</v>
      </c>
      <c r="GX36" s="450">
        <f t="shared" si="53"/>
        <v>10059.638999999999</v>
      </c>
      <c r="HB36" s="843" t="s">
        <v>570</v>
      </c>
      <c r="HC36" s="819">
        <v>109952686</v>
      </c>
      <c r="HD36" s="819">
        <v>109943707</v>
      </c>
      <c r="HE36" s="819">
        <v>8979</v>
      </c>
      <c r="HF36" s="819">
        <v>109943707</v>
      </c>
      <c r="HG36" s="450">
        <f t="shared" si="54"/>
        <v>109952.686</v>
      </c>
      <c r="HH36" s="450">
        <f t="shared" si="55"/>
        <v>8.9789999999999992</v>
      </c>
      <c r="HI36" s="450">
        <f t="shared" si="56"/>
        <v>109943.70699999999</v>
      </c>
      <c r="HJ36" s="450">
        <f t="shared" si="57"/>
        <v>8.9789999999999992</v>
      </c>
      <c r="HK36" s="450">
        <f t="shared" si="58"/>
        <v>109943.70699999999</v>
      </c>
    </row>
    <row r="37" spans="1:219" ht="15" customHeight="1" x14ac:dyDescent="0.3">
      <c r="A37" s="295" t="s">
        <v>554</v>
      </c>
      <c r="B37" s="296" t="s">
        <v>572</v>
      </c>
      <c r="C37" s="297">
        <v>125826456</v>
      </c>
      <c r="D37" s="298">
        <f t="shared" si="3"/>
        <v>133753.52272800001</v>
      </c>
      <c r="E37" s="297">
        <v>7217613</v>
      </c>
      <c r="F37" s="297">
        <f t="shared" si="4"/>
        <v>7672.3226189999996</v>
      </c>
      <c r="J37" s="299" t="s">
        <v>554</v>
      </c>
      <c r="K37" s="300" t="s">
        <v>581</v>
      </c>
      <c r="L37" s="301">
        <v>0</v>
      </c>
      <c r="M37" s="301">
        <f t="shared" si="5"/>
        <v>0</v>
      </c>
      <c r="Q37" s="299" t="s">
        <v>554</v>
      </c>
      <c r="R37" s="300" t="s">
        <v>572</v>
      </c>
      <c r="S37" s="301">
        <v>125819296</v>
      </c>
      <c r="T37" s="301">
        <v>14435226</v>
      </c>
      <c r="U37" s="301">
        <f t="shared" si="6"/>
        <v>133745.91164800001</v>
      </c>
      <c r="V37" s="301">
        <f t="shared" si="7"/>
        <v>15344.645237999999</v>
      </c>
      <c r="Z37" s="296" t="s">
        <v>575</v>
      </c>
      <c r="AA37" s="297">
        <v>301424543</v>
      </c>
      <c r="AB37" s="297">
        <f t="shared" si="8"/>
        <v>320414.28920900001</v>
      </c>
      <c r="AF37" s="296" t="s">
        <v>572</v>
      </c>
      <c r="AG37" s="297">
        <v>125819296</v>
      </c>
      <c r="AH37" s="297">
        <f t="shared" si="59"/>
        <v>133745.91164800001</v>
      </c>
      <c r="AI37" s="297">
        <v>21763653</v>
      </c>
      <c r="AL37" s="450"/>
      <c r="AN37" s="447" t="s">
        <v>554</v>
      </c>
      <c r="AO37" s="448" t="s">
        <v>575</v>
      </c>
      <c r="AP37" s="449">
        <v>729274</v>
      </c>
      <c r="AQ37" s="449">
        <f t="shared" si="9"/>
        <v>775.21826199999998</v>
      </c>
      <c r="AU37" s="447" t="s">
        <v>554</v>
      </c>
      <c r="AV37" s="448" t="s">
        <v>572</v>
      </c>
      <c r="AW37" s="449">
        <v>125819296</v>
      </c>
      <c r="AX37" s="449">
        <v>29062027</v>
      </c>
      <c r="AY37" s="449">
        <v>96757269</v>
      </c>
      <c r="AZ37" s="450">
        <f t="shared" si="10"/>
        <v>133745.91164800001</v>
      </c>
      <c r="BA37" s="450">
        <f t="shared" si="11"/>
        <v>30892.934700999998</v>
      </c>
      <c r="BB37" s="450">
        <f t="shared" si="12"/>
        <v>102852.97694699999</v>
      </c>
      <c r="BF37" s="447" t="s">
        <v>553</v>
      </c>
      <c r="BG37" s="448" t="s">
        <v>371</v>
      </c>
      <c r="BH37" s="449">
        <v>30398577</v>
      </c>
      <c r="BI37" s="450">
        <f t="shared" si="13"/>
        <v>30398.577000000001</v>
      </c>
      <c r="BM37" s="451" t="s">
        <v>554</v>
      </c>
      <c r="BN37" s="94" t="s">
        <v>572</v>
      </c>
      <c r="BO37" s="95">
        <v>0</v>
      </c>
      <c r="BP37" s="95">
        <v>125819296</v>
      </c>
      <c r="BQ37" s="95">
        <v>37425136</v>
      </c>
      <c r="BR37" s="95">
        <v>88394160</v>
      </c>
      <c r="BS37" s="95">
        <v>37425136</v>
      </c>
      <c r="BT37" s="450">
        <f t="shared" si="14"/>
        <v>125819.296</v>
      </c>
      <c r="BU37" s="450">
        <f t="shared" si="15"/>
        <v>37425.135999999999</v>
      </c>
      <c r="BV37" s="450">
        <f t="shared" si="16"/>
        <v>88394.16</v>
      </c>
      <c r="BW37" s="450">
        <f t="shared" si="17"/>
        <v>37425.135999999999</v>
      </c>
      <c r="CA37" s="94" t="s">
        <v>574</v>
      </c>
      <c r="CB37" s="450">
        <v>342753581</v>
      </c>
      <c r="CC37" s="450">
        <f t="shared" si="18"/>
        <v>342753.58100000001</v>
      </c>
      <c r="CG37" s="448" t="s">
        <v>571</v>
      </c>
      <c r="CH37" s="449">
        <v>0</v>
      </c>
      <c r="CI37" s="449">
        <v>21480</v>
      </c>
      <c r="CJ37" s="449">
        <v>-21480</v>
      </c>
      <c r="CK37" s="449">
        <v>21480</v>
      </c>
      <c r="CL37" s="449">
        <v>0</v>
      </c>
      <c r="CM37" s="449">
        <v>21480</v>
      </c>
      <c r="CN37" s="449">
        <f t="shared" si="19"/>
        <v>21.48</v>
      </c>
      <c r="CO37" s="449">
        <f t="shared" si="20"/>
        <v>21.48</v>
      </c>
      <c r="CP37" s="449">
        <f t="shared" si="21"/>
        <v>0</v>
      </c>
      <c r="CQ37" s="449">
        <f t="shared" si="22"/>
        <v>21.48</v>
      </c>
      <c r="CU37" s="448" t="s">
        <v>576</v>
      </c>
      <c r="CV37" s="449">
        <v>70745</v>
      </c>
      <c r="CW37" s="449">
        <v>70745</v>
      </c>
      <c r="CX37" s="450">
        <f t="shared" si="23"/>
        <v>70.745000000000005</v>
      </c>
      <c r="CY37" s="450">
        <f t="shared" si="24"/>
        <v>70.745000000000005</v>
      </c>
      <c r="DB37" s="602" t="s">
        <v>571</v>
      </c>
      <c r="DC37" s="603">
        <v>21480</v>
      </c>
      <c r="DD37" s="603">
        <v>21480</v>
      </c>
      <c r="DE37" s="603">
        <v>0</v>
      </c>
      <c r="DF37" s="603">
        <v>21480</v>
      </c>
      <c r="DG37" s="604">
        <f t="shared" si="25"/>
        <v>21.48</v>
      </c>
      <c r="DH37" s="604">
        <f t="shared" si="26"/>
        <v>21.48</v>
      </c>
      <c r="DI37" s="604">
        <f t="shared" si="27"/>
        <v>0</v>
      </c>
      <c r="DJ37" s="604">
        <f t="shared" si="28"/>
        <v>21.48</v>
      </c>
      <c r="DN37" s="94" t="s">
        <v>581</v>
      </c>
      <c r="DO37" s="94">
        <v>61053</v>
      </c>
      <c r="DP37" s="94">
        <v>61053</v>
      </c>
      <c r="DQ37" s="666">
        <f t="shared" si="29"/>
        <v>61.052999999999997</v>
      </c>
      <c r="DR37" s="666">
        <f t="shared" si="30"/>
        <v>61.052999999999997</v>
      </c>
      <c r="DV37" s="94" t="s">
        <v>571</v>
      </c>
      <c r="DW37" s="95">
        <v>21480</v>
      </c>
      <c r="DX37" s="95">
        <v>21480</v>
      </c>
      <c r="DY37" s="95">
        <v>0</v>
      </c>
      <c r="DZ37" s="95">
        <v>21480</v>
      </c>
      <c r="EA37" s="95">
        <f t="shared" si="31"/>
        <v>21.48</v>
      </c>
      <c r="EB37" s="95">
        <f t="shared" si="32"/>
        <v>21.48</v>
      </c>
      <c r="EC37" s="95">
        <f t="shared" si="33"/>
        <v>0</v>
      </c>
      <c r="ED37" s="95">
        <f t="shared" si="34"/>
        <v>21.48</v>
      </c>
      <c r="EH37" s="444" t="s">
        <v>577</v>
      </c>
      <c r="EI37" s="444">
        <v>0</v>
      </c>
      <c r="EJ37" s="450">
        <f t="shared" si="35"/>
        <v>0</v>
      </c>
      <c r="EN37" s="444" t="s">
        <v>571</v>
      </c>
      <c r="EO37" s="450">
        <v>21480</v>
      </c>
      <c r="EP37" s="450">
        <v>21480</v>
      </c>
      <c r="EQ37" s="450">
        <v>0</v>
      </c>
      <c r="ER37" s="450">
        <v>21480</v>
      </c>
      <c r="ES37" s="746">
        <f t="shared" si="36"/>
        <v>21.48</v>
      </c>
      <c r="ET37" s="746">
        <f t="shared" si="37"/>
        <v>21.48</v>
      </c>
      <c r="EU37" s="746">
        <f t="shared" si="38"/>
        <v>0</v>
      </c>
      <c r="EV37" s="746">
        <f t="shared" si="39"/>
        <v>21.48</v>
      </c>
      <c r="EZ37" s="780" t="s">
        <v>553</v>
      </c>
      <c r="FA37" s="781" t="s">
        <v>369</v>
      </c>
      <c r="FB37" s="444">
        <v>32707144</v>
      </c>
      <c r="FC37" s="450">
        <f t="shared" si="40"/>
        <v>32707.144</v>
      </c>
      <c r="FG37" s="785" t="s">
        <v>554</v>
      </c>
      <c r="FH37" s="784" t="s">
        <v>571</v>
      </c>
      <c r="FI37" s="782">
        <v>21480</v>
      </c>
      <c r="FJ37" s="783">
        <v>21480</v>
      </c>
      <c r="FK37" s="783">
        <v>0</v>
      </c>
      <c r="FL37" s="783">
        <v>21480</v>
      </c>
      <c r="FM37" s="450">
        <f t="shared" si="41"/>
        <v>21.48</v>
      </c>
      <c r="FN37" s="450">
        <f t="shared" si="42"/>
        <v>21.48</v>
      </c>
      <c r="FO37" s="450">
        <f t="shared" si="43"/>
        <v>0</v>
      </c>
      <c r="FP37" s="450">
        <f t="shared" si="44"/>
        <v>21.48</v>
      </c>
      <c r="FT37" s="451" t="s">
        <v>554</v>
      </c>
      <c r="FU37" s="94" t="s">
        <v>576</v>
      </c>
      <c r="FV37" s="95">
        <v>0</v>
      </c>
      <c r="FW37" s="95">
        <v>0</v>
      </c>
      <c r="FX37" s="95">
        <v>0</v>
      </c>
      <c r="FY37" s="450">
        <f t="shared" si="45"/>
        <v>0</v>
      </c>
      <c r="FZ37" s="450">
        <f t="shared" si="46"/>
        <v>0</v>
      </c>
      <c r="GA37" s="450">
        <f t="shared" si="47"/>
        <v>0</v>
      </c>
      <c r="GG37" s="817" t="s">
        <v>554</v>
      </c>
      <c r="GH37" s="818" t="s">
        <v>571</v>
      </c>
      <c r="GI37" s="819">
        <v>21480</v>
      </c>
      <c r="GJ37" s="819">
        <v>21480</v>
      </c>
      <c r="GK37" s="819">
        <v>0</v>
      </c>
      <c r="GL37" s="819">
        <v>21480</v>
      </c>
      <c r="GM37" s="819">
        <v>0</v>
      </c>
      <c r="GN37" s="450">
        <f t="shared" si="48"/>
        <v>21.48</v>
      </c>
      <c r="GO37" s="450">
        <f t="shared" si="49"/>
        <v>21.48</v>
      </c>
      <c r="GP37" s="450">
        <f t="shared" si="50"/>
        <v>0</v>
      </c>
      <c r="GQ37" s="450">
        <f t="shared" si="51"/>
        <v>21.48</v>
      </c>
      <c r="GR37" s="450">
        <f t="shared" si="52"/>
        <v>0</v>
      </c>
      <c r="GV37" s="841" t="s">
        <v>573</v>
      </c>
      <c r="GW37" s="840">
        <v>240157541</v>
      </c>
      <c r="GX37" s="450">
        <f t="shared" si="53"/>
        <v>240157.541</v>
      </c>
      <c r="HB37" s="843" t="s">
        <v>367</v>
      </c>
      <c r="HC37" s="819">
        <v>1729495787</v>
      </c>
      <c r="HD37" s="819">
        <v>1728820048</v>
      </c>
      <c r="HE37" s="819">
        <v>675739</v>
      </c>
      <c r="HF37" s="819">
        <v>1728820048</v>
      </c>
      <c r="HG37" s="450">
        <f t="shared" si="54"/>
        <v>1729495.787</v>
      </c>
      <c r="HH37" s="450">
        <f t="shared" si="55"/>
        <v>675.73900000000003</v>
      </c>
      <c r="HI37" s="450">
        <f t="shared" si="56"/>
        <v>1728820.048</v>
      </c>
      <c r="HJ37" s="450">
        <f t="shared" si="57"/>
        <v>675.73900000000003</v>
      </c>
      <c r="HK37" s="450">
        <f t="shared" si="58"/>
        <v>1728820.048</v>
      </c>
    </row>
    <row r="38" spans="1:219" ht="15" customHeight="1" x14ac:dyDescent="0.3">
      <c r="A38" s="295" t="s">
        <v>554</v>
      </c>
      <c r="B38" s="296" t="s">
        <v>573</v>
      </c>
      <c r="C38" s="297">
        <v>1749378898</v>
      </c>
      <c r="D38" s="298">
        <f t="shared" si="3"/>
        <v>1859589.7685739999</v>
      </c>
      <c r="E38" s="297">
        <v>135325125</v>
      </c>
      <c r="F38" s="297">
        <f t="shared" si="4"/>
        <v>143850.60787499999</v>
      </c>
      <c r="J38" s="299" t="s">
        <v>553</v>
      </c>
      <c r="K38" s="300" t="s">
        <v>371</v>
      </c>
      <c r="L38" s="301">
        <v>20101999</v>
      </c>
      <c r="M38" s="301">
        <f t="shared" si="5"/>
        <v>21368.424937</v>
      </c>
      <c r="Q38" s="299" t="s">
        <v>554</v>
      </c>
      <c r="R38" s="300" t="s">
        <v>573</v>
      </c>
      <c r="S38" s="301">
        <v>1749378898</v>
      </c>
      <c r="T38" s="301">
        <v>270421643</v>
      </c>
      <c r="U38" s="301">
        <f t="shared" si="6"/>
        <v>1859589.7685739999</v>
      </c>
      <c r="V38" s="301">
        <f t="shared" si="7"/>
        <v>287458.20650899998</v>
      </c>
      <c r="Z38" s="296" t="s">
        <v>576</v>
      </c>
      <c r="AA38" s="297">
        <v>10932783</v>
      </c>
      <c r="AB38" s="297">
        <f t="shared" si="8"/>
        <v>11621.548328999999</v>
      </c>
      <c r="AF38" s="296" t="s">
        <v>573</v>
      </c>
      <c r="AG38" s="297">
        <v>1749378898</v>
      </c>
      <c r="AH38" s="297">
        <f t="shared" si="59"/>
        <v>1859589.7685739999</v>
      </c>
      <c r="AI38" s="297">
        <v>466999562</v>
      </c>
      <c r="AL38" s="450"/>
      <c r="AN38" s="447" t="s">
        <v>554</v>
      </c>
      <c r="AO38" s="448" t="s">
        <v>576</v>
      </c>
      <c r="AP38" s="449">
        <v>0</v>
      </c>
      <c r="AQ38" s="449">
        <f t="shared" si="9"/>
        <v>0</v>
      </c>
      <c r="AU38" s="447" t="s">
        <v>554</v>
      </c>
      <c r="AV38" s="448" t="s">
        <v>573</v>
      </c>
      <c r="AW38" s="449">
        <v>1749378898</v>
      </c>
      <c r="AX38" s="449">
        <v>597823999</v>
      </c>
      <c r="AY38" s="449">
        <v>1151554899</v>
      </c>
      <c r="AZ38" s="450">
        <f t="shared" si="10"/>
        <v>1859589.7685739999</v>
      </c>
      <c r="BA38" s="450">
        <f t="shared" si="11"/>
        <v>635486.91093699995</v>
      </c>
      <c r="BB38" s="450">
        <f t="shared" si="12"/>
        <v>1224102.8576369998</v>
      </c>
      <c r="BF38" s="447" t="s">
        <v>554</v>
      </c>
      <c r="BG38" s="448" t="s">
        <v>582</v>
      </c>
      <c r="BH38" s="449">
        <v>19906420</v>
      </c>
      <c r="BI38" s="450">
        <f t="shared" si="13"/>
        <v>19906.419999999998</v>
      </c>
      <c r="BM38" s="451" t="s">
        <v>554</v>
      </c>
      <c r="BN38" s="94" t="s">
        <v>573</v>
      </c>
      <c r="BO38" s="95">
        <v>0</v>
      </c>
      <c r="BP38" s="95">
        <v>1749378898</v>
      </c>
      <c r="BQ38" s="95">
        <v>737759992</v>
      </c>
      <c r="BR38" s="95">
        <v>1011618906</v>
      </c>
      <c r="BS38" s="95">
        <v>737759992</v>
      </c>
      <c r="BT38" s="450">
        <f t="shared" si="14"/>
        <v>1749378.898</v>
      </c>
      <c r="BU38" s="450">
        <f t="shared" si="15"/>
        <v>737759.99199999997</v>
      </c>
      <c r="BV38" s="450">
        <f t="shared" si="16"/>
        <v>1011618.906</v>
      </c>
      <c r="BW38" s="450">
        <f t="shared" si="17"/>
        <v>737759.99199999997</v>
      </c>
      <c r="CA38" s="94" t="s">
        <v>575</v>
      </c>
      <c r="CB38" s="450">
        <v>304938289</v>
      </c>
      <c r="CC38" s="450">
        <f t="shared" si="18"/>
        <v>304938.28899999999</v>
      </c>
      <c r="CG38" s="448" t="s">
        <v>572</v>
      </c>
      <c r="CH38" s="449">
        <v>0</v>
      </c>
      <c r="CI38" s="449">
        <v>125819296</v>
      </c>
      <c r="CJ38" s="449">
        <v>-125819296</v>
      </c>
      <c r="CK38" s="449">
        <v>46657807</v>
      </c>
      <c r="CL38" s="449">
        <v>79161489</v>
      </c>
      <c r="CM38" s="449">
        <v>46657807</v>
      </c>
      <c r="CN38" s="449">
        <f t="shared" si="19"/>
        <v>125819.296</v>
      </c>
      <c r="CO38" s="449">
        <f t="shared" si="20"/>
        <v>46657.807000000001</v>
      </c>
      <c r="CP38" s="449">
        <f t="shared" si="21"/>
        <v>79161.489000000001</v>
      </c>
      <c r="CQ38" s="449">
        <f t="shared" si="22"/>
        <v>46657.807000000001</v>
      </c>
      <c r="CU38" s="448" t="s">
        <v>577</v>
      </c>
      <c r="CV38" s="449">
        <v>132916</v>
      </c>
      <c r="CW38" s="449">
        <v>132916</v>
      </c>
      <c r="CX38" s="450">
        <f t="shared" si="23"/>
        <v>132.916</v>
      </c>
      <c r="CY38" s="450">
        <f t="shared" si="24"/>
        <v>132.916</v>
      </c>
      <c r="DB38" s="602" t="s">
        <v>572</v>
      </c>
      <c r="DC38" s="603">
        <v>125819296</v>
      </c>
      <c r="DD38" s="603">
        <v>55680065</v>
      </c>
      <c r="DE38" s="603">
        <v>70139231</v>
      </c>
      <c r="DF38" s="603">
        <v>55680065</v>
      </c>
      <c r="DG38" s="604">
        <f t="shared" si="25"/>
        <v>125819.296</v>
      </c>
      <c r="DH38" s="604">
        <f t="shared" si="26"/>
        <v>55680.065000000002</v>
      </c>
      <c r="DI38" s="604">
        <f t="shared" si="27"/>
        <v>70139.231</v>
      </c>
      <c r="DJ38" s="604">
        <f t="shared" si="28"/>
        <v>55680.065000000002</v>
      </c>
      <c r="DN38" s="94" t="s">
        <v>370</v>
      </c>
      <c r="DO38" s="94">
        <v>33321</v>
      </c>
      <c r="DP38" s="94">
        <v>33321</v>
      </c>
      <c r="DQ38" s="666">
        <f t="shared" si="29"/>
        <v>33.320999999999998</v>
      </c>
      <c r="DR38" s="666">
        <f t="shared" si="30"/>
        <v>33.320999999999998</v>
      </c>
      <c r="DV38" s="94" t="s">
        <v>572</v>
      </c>
      <c r="DW38" s="95">
        <v>125819296</v>
      </c>
      <c r="DX38" s="95">
        <v>64888720</v>
      </c>
      <c r="DY38" s="95">
        <v>60930576</v>
      </c>
      <c r="DZ38" s="95">
        <v>64888720</v>
      </c>
      <c r="EA38" s="95">
        <f t="shared" si="31"/>
        <v>125819.296</v>
      </c>
      <c r="EB38" s="95">
        <f t="shared" si="32"/>
        <v>64888.72</v>
      </c>
      <c r="EC38" s="95">
        <f t="shared" si="33"/>
        <v>60930.576000000001</v>
      </c>
      <c r="ED38" s="95">
        <f t="shared" si="34"/>
        <v>64888.72</v>
      </c>
      <c r="EH38" s="444" t="s">
        <v>369</v>
      </c>
      <c r="EI38" s="444">
        <v>51078912</v>
      </c>
      <c r="EJ38" s="450">
        <f t="shared" si="35"/>
        <v>51078.911999999997</v>
      </c>
      <c r="EN38" s="444" t="s">
        <v>572</v>
      </c>
      <c r="EO38" s="450">
        <v>125819296</v>
      </c>
      <c r="EP38" s="450">
        <v>74222115</v>
      </c>
      <c r="EQ38" s="450">
        <v>51597181</v>
      </c>
      <c r="ER38" s="450">
        <v>74222115</v>
      </c>
      <c r="ES38" s="746">
        <f t="shared" si="36"/>
        <v>125819.296</v>
      </c>
      <c r="ET38" s="746">
        <f t="shared" si="37"/>
        <v>74222.115000000005</v>
      </c>
      <c r="EU38" s="746">
        <f t="shared" si="38"/>
        <v>51597.180999999997</v>
      </c>
      <c r="EV38" s="746">
        <f t="shared" si="39"/>
        <v>74222.115000000005</v>
      </c>
      <c r="EZ38" s="780" t="s">
        <v>554</v>
      </c>
      <c r="FA38" s="781" t="s">
        <v>579</v>
      </c>
      <c r="FB38" s="444">
        <v>32707144</v>
      </c>
      <c r="FC38" s="450">
        <f t="shared" si="40"/>
        <v>32707.144</v>
      </c>
      <c r="FG38" s="785" t="s">
        <v>554</v>
      </c>
      <c r="FH38" s="784" t="s">
        <v>572</v>
      </c>
      <c r="FI38" s="782">
        <v>125819296</v>
      </c>
      <c r="FJ38" s="783">
        <v>84223453</v>
      </c>
      <c r="FK38" s="783">
        <v>41595843</v>
      </c>
      <c r="FL38" s="783">
        <v>84223453</v>
      </c>
      <c r="FM38" s="450">
        <f t="shared" si="41"/>
        <v>125819.296</v>
      </c>
      <c r="FN38" s="450">
        <f t="shared" si="42"/>
        <v>84223.452999999994</v>
      </c>
      <c r="FO38" s="450">
        <f t="shared" si="43"/>
        <v>41595.843000000001</v>
      </c>
      <c r="FP38" s="450">
        <f t="shared" si="44"/>
        <v>84223.452999999994</v>
      </c>
      <c r="FT38" s="451" t="s">
        <v>553</v>
      </c>
      <c r="FU38" s="94" t="s">
        <v>369</v>
      </c>
      <c r="FV38" s="95">
        <v>0</v>
      </c>
      <c r="FW38" s="95">
        <v>42778239</v>
      </c>
      <c r="FX38" s="95">
        <v>42778239</v>
      </c>
      <c r="FY38" s="450">
        <f t="shared" si="45"/>
        <v>0</v>
      </c>
      <c r="FZ38" s="450">
        <f t="shared" si="46"/>
        <v>42778.239000000001</v>
      </c>
      <c r="GA38" s="450">
        <f t="shared" si="47"/>
        <v>42778.239000000001</v>
      </c>
      <c r="GG38" s="817" t="s">
        <v>554</v>
      </c>
      <c r="GH38" s="818" t="s">
        <v>572</v>
      </c>
      <c r="GI38" s="819">
        <v>125819296</v>
      </c>
      <c r="GJ38" s="819">
        <v>93614458</v>
      </c>
      <c r="GK38" s="819">
        <v>32204838</v>
      </c>
      <c r="GL38" s="819">
        <v>93614458</v>
      </c>
      <c r="GM38" s="819">
        <v>0</v>
      </c>
      <c r="GN38" s="450">
        <f t="shared" si="48"/>
        <v>125819.296</v>
      </c>
      <c r="GO38" s="450">
        <f t="shared" si="49"/>
        <v>93614.457999999999</v>
      </c>
      <c r="GP38" s="450">
        <f t="shared" si="50"/>
        <v>32204.838</v>
      </c>
      <c r="GQ38" s="450">
        <f t="shared" si="51"/>
        <v>93614.457999999999</v>
      </c>
      <c r="GR38" s="450">
        <f t="shared" si="52"/>
        <v>0</v>
      </c>
      <c r="GV38" s="841" t="s">
        <v>574</v>
      </c>
      <c r="GW38" s="840">
        <v>366425881</v>
      </c>
      <c r="GX38" s="450">
        <f t="shared" si="53"/>
        <v>366425.88099999999</v>
      </c>
      <c r="HB38" s="843" t="s">
        <v>368</v>
      </c>
      <c r="HC38" s="819">
        <v>241621267</v>
      </c>
      <c r="HD38" s="819">
        <v>240979253</v>
      </c>
      <c r="HE38" s="819">
        <v>642014</v>
      </c>
      <c r="HF38" s="819">
        <v>240979253</v>
      </c>
      <c r="HG38" s="450">
        <f t="shared" si="54"/>
        <v>241621.26699999999</v>
      </c>
      <c r="HH38" s="450">
        <f t="shared" si="55"/>
        <v>642.01400000000001</v>
      </c>
      <c r="HI38" s="450">
        <f t="shared" si="56"/>
        <v>240979.253</v>
      </c>
      <c r="HJ38" s="450">
        <f t="shared" si="57"/>
        <v>642.01400000000001</v>
      </c>
      <c r="HK38" s="450">
        <f t="shared" si="58"/>
        <v>240979.253</v>
      </c>
    </row>
    <row r="39" spans="1:219" ht="15" customHeight="1" x14ac:dyDescent="0.3">
      <c r="A39" s="295" t="s">
        <v>554</v>
      </c>
      <c r="B39" s="296" t="s">
        <v>574</v>
      </c>
      <c r="C39" s="297">
        <v>3576445195</v>
      </c>
      <c r="D39" s="298">
        <f t="shared" si="3"/>
        <v>3801761.2422849997</v>
      </c>
      <c r="E39" s="297">
        <v>321421249</v>
      </c>
      <c r="F39" s="297">
        <f t="shared" si="4"/>
        <v>341670.787687</v>
      </c>
      <c r="J39" s="299" t="s">
        <v>554</v>
      </c>
      <c r="K39" s="300" t="s">
        <v>582</v>
      </c>
      <c r="L39" s="301">
        <v>13339399</v>
      </c>
      <c r="M39" s="301">
        <f t="shared" si="5"/>
        <v>14179.781136999998</v>
      </c>
      <c r="Q39" s="299" t="s">
        <v>554</v>
      </c>
      <c r="R39" s="300" t="s">
        <v>574</v>
      </c>
      <c r="S39" s="301">
        <v>3576445195</v>
      </c>
      <c r="T39" s="301">
        <v>642197796</v>
      </c>
      <c r="U39" s="301">
        <f t="shared" si="6"/>
        <v>3801761.2422849997</v>
      </c>
      <c r="V39" s="301">
        <f t="shared" si="7"/>
        <v>682656.25714799995</v>
      </c>
      <c r="Z39" s="296" t="s">
        <v>577</v>
      </c>
      <c r="AA39" s="297">
        <v>284820</v>
      </c>
      <c r="AB39" s="297">
        <f t="shared" si="8"/>
        <v>302.76365999999996</v>
      </c>
      <c r="AF39" s="296" t="s">
        <v>574</v>
      </c>
      <c r="AG39" s="297">
        <v>3576445195</v>
      </c>
      <c r="AH39" s="297">
        <f t="shared" si="59"/>
        <v>3801761.2422849997</v>
      </c>
      <c r="AI39" s="297">
        <v>960132169</v>
      </c>
      <c r="AL39" s="450"/>
      <c r="AN39" s="447" t="s">
        <v>554</v>
      </c>
      <c r="AO39" s="448" t="s">
        <v>577</v>
      </c>
      <c r="AP39" s="449">
        <v>0</v>
      </c>
      <c r="AQ39" s="449">
        <f t="shared" si="9"/>
        <v>0</v>
      </c>
      <c r="AU39" s="447" t="s">
        <v>554</v>
      </c>
      <c r="AV39" s="448" t="s">
        <v>574</v>
      </c>
      <c r="AW39" s="449">
        <v>3576445195</v>
      </c>
      <c r="AX39" s="449">
        <v>1269174275</v>
      </c>
      <c r="AY39" s="449">
        <v>2307270920</v>
      </c>
      <c r="AZ39" s="450">
        <f t="shared" si="10"/>
        <v>3801761.2422849997</v>
      </c>
      <c r="BA39" s="450">
        <f t="shared" si="11"/>
        <v>1349132.2543249999</v>
      </c>
      <c r="BB39" s="450">
        <f t="shared" si="12"/>
        <v>2452628.9879599996</v>
      </c>
      <c r="BF39" s="447" t="s">
        <v>554</v>
      </c>
      <c r="BG39" s="448" t="s">
        <v>583</v>
      </c>
      <c r="BH39" s="449">
        <v>1633601</v>
      </c>
      <c r="BI39" s="450">
        <f t="shared" si="13"/>
        <v>1633.6010000000001</v>
      </c>
      <c r="BM39" s="451" t="s">
        <v>554</v>
      </c>
      <c r="BN39" s="94" t="s">
        <v>574</v>
      </c>
      <c r="BO39" s="95">
        <v>0</v>
      </c>
      <c r="BP39" s="95">
        <v>3576445195</v>
      </c>
      <c r="BQ39" s="95">
        <v>1601321443</v>
      </c>
      <c r="BR39" s="95">
        <v>1975123752</v>
      </c>
      <c r="BS39" s="95">
        <v>1601321443</v>
      </c>
      <c r="BT39" s="450">
        <f t="shared" si="14"/>
        <v>3576445.1949999998</v>
      </c>
      <c r="BU39" s="450">
        <f t="shared" si="15"/>
        <v>1601321.443</v>
      </c>
      <c r="BV39" s="450">
        <f t="shared" si="16"/>
        <v>1975123.7520000001</v>
      </c>
      <c r="BW39" s="450">
        <f t="shared" si="17"/>
        <v>1601321.443</v>
      </c>
      <c r="CA39" s="94" t="s">
        <v>576</v>
      </c>
      <c r="CB39" s="450">
        <v>10443747</v>
      </c>
      <c r="CC39" s="450">
        <f t="shared" si="18"/>
        <v>10443.746999999999</v>
      </c>
      <c r="CG39" s="448" t="s">
        <v>573</v>
      </c>
      <c r="CH39" s="449">
        <v>0</v>
      </c>
      <c r="CI39" s="449">
        <v>1749378898</v>
      </c>
      <c r="CJ39" s="449">
        <v>-1749378898</v>
      </c>
      <c r="CK39" s="449">
        <v>950178135</v>
      </c>
      <c r="CL39" s="449">
        <v>799200763</v>
      </c>
      <c r="CM39" s="449">
        <v>950178135</v>
      </c>
      <c r="CN39" s="449">
        <f t="shared" si="19"/>
        <v>1749378.898</v>
      </c>
      <c r="CO39" s="449">
        <f t="shared" si="20"/>
        <v>950178.13500000001</v>
      </c>
      <c r="CP39" s="449">
        <f t="shared" si="21"/>
        <v>799200.76300000004</v>
      </c>
      <c r="CQ39" s="449">
        <f t="shared" si="22"/>
        <v>950178.13500000001</v>
      </c>
      <c r="CU39" s="448" t="s">
        <v>369</v>
      </c>
      <c r="CV39" s="449">
        <v>37651099</v>
      </c>
      <c r="CW39" s="449">
        <v>37651099</v>
      </c>
      <c r="CX39" s="450">
        <f t="shared" si="23"/>
        <v>37651.099000000002</v>
      </c>
      <c r="CY39" s="450">
        <f t="shared" si="24"/>
        <v>37651.099000000002</v>
      </c>
      <c r="DB39" s="602" t="s">
        <v>573</v>
      </c>
      <c r="DC39" s="603">
        <v>1749378898</v>
      </c>
      <c r="DD39" s="603">
        <v>1088414331</v>
      </c>
      <c r="DE39" s="603">
        <v>660964567</v>
      </c>
      <c r="DF39" s="603">
        <v>1088414331</v>
      </c>
      <c r="DG39" s="604">
        <f t="shared" si="25"/>
        <v>1749378.898</v>
      </c>
      <c r="DH39" s="604">
        <f t="shared" si="26"/>
        <v>1088414.331</v>
      </c>
      <c r="DI39" s="604">
        <f t="shared" si="27"/>
        <v>660964.56700000004</v>
      </c>
      <c r="DJ39" s="604">
        <f t="shared" si="28"/>
        <v>1088414.331</v>
      </c>
      <c r="DN39" s="94" t="s">
        <v>371</v>
      </c>
      <c r="DO39" s="94">
        <v>34889080</v>
      </c>
      <c r="DP39" s="94">
        <v>34889080</v>
      </c>
      <c r="DQ39" s="666">
        <f t="shared" si="29"/>
        <v>34889.08</v>
      </c>
      <c r="DR39" s="666">
        <f t="shared" si="30"/>
        <v>34889.08</v>
      </c>
      <c r="DV39" s="94" t="s">
        <v>573</v>
      </c>
      <c r="DW39" s="95">
        <v>1749378898</v>
      </c>
      <c r="DX39" s="95">
        <v>1227931430</v>
      </c>
      <c r="DY39" s="95">
        <v>521447468</v>
      </c>
      <c r="DZ39" s="95">
        <v>1227931430</v>
      </c>
      <c r="EA39" s="95">
        <f t="shared" si="31"/>
        <v>1749378.898</v>
      </c>
      <c r="EB39" s="95">
        <f t="shared" si="32"/>
        <v>1227931.43</v>
      </c>
      <c r="EC39" s="95">
        <f t="shared" si="33"/>
        <v>521447.46799999999</v>
      </c>
      <c r="ED39" s="95">
        <f t="shared" si="34"/>
        <v>1227931.43</v>
      </c>
      <c r="EH39" s="444" t="s">
        <v>579</v>
      </c>
      <c r="EI39" s="444">
        <v>51078912</v>
      </c>
      <c r="EJ39" s="450">
        <f t="shared" si="35"/>
        <v>51078.911999999997</v>
      </c>
      <c r="EN39" s="444" t="s">
        <v>573</v>
      </c>
      <c r="EO39" s="450">
        <v>1749378898</v>
      </c>
      <c r="EP39" s="450">
        <v>1446867957</v>
      </c>
      <c r="EQ39" s="450">
        <v>302510941</v>
      </c>
      <c r="ER39" s="450">
        <v>1446867957</v>
      </c>
      <c r="ES39" s="746">
        <f t="shared" si="36"/>
        <v>1749378.898</v>
      </c>
      <c r="ET39" s="746">
        <f t="shared" si="37"/>
        <v>1446867.9569999999</v>
      </c>
      <c r="EU39" s="746">
        <f t="shared" si="38"/>
        <v>302510.94099999999</v>
      </c>
      <c r="EV39" s="746">
        <f t="shared" si="39"/>
        <v>1446867.9569999999</v>
      </c>
      <c r="EZ39" s="780" t="s">
        <v>553</v>
      </c>
      <c r="FA39" s="781" t="s">
        <v>580</v>
      </c>
      <c r="FB39" s="444">
        <v>67038</v>
      </c>
      <c r="FC39" s="450">
        <f t="shared" si="40"/>
        <v>67.037999999999997</v>
      </c>
      <c r="FG39" s="785" t="s">
        <v>554</v>
      </c>
      <c r="FH39" s="784" t="s">
        <v>573</v>
      </c>
      <c r="FI39" s="782">
        <v>1749378898</v>
      </c>
      <c r="FJ39" s="783">
        <v>1587910609</v>
      </c>
      <c r="FK39" s="783">
        <v>161468289</v>
      </c>
      <c r="FL39" s="783">
        <v>1587910609</v>
      </c>
      <c r="FM39" s="450">
        <f t="shared" si="41"/>
        <v>1749378.898</v>
      </c>
      <c r="FN39" s="450">
        <f t="shared" si="42"/>
        <v>1587910.6089999999</v>
      </c>
      <c r="FO39" s="450">
        <f t="shared" si="43"/>
        <v>161468.28899999999</v>
      </c>
      <c r="FP39" s="450">
        <f t="shared" si="44"/>
        <v>1587910.6089999999</v>
      </c>
      <c r="FT39" s="451" t="s">
        <v>554</v>
      </c>
      <c r="FU39" s="94" t="s">
        <v>578</v>
      </c>
      <c r="FV39" s="95">
        <v>0</v>
      </c>
      <c r="FW39" s="95">
        <v>10125830</v>
      </c>
      <c r="FX39" s="95">
        <v>10125830</v>
      </c>
      <c r="FY39" s="450">
        <f t="shared" si="45"/>
        <v>0</v>
      </c>
      <c r="FZ39" s="450">
        <f t="shared" si="46"/>
        <v>10125.83</v>
      </c>
      <c r="GA39" s="450">
        <f t="shared" si="47"/>
        <v>10125.83</v>
      </c>
      <c r="GG39" s="817" t="s">
        <v>554</v>
      </c>
      <c r="GH39" s="818" t="s">
        <v>573</v>
      </c>
      <c r="GI39" s="819">
        <v>1749378898</v>
      </c>
      <c r="GJ39" s="819">
        <v>1728664975</v>
      </c>
      <c r="GK39" s="819">
        <v>20713923</v>
      </c>
      <c r="GL39" s="819">
        <v>1728664975</v>
      </c>
      <c r="GM39" s="819">
        <v>0</v>
      </c>
      <c r="GN39" s="450">
        <f t="shared" si="48"/>
        <v>1749378.898</v>
      </c>
      <c r="GO39" s="450">
        <f t="shared" si="49"/>
        <v>1728664.9750000001</v>
      </c>
      <c r="GP39" s="450">
        <f t="shared" si="50"/>
        <v>20713.922999999999</v>
      </c>
      <c r="GQ39" s="450">
        <f t="shared" si="51"/>
        <v>1728664.9750000001</v>
      </c>
      <c r="GR39" s="450">
        <f t="shared" si="52"/>
        <v>0</v>
      </c>
      <c r="GV39" s="841" t="s">
        <v>575</v>
      </c>
      <c r="GW39" s="840">
        <v>323576971</v>
      </c>
      <c r="GX39" s="450">
        <f t="shared" si="53"/>
        <v>323576.97100000002</v>
      </c>
      <c r="HB39" s="843" t="s">
        <v>571</v>
      </c>
      <c r="HC39" s="819">
        <v>21480</v>
      </c>
      <c r="HD39" s="819">
        <v>21480</v>
      </c>
      <c r="HE39" s="819">
        <v>0</v>
      </c>
      <c r="HF39" s="819">
        <v>21480</v>
      </c>
      <c r="HG39" s="450">
        <f t="shared" si="54"/>
        <v>21.48</v>
      </c>
      <c r="HH39" s="450">
        <f t="shared" si="55"/>
        <v>0</v>
      </c>
      <c r="HI39" s="450">
        <f t="shared" si="56"/>
        <v>21.48</v>
      </c>
      <c r="HJ39" s="450">
        <f t="shared" si="57"/>
        <v>0</v>
      </c>
      <c r="HK39" s="450">
        <f t="shared" si="58"/>
        <v>21.48</v>
      </c>
    </row>
    <row r="40" spans="1:219" ht="15" customHeight="1" x14ac:dyDescent="0.3">
      <c r="A40" s="295" t="s">
        <v>554</v>
      </c>
      <c r="B40" s="296" t="s">
        <v>575</v>
      </c>
      <c r="C40" s="297">
        <v>1139191344</v>
      </c>
      <c r="D40" s="298">
        <f t="shared" si="3"/>
        <v>1210960.398672</v>
      </c>
      <c r="E40" s="297">
        <v>91579</v>
      </c>
      <c r="F40" s="297">
        <f t="shared" si="4"/>
        <v>97.348476999999988</v>
      </c>
      <c r="J40" s="299" t="s">
        <v>554</v>
      </c>
      <c r="K40" s="300" t="s">
        <v>583</v>
      </c>
      <c r="L40" s="301">
        <v>3094726</v>
      </c>
      <c r="M40" s="301">
        <f t="shared" si="5"/>
        <v>3289.6937379999999</v>
      </c>
      <c r="Q40" s="299" t="s">
        <v>554</v>
      </c>
      <c r="R40" s="300" t="s">
        <v>575</v>
      </c>
      <c r="S40" s="301">
        <v>1139191344</v>
      </c>
      <c r="T40" s="301">
        <v>91579</v>
      </c>
      <c r="U40" s="301">
        <f t="shared" si="6"/>
        <v>1210960.398672</v>
      </c>
      <c r="V40" s="301">
        <f t="shared" si="7"/>
        <v>97.348476999999988</v>
      </c>
      <c r="Z40" s="296" t="s">
        <v>369</v>
      </c>
      <c r="AA40" s="297">
        <v>53450758</v>
      </c>
      <c r="AB40" s="297">
        <f t="shared" si="8"/>
        <v>56818.155753999999</v>
      </c>
      <c r="AF40" s="296" t="s">
        <v>575</v>
      </c>
      <c r="AG40" s="297">
        <v>1139191344</v>
      </c>
      <c r="AH40" s="297">
        <f t="shared" si="59"/>
        <v>1210960.398672</v>
      </c>
      <c r="AI40" s="297">
        <v>301516122</v>
      </c>
      <c r="AL40" s="450"/>
      <c r="AN40" s="447" t="s">
        <v>553</v>
      </c>
      <c r="AO40" s="448" t="s">
        <v>369</v>
      </c>
      <c r="AP40" s="449">
        <v>32387383</v>
      </c>
      <c r="AQ40" s="449">
        <f t="shared" si="9"/>
        <v>34427.788129</v>
      </c>
      <c r="AU40" s="447" t="s">
        <v>554</v>
      </c>
      <c r="AV40" s="448" t="s">
        <v>575</v>
      </c>
      <c r="AW40" s="449">
        <v>1139191344</v>
      </c>
      <c r="AX40" s="449">
        <v>302245396</v>
      </c>
      <c r="AY40" s="449">
        <v>836945948</v>
      </c>
      <c r="AZ40" s="450">
        <f t="shared" si="10"/>
        <v>1210960.398672</v>
      </c>
      <c r="BA40" s="450">
        <f t="shared" si="11"/>
        <v>321286.85594799998</v>
      </c>
      <c r="BB40" s="450">
        <f t="shared" si="12"/>
        <v>889673.54272399994</v>
      </c>
      <c r="BF40" s="447" t="s">
        <v>554</v>
      </c>
      <c r="BG40" s="448" t="s">
        <v>624</v>
      </c>
      <c r="BH40" s="449">
        <v>8858556</v>
      </c>
      <c r="BI40" s="450">
        <f t="shared" si="13"/>
        <v>8858.5560000000005</v>
      </c>
      <c r="BM40" s="451" t="s">
        <v>554</v>
      </c>
      <c r="BN40" s="94" t="s">
        <v>575</v>
      </c>
      <c r="BO40" s="95">
        <v>0</v>
      </c>
      <c r="BP40" s="95">
        <v>1139191344</v>
      </c>
      <c r="BQ40" s="95">
        <v>303335470</v>
      </c>
      <c r="BR40" s="95">
        <v>835855874</v>
      </c>
      <c r="BS40" s="95">
        <v>303335470</v>
      </c>
      <c r="BT40" s="450">
        <f t="shared" si="14"/>
        <v>1139191.344</v>
      </c>
      <c r="BU40" s="450">
        <f t="shared" si="15"/>
        <v>303335.46999999997</v>
      </c>
      <c r="BV40" s="450">
        <f t="shared" si="16"/>
        <v>835855.87399999995</v>
      </c>
      <c r="BW40" s="450">
        <f t="shared" si="17"/>
        <v>303335.46999999997</v>
      </c>
      <c r="CA40" s="94" t="s">
        <v>577</v>
      </c>
      <c r="CB40" s="450">
        <v>0</v>
      </c>
      <c r="CC40" s="450">
        <f t="shared" si="18"/>
        <v>0</v>
      </c>
      <c r="CG40" s="448" t="s">
        <v>574</v>
      </c>
      <c r="CH40" s="449">
        <v>0</v>
      </c>
      <c r="CI40" s="449">
        <v>3576445195</v>
      </c>
      <c r="CJ40" s="449">
        <v>-3576445195</v>
      </c>
      <c r="CK40" s="449">
        <v>1944075024</v>
      </c>
      <c r="CL40" s="449">
        <v>1632370171</v>
      </c>
      <c r="CM40" s="449">
        <v>1944075024</v>
      </c>
      <c r="CN40" s="449">
        <f t="shared" si="19"/>
        <v>3576445.1949999998</v>
      </c>
      <c r="CO40" s="449">
        <f t="shared" si="20"/>
        <v>1944075.024</v>
      </c>
      <c r="CP40" s="449">
        <f t="shared" si="21"/>
        <v>1632370.1710000001</v>
      </c>
      <c r="CQ40" s="449">
        <f t="shared" si="22"/>
        <v>1944075.024</v>
      </c>
      <c r="CU40" s="448" t="s">
        <v>578</v>
      </c>
      <c r="CV40" s="449">
        <v>3404700</v>
      </c>
      <c r="CW40" s="449">
        <v>3404700</v>
      </c>
      <c r="CX40" s="450">
        <f t="shared" si="23"/>
        <v>3404.7</v>
      </c>
      <c r="CY40" s="450">
        <f t="shared" si="24"/>
        <v>3404.7</v>
      </c>
      <c r="DB40" s="602" t="s">
        <v>574</v>
      </c>
      <c r="DC40" s="603">
        <v>3576445195</v>
      </c>
      <c r="DD40" s="603">
        <v>2271355605</v>
      </c>
      <c r="DE40" s="603">
        <v>1305089590</v>
      </c>
      <c r="DF40" s="603">
        <v>2271355605</v>
      </c>
      <c r="DG40" s="604">
        <f t="shared" si="25"/>
        <v>3576445.1949999998</v>
      </c>
      <c r="DH40" s="604">
        <f t="shared" si="26"/>
        <v>2271355.605</v>
      </c>
      <c r="DI40" s="604">
        <f t="shared" si="27"/>
        <v>1305089.5900000001</v>
      </c>
      <c r="DJ40" s="604">
        <f t="shared" si="28"/>
        <v>2271355.605</v>
      </c>
      <c r="DN40" s="94" t="s">
        <v>582</v>
      </c>
      <c r="DO40" s="94">
        <v>19656568</v>
      </c>
      <c r="DP40" s="94">
        <v>19656568</v>
      </c>
      <c r="DQ40" s="666">
        <f t="shared" si="29"/>
        <v>19656.567999999999</v>
      </c>
      <c r="DR40" s="666">
        <f t="shared" si="30"/>
        <v>19656.567999999999</v>
      </c>
      <c r="DV40" s="94" t="s">
        <v>574</v>
      </c>
      <c r="DW40" s="95">
        <v>3576445195</v>
      </c>
      <c r="DX40" s="95">
        <v>2602089753</v>
      </c>
      <c r="DY40" s="95">
        <v>974355442</v>
      </c>
      <c r="DZ40" s="95">
        <v>2602089753</v>
      </c>
      <c r="EA40" s="95">
        <f t="shared" si="31"/>
        <v>3576445.1949999998</v>
      </c>
      <c r="EB40" s="95">
        <f t="shared" si="32"/>
        <v>2602089.753</v>
      </c>
      <c r="EC40" s="95">
        <f t="shared" si="33"/>
        <v>974355.44200000004</v>
      </c>
      <c r="ED40" s="95">
        <f t="shared" si="34"/>
        <v>2602089.753</v>
      </c>
      <c r="EH40" s="444" t="s">
        <v>580</v>
      </c>
      <c r="EI40" s="444">
        <v>286488700</v>
      </c>
      <c r="EJ40" s="450">
        <f t="shared" si="35"/>
        <v>286488.7</v>
      </c>
      <c r="EN40" s="444" t="s">
        <v>574</v>
      </c>
      <c r="EO40" s="450">
        <v>3576445195</v>
      </c>
      <c r="EP40" s="450">
        <v>2934448195</v>
      </c>
      <c r="EQ40" s="450">
        <v>641997000</v>
      </c>
      <c r="ER40" s="450">
        <v>2934448195</v>
      </c>
      <c r="ES40" s="746">
        <f t="shared" si="36"/>
        <v>3576445.1949999998</v>
      </c>
      <c r="ET40" s="746">
        <f t="shared" si="37"/>
        <v>2934448.1949999998</v>
      </c>
      <c r="EU40" s="746">
        <f t="shared" si="38"/>
        <v>641997</v>
      </c>
      <c r="EV40" s="746">
        <f t="shared" si="39"/>
        <v>2934448.1949999998</v>
      </c>
      <c r="EZ40" s="780" t="s">
        <v>554</v>
      </c>
      <c r="FA40" s="781" t="s">
        <v>581</v>
      </c>
      <c r="FB40" s="444">
        <v>67038</v>
      </c>
      <c r="FC40" s="450">
        <f t="shared" si="40"/>
        <v>67.037999999999997</v>
      </c>
      <c r="FG40" s="785" t="s">
        <v>554</v>
      </c>
      <c r="FH40" s="784" t="s">
        <v>574</v>
      </c>
      <c r="FI40" s="782">
        <v>3576445195</v>
      </c>
      <c r="FJ40" s="783">
        <v>3267495121</v>
      </c>
      <c r="FK40" s="783">
        <v>308950074</v>
      </c>
      <c r="FL40" s="783">
        <v>3267495121</v>
      </c>
      <c r="FM40" s="450">
        <f t="shared" si="41"/>
        <v>3576445.1949999998</v>
      </c>
      <c r="FN40" s="450">
        <f t="shared" si="42"/>
        <v>3267495.1209999998</v>
      </c>
      <c r="FO40" s="450">
        <f t="shared" si="43"/>
        <v>308950.07400000002</v>
      </c>
      <c r="FP40" s="450">
        <f t="shared" si="44"/>
        <v>3267495.1209999998</v>
      </c>
      <c r="FT40" s="451" t="s">
        <v>554</v>
      </c>
      <c r="FU40" s="94" t="s">
        <v>579</v>
      </c>
      <c r="FV40" s="95">
        <v>0</v>
      </c>
      <c r="FW40" s="95">
        <v>32652409</v>
      </c>
      <c r="FX40" s="95">
        <v>32652409</v>
      </c>
      <c r="FY40" s="450">
        <f t="shared" si="45"/>
        <v>0</v>
      </c>
      <c r="FZ40" s="450">
        <f t="shared" si="46"/>
        <v>32652.409</v>
      </c>
      <c r="GA40" s="450">
        <f t="shared" si="47"/>
        <v>32652.409</v>
      </c>
      <c r="GG40" s="817" t="s">
        <v>554</v>
      </c>
      <c r="GH40" s="818" t="s">
        <v>574</v>
      </c>
      <c r="GI40" s="819">
        <v>3933577623</v>
      </c>
      <c r="GJ40" s="819">
        <v>3600561013</v>
      </c>
      <c r="GK40" s="819">
        <v>333016610</v>
      </c>
      <c r="GL40" s="819">
        <v>3600561013</v>
      </c>
      <c r="GM40" s="819">
        <v>0</v>
      </c>
      <c r="GN40" s="450">
        <f t="shared" si="48"/>
        <v>3933577.6230000001</v>
      </c>
      <c r="GO40" s="450">
        <f t="shared" si="49"/>
        <v>3600561.0129999998</v>
      </c>
      <c r="GP40" s="450">
        <f t="shared" si="50"/>
        <v>333016.61</v>
      </c>
      <c r="GQ40" s="450">
        <f t="shared" si="51"/>
        <v>3600561.0129999998</v>
      </c>
      <c r="GR40" s="450">
        <f t="shared" si="52"/>
        <v>0</v>
      </c>
      <c r="GV40" s="841" t="s">
        <v>576</v>
      </c>
      <c r="GW40" s="840">
        <v>11249308</v>
      </c>
      <c r="GX40" s="450">
        <f t="shared" si="53"/>
        <v>11249.308000000001</v>
      </c>
      <c r="HB40" s="843" t="s">
        <v>572</v>
      </c>
      <c r="HC40" s="819">
        <v>125819296</v>
      </c>
      <c r="HD40" s="819">
        <v>103674097</v>
      </c>
      <c r="HE40" s="819">
        <v>22145199</v>
      </c>
      <c r="HF40" s="819">
        <v>103674097</v>
      </c>
      <c r="HG40" s="450">
        <f t="shared" si="54"/>
        <v>125819.296</v>
      </c>
      <c r="HH40" s="450">
        <f t="shared" si="55"/>
        <v>22145.199000000001</v>
      </c>
      <c r="HI40" s="450">
        <f t="shared" si="56"/>
        <v>103674.09699999999</v>
      </c>
      <c r="HJ40" s="450">
        <f t="shared" si="57"/>
        <v>22145.199000000001</v>
      </c>
      <c r="HK40" s="450">
        <f t="shared" si="58"/>
        <v>103674.09699999999</v>
      </c>
    </row>
    <row r="41" spans="1:219" ht="15" customHeight="1" x14ac:dyDescent="0.3">
      <c r="A41" s="295" t="s">
        <v>554</v>
      </c>
      <c r="B41" s="296" t="s">
        <v>576</v>
      </c>
      <c r="C41" s="297">
        <v>38891851</v>
      </c>
      <c r="D41" s="298">
        <f t="shared" si="3"/>
        <v>41342.037613</v>
      </c>
      <c r="E41" s="297">
        <v>0</v>
      </c>
      <c r="F41" s="297">
        <f t="shared" si="4"/>
        <v>0</v>
      </c>
      <c r="J41" s="299" t="s">
        <v>554</v>
      </c>
      <c r="K41" s="300" t="s">
        <v>624</v>
      </c>
      <c r="L41" s="301">
        <v>3667874</v>
      </c>
      <c r="M41" s="301">
        <f t="shared" si="5"/>
        <v>3898.9500619999994</v>
      </c>
      <c r="Q41" s="299" t="s">
        <v>554</v>
      </c>
      <c r="R41" s="300" t="s">
        <v>576</v>
      </c>
      <c r="S41" s="301">
        <v>38891851</v>
      </c>
      <c r="T41" s="301">
        <v>0</v>
      </c>
      <c r="U41" s="301">
        <f t="shared" si="6"/>
        <v>41342.037613</v>
      </c>
      <c r="V41" s="301">
        <f t="shared" si="7"/>
        <v>0</v>
      </c>
      <c r="Z41" s="296" t="s">
        <v>578</v>
      </c>
      <c r="AA41" s="297">
        <v>6885060</v>
      </c>
      <c r="AB41" s="297">
        <f t="shared" si="8"/>
        <v>7318.8187799999996</v>
      </c>
      <c r="AF41" s="296" t="s">
        <v>576</v>
      </c>
      <c r="AG41" s="297">
        <v>38891851</v>
      </c>
      <c r="AH41" s="297">
        <f t="shared" si="59"/>
        <v>41342.037613</v>
      </c>
      <c r="AI41" s="297">
        <v>10932783</v>
      </c>
      <c r="AL41" s="450"/>
      <c r="AN41" s="447" t="s">
        <v>554</v>
      </c>
      <c r="AO41" s="448" t="s">
        <v>578</v>
      </c>
      <c r="AP41" s="449">
        <v>0</v>
      </c>
      <c r="AQ41" s="449">
        <f t="shared" si="9"/>
        <v>0</v>
      </c>
      <c r="AU41" s="447" t="s">
        <v>554</v>
      </c>
      <c r="AV41" s="448" t="s">
        <v>576</v>
      </c>
      <c r="AW41" s="449">
        <v>38891851</v>
      </c>
      <c r="AX41" s="449">
        <v>10932783</v>
      </c>
      <c r="AY41" s="449">
        <v>27959068</v>
      </c>
      <c r="AZ41" s="450">
        <f t="shared" si="10"/>
        <v>41342.037613</v>
      </c>
      <c r="BA41" s="450">
        <f t="shared" si="11"/>
        <v>11621.548328999999</v>
      </c>
      <c r="BB41" s="450">
        <f t="shared" si="12"/>
        <v>29720.489283999999</v>
      </c>
      <c r="BF41" s="447" t="s">
        <v>355</v>
      </c>
      <c r="BG41" s="448" t="s">
        <v>375</v>
      </c>
      <c r="BH41" s="449">
        <v>102492003</v>
      </c>
      <c r="BI41" s="450">
        <f t="shared" si="13"/>
        <v>102492.003</v>
      </c>
      <c r="BM41" s="451" t="s">
        <v>554</v>
      </c>
      <c r="BN41" s="94" t="s">
        <v>576</v>
      </c>
      <c r="BO41" s="95">
        <v>0</v>
      </c>
      <c r="BP41" s="95">
        <v>38891851</v>
      </c>
      <c r="BQ41" s="95">
        <v>10932783</v>
      </c>
      <c r="BR41" s="95">
        <v>27959068</v>
      </c>
      <c r="BS41" s="95">
        <v>10932783</v>
      </c>
      <c r="BT41" s="450">
        <f t="shared" si="14"/>
        <v>38891.851000000002</v>
      </c>
      <c r="BU41" s="450">
        <f t="shared" si="15"/>
        <v>10932.782999999999</v>
      </c>
      <c r="BV41" s="450">
        <f t="shared" si="16"/>
        <v>27959.067999999999</v>
      </c>
      <c r="BW41" s="450">
        <f t="shared" si="17"/>
        <v>10932.782999999999</v>
      </c>
      <c r="CA41" s="94" t="s">
        <v>369</v>
      </c>
      <c r="CB41" s="450">
        <v>54053942</v>
      </c>
      <c r="CC41" s="450">
        <f t="shared" si="18"/>
        <v>54053.942000000003</v>
      </c>
      <c r="CG41" s="448" t="s">
        <v>575</v>
      </c>
      <c r="CH41" s="449">
        <v>0</v>
      </c>
      <c r="CI41" s="449">
        <v>1139191344</v>
      </c>
      <c r="CJ41" s="449">
        <v>-1139191344</v>
      </c>
      <c r="CK41" s="449">
        <v>608273759</v>
      </c>
      <c r="CL41" s="449">
        <v>530917585</v>
      </c>
      <c r="CM41" s="449">
        <v>608273759</v>
      </c>
      <c r="CN41" s="449">
        <f t="shared" si="19"/>
        <v>1139191.344</v>
      </c>
      <c r="CO41" s="449">
        <f t="shared" si="20"/>
        <v>608273.75899999996</v>
      </c>
      <c r="CP41" s="449">
        <f t="shared" si="21"/>
        <v>530917.58499999996</v>
      </c>
      <c r="CQ41" s="449">
        <f t="shared" si="22"/>
        <v>608273.75899999996</v>
      </c>
      <c r="CU41" s="448" t="s">
        <v>579</v>
      </c>
      <c r="CV41" s="449">
        <v>34246399</v>
      </c>
      <c r="CW41" s="449">
        <v>34246399</v>
      </c>
      <c r="CX41" s="450">
        <f t="shared" si="23"/>
        <v>34246.398999999998</v>
      </c>
      <c r="CY41" s="450">
        <f t="shared" si="24"/>
        <v>34246.398999999998</v>
      </c>
      <c r="DB41" s="602" t="s">
        <v>575</v>
      </c>
      <c r="DC41" s="603">
        <v>1139191344</v>
      </c>
      <c r="DD41" s="603">
        <v>608739375</v>
      </c>
      <c r="DE41" s="603">
        <v>530451969</v>
      </c>
      <c r="DF41" s="603">
        <v>608739375</v>
      </c>
      <c r="DG41" s="604">
        <f t="shared" si="25"/>
        <v>1139191.344</v>
      </c>
      <c r="DH41" s="604">
        <f t="shared" si="26"/>
        <v>608739.375</v>
      </c>
      <c r="DI41" s="604">
        <f t="shared" si="27"/>
        <v>530451.96900000004</v>
      </c>
      <c r="DJ41" s="604">
        <f t="shared" si="28"/>
        <v>608739.375</v>
      </c>
      <c r="DN41" s="94" t="s">
        <v>583</v>
      </c>
      <c r="DO41" s="94">
        <v>5811770</v>
      </c>
      <c r="DP41" s="94">
        <v>5811770</v>
      </c>
      <c r="DQ41" s="666">
        <f t="shared" si="29"/>
        <v>5811.77</v>
      </c>
      <c r="DR41" s="666">
        <f t="shared" si="30"/>
        <v>5811.77</v>
      </c>
      <c r="DV41" s="94" t="s">
        <v>575</v>
      </c>
      <c r="DW41" s="95">
        <v>1139191344</v>
      </c>
      <c r="DX41" s="95">
        <v>608859877</v>
      </c>
      <c r="DY41" s="95">
        <v>530331467</v>
      </c>
      <c r="DZ41" s="95">
        <v>608859877</v>
      </c>
      <c r="EA41" s="95">
        <f t="shared" si="31"/>
        <v>1139191.344</v>
      </c>
      <c r="EB41" s="95">
        <f t="shared" si="32"/>
        <v>608859.87699999998</v>
      </c>
      <c r="EC41" s="95">
        <f t="shared" si="33"/>
        <v>530331.46699999995</v>
      </c>
      <c r="ED41" s="95">
        <f t="shared" si="34"/>
        <v>608859.87699999998</v>
      </c>
      <c r="EH41" s="444" t="s">
        <v>581</v>
      </c>
      <c r="EI41" s="444">
        <v>157005137</v>
      </c>
      <c r="EJ41" s="450">
        <f t="shared" si="35"/>
        <v>157005.13699999999</v>
      </c>
      <c r="EN41" s="444" t="s">
        <v>575</v>
      </c>
      <c r="EO41" s="450">
        <v>1228330641</v>
      </c>
      <c r="EP41" s="450">
        <v>918738330</v>
      </c>
      <c r="EQ41" s="450">
        <v>309592311</v>
      </c>
      <c r="ER41" s="450">
        <v>918738330</v>
      </c>
      <c r="ES41" s="746">
        <f t="shared" si="36"/>
        <v>1228330.6410000001</v>
      </c>
      <c r="ET41" s="746">
        <f t="shared" si="37"/>
        <v>918738.33</v>
      </c>
      <c r="EU41" s="746">
        <f t="shared" si="38"/>
        <v>309592.31099999999</v>
      </c>
      <c r="EV41" s="746">
        <f t="shared" si="39"/>
        <v>918738.33</v>
      </c>
      <c r="EZ41" s="780" t="s">
        <v>554</v>
      </c>
      <c r="FA41" s="781" t="s">
        <v>370</v>
      </c>
      <c r="FB41" s="444">
        <v>0</v>
      </c>
      <c r="FC41" s="450">
        <f t="shared" si="40"/>
        <v>0</v>
      </c>
      <c r="FG41" s="785" t="s">
        <v>554</v>
      </c>
      <c r="FH41" s="784" t="s">
        <v>575</v>
      </c>
      <c r="FI41" s="782">
        <v>1228330641</v>
      </c>
      <c r="FJ41" s="783">
        <v>918870643</v>
      </c>
      <c r="FK41" s="783">
        <v>309459998</v>
      </c>
      <c r="FL41" s="783">
        <v>918870643</v>
      </c>
      <c r="FM41" s="450">
        <f t="shared" si="41"/>
        <v>1228330.6410000001</v>
      </c>
      <c r="FN41" s="450">
        <f t="shared" si="42"/>
        <v>918870.64300000004</v>
      </c>
      <c r="FO41" s="450">
        <f t="shared" si="43"/>
        <v>309459.99800000002</v>
      </c>
      <c r="FP41" s="450">
        <f t="shared" si="44"/>
        <v>918870.64300000004</v>
      </c>
      <c r="FT41" s="451" t="s">
        <v>553</v>
      </c>
      <c r="FU41" s="94" t="s">
        <v>580</v>
      </c>
      <c r="FV41" s="95">
        <v>0</v>
      </c>
      <c r="FW41" s="95">
        <v>0</v>
      </c>
      <c r="FX41" s="95">
        <v>0</v>
      </c>
      <c r="FY41" s="450">
        <f t="shared" si="45"/>
        <v>0</v>
      </c>
      <c r="FZ41" s="450">
        <f t="shared" si="46"/>
        <v>0</v>
      </c>
      <c r="GA41" s="450">
        <f t="shared" si="47"/>
        <v>0</v>
      </c>
      <c r="GG41" s="817" t="s">
        <v>554</v>
      </c>
      <c r="GH41" s="818" t="s">
        <v>575</v>
      </c>
      <c r="GI41" s="819">
        <v>1228330641</v>
      </c>
      <c r="GJ41" s="819">
        <v>918870643</v>
      </c>
      <c r="GK41" s="819">
        <v>309459998</v>
      </c>
      <c r="GL41" s="819">
        <v>918870643</v>
      </c>
      <c r="GM41" s="819">
        <v>0</v>
      </c>
      <c r="GN41" s="450">
        <f t="shared" si="48"/>
        <v>1228330.6410000001</v>
      </c>
      <c r="GO41" s="450">
        <f t="shared" si="49"/>
        <v>918870.64300000004</v>
      </c>
      <c r="GP41" s="450">
        <f t="shared" si="50"/>
        <v>309459.99800000002</v>
      </c>
      <c r="GQ41" s="450">
        <f t="shared" si="51"/>
        <v>918870.64300000004</v>
      </c>
      <c r="GR41" s="450">
        <f t="shared" si="52"/>
        <v>0</v>
      </c>
      <c r="GV41" s="841" t="s">
        <v>925</v>
      </c>
      <c r="GW41" s="840">
        <v>12672000</v>
      </c>
      <c r="GX41" s="450">
        <f t="shared" si="53"/>
        <v>12672</v>
      </c>
      <c r="HB41" s="843" t="s">
        <v>573</v>
      </c>
      <c r="HC41" s="819">
        <v>1970378898</v>
      </c>
      <c r="HD41" s="819">
        <v>1968822516</v>
      </c>
      <c r="HE41" s="819">
        <v>1556382</v>
      </c>
      <c r="HF41" s="819">
        <v>1968822516</v>
      </c>
      <c r="HG41" s="450">
        <f t="shared" si="54"/>
        <v>1970378.898</v>
      </c>
      <c r="HH41" s="450">
        <f t="shared" si="55"/>
        <v>1556.3820000000001</v>
      </c>
      <c r="HI41" s="450">
        <f t="shared" si="56"/>
        <v>1968822.5160000001</v>
      </c>
      <c r="HJ41" s="450">
        <f t="shared" si="57"/>
        <v>1556.3820000000001</v>
      </c>
      <c r="HK41" s="450">
        <f t="shared" si="58"/>
        <v>1968822.5160000001</v>
      </c>
    </row>
    <row r="42" spans="1:219" ht="15" customHeight="1" x14ac:dyDescent="0.3">
      <c r="A42" s="295" t="s">
        <v>554</v>
      </c>
      <c r="B42" s="296" t="s">
        <v>577</v>
      </c>
      <c r="C42" s="297">
        <v>84953684</v>
      </c>
      <c r="D42" s="298">
        <f t="shared" si="3"/>
        <v>90305.766091999991</v>
      </c>
      <c r="E42" s="297">
        <v>7034698</v>
      </c>
      <c r="F42" s="297">
        <f t="shared" si="4"/>
        <v>7477.8839740000003</v>
      </c>
      <c r="J42" s="299" t="s">
        <v>355</v>
      </c>
      <c r="K42" s="300" t="s">
        <v>375</v>
      </c>
      <c r="L42" s="301">
        <v>103998113</v>
      </c>
      <c r="M42" s="301">
        <f t="shared" si="5"/>
        <v>110549.994119</v>
      </c>
      <c r="Q42" s="299" t="s">
        <v>554</v>
      </c>
      <c r="R42" s="300" t="s">
        <v>577</v>
      </c>
      <c r="S42" s="301">
        <v>84953684</v>
      </c>
      <c r="T42" s="301">
        <v>14069396</v>
      </c>
      <c r="U42" s="301">
        <f t="shared" si="6"/>
        <v>90305.766091999991</v>
      </c>
      <c r="V42" s="301">
        <f t="shared" si="7"/>
        <v>14955.767948000001</v>
      </c>
      <c r="Z42" s="296" t="s">
        <v>579</v>
      </c>
      <c r="AA42" s="297">
        <v>46565698</v>
      </c>
      <c r="AB42" s="297">
        <f t="shared" si="8"/>
        <v>49499.336973999991</v>
      </c>
      <c r="AF42" s="296" t="s">
        <v>577</v>
      </c>
      <c r="AG42" s="297">
        <v>84953684</v>
      </c>
      <c r="AH42" s="297">
        <f t="shared" si="59"/>
        <v>90305.766091999991</v>
      </c>
      <c r="AI42" s="297">
        <v>14354216</v>
      </c>
      <c r="AL42" s="450"/>
      <c r="AN42" s="447" t="s">
        <v>554</v>
      </c>
      <c r="AO42" s="448" t="s">
        <v>579</v>
      </c>
      <c r="AP42" s="449">
        <v>32387383</v>
      </c>
      <c r="AQ42" s="449">
        <f t="shared" si="9"/>
        <v>34427.788129</v>
      </c>
      <c r="AU42" s="447" t="s">
        <v>554</v>
      </c>
      <c r="AV42" s="448" t="s">
        <v>577</v>
      </c>
      <c r="AW42" s="449">
        <v>84953684</v>
      </c>
      <c r="AX42" s="449">
        <v>14354216</v>
      </c>
      <c r="AY42" s="449">
        <v>70599468</v>
      </c>
      <c r="AZ42" s="450">
        <f t="shared" si="10"/>
        <v>90305.766091999991</v>
      </c>
      <c r="BA42" s="450">
        <f t="shared" si="11"/>
        <v>15258.531607999999</v>
      </c>
      <c r="BB42" s="450">
        <f t="shared" si="12"/>
        <v>75047.234483999986</v>
      </c>
      <c r="BF42" s="447" t="s">
        <v>553</v>
      </c>
      <c r="BG42" s="448" t="s">
        <v>584</v>
      </c>
      <c r="BH42" s="449">
        <v>102492003</v>
      </c>
      <c r="BI42" s="450">
        <f t="shared" si="13"/>
        <v>102492.003</v>
      </c>
      <c r="BM42" s="451" t="s">
        <v>554</v>
      </c>
      <c r="BN42" s="94" t="s">
        <v>577</v>
      </c>
      <c r="BO42" s="95">
        <v>0</v>
      </c>
      <c r="BP42" s="95">
        <v>84953684</v>
      </c>
      <c r="BQ42" s="95">
        <v>14354216</v>
      </c>
      <c r="BR42" s="95">
        <v>70599468</v>
      </c>
      <c r="BS42" s="95">
        <v>14354216</v>
      </c>
      <c r="BT42" s="450">
        <f t="shared" si="14"/>
        <v>84953.683999999994</v>
      </c>
      <c r="BU42" s="450">
        <f t="shared" si="15"/>
        <v>14354.216</v>
      </c>
      <c r="BV42" s="450">
        <f t="shared" si="16"/>
        <v>70599.467999999993</v>
      </c>
      <c r="BW42" s="450">
        <f t="shared" si="17"/>
        <v>14354.216</v>
      </c>
      <c r="CA42" s="94" t="s">
        <v>578</v>
      </c>
      <c r="CB42" s="450">
        <v>3354260</v>
      </c>
      <c r="CC42" s="450">
        <f t="shared" si="18"/>
        <v>3354.26</v>
      </c>
      <c r="CG42" s="448" t="s">
        <v>576</v>
      </c>
      <c r="CH42" s="449">
        <v>0</v>
      </c>
      <c r="CI42" s="449">
        <v>38891851</v>
      </c>
      <c r="CJ42" s="449">
        <v>-38891851</v>
      </c>
      <c r="CK42" s="449">
        <v>21376530</v>
      </c>
      <c r="CL42" s="449">
        <v>17515321</v>
      </c>
      <c r="CM42" s="449">
        <v>21376530</v>
      </c>
      <c r="CN42" s="449">
        <f t="shared" si="19"/>
        <v>38891.851000000002</v>
      </c>
      <c r="CO42" s="449">
        <f t="shared" si="20"/>
        <v>21376.53</v>
      </c>
      <c r="CP42" s="449">
        <f t="shared" si="21"/>
        <v>17515.321</v>
      </c>
      <c r="CQ42" s="449">
        <f t="shared" si="22"/>
        <v>21376.53</v>
      </c>
      <c r="CU42" s="448" t="s">
        <v>580</v>
      </c>
      <c r="CV42" s="449">
        <v>439720</v>
      </c>
      <c r="CW42" s="449">
        <v>439720</v>
      </c>
      <c r="CX42" s="450">
        <f t="shared" si="23"/>
        <v>439.72</v>
      </c>
      <c r="CY42" s="450">
        <f t="shared" si="24"/>
        <v>439.72</v>
      </c>
      <c r="DB42" s="602" t="s">
        <v>576</v>
      </c>
      <c r="DC42" s="603">
        <v>38891851</v>
      </c>
      <c r="DD42" s="603">
        <v>21447275</v>
      </c>
      <c r="DE42" s="603">
        <v>17444576</v>
      </c>
      <c r="DF42" s="603">
        <v>21447275</v>
      </c>
      <c r="DG42" s="604">
        <f t="shared" si="25"/>
        <v>38891.851000000002</v>
      </c>
      <c r="DH42" s="604">
        <f t="shared" si="26"/>
        <v>21447.275000000001</v>
      </c>
      <c r="DI42" s="604">
        <f t="shared" si="27"/>
        <v>17444.576000000001</v>
      </c>
      <c r="DJ42" s="604">
        <f t="shared" si="28"/>
        <v>21447.275000000001</v>
      </c>
      <c r="DN42" s="94" t="s">
        <v>624</v>
      </c>
      <c r="DO42" s="94">
        <v>9420742</v>
      </c>
      <c r="DP42" s="94">
        <v>9420742</v>
      </c>
      <c r="DQ42" s="666">
        <f t="shared" si="29"/>
        <v>9420.7420000000002</v>
      </c>
      <c r="DR42" s="666">
        <f t="shared" si="30"/>
        <v>9420.7420000000002</v>
      </c>
      <c r="DV42" s="94" t="s">
        <v>576</v>
      </c>
      <c r="DW42" s="95">
        <v>38891851</v>
      </c>
      <c r="DX42" s="95">
        <v>21447275</v>
      </c>
      <c r="DY42" s="95">
        <v>17444576</v>
      </c>
      <c r="DZ42" s="95">
        <v>21447275</v>
      </c>
      <c r="EA42" s="95">
        <f t="shared" si="31"/>
        <v>38891.851000000002</v>
      </c>
      <c r="EB42" s="95">
        <f t="shared" si="32"/>
        <v>21447.275000000001</v>
      </c>
      <c r="EC42" s="95">
        <f t="shared" si="33"/>
        <v>17444.576000000001</v>
      </c>
      <c r="ED42" s="95">
        <f t="shared" si="34"/>
        <v>21447.275000000001</v>
      </c>
      <c r="EH42" s="444" t="s">
        <v>370</v>
      </c>
      <c r="EI42" s="444">
        <v>129483563</v>
      </c>
      <c r="EJ42" s="450">
        <f t="shared" si="35"/>
        <v>129483.56299999999</v>
      </c>
      <c r="EN42" s="444" t="s">
        <v>576</v>
      </c>
      <c r="EO42" s="450">
        <v>43886567</v>
      </c>
      <c r="EP42" s="450">
        <v>32737666</v>
      </c>
      <c r="EQ42" s="450">
        <v>11148901</v>
      </c>
      <c r="ER42" s="450">
        <v>32737666</v>
      </c>
      <c r="ES42" s="746">
        <f t="shared" si="36"/>
        <v>43886.567000000003</v>
      </c>
      <c r="ET42" s="746">
        <f t="shared" si="37"/>
        <v>32737.666000000001</v>
      </c>
      <c r="EU42" s="746">
        <f t="shared" si="38"/>
        <v>11148.901</v>
      </c>
      <c r="EV42" s="746">
        <f t="shared" si="39"/>
        <v>32737.666000000001</v>
      </c>
      <c r="EZ42" s="780" t="s">
        <v>553</v>
      </c>
      <c r="FA42" s="781" t="s">
        <v>371</v>
      </c>
      <c r="FB42" s="444">
        <v>31389476</v>
      </c>
      <c r="FC42" s="450">
        <f t="shared" si="40"/>
        <v>31389.475999999999</v>
      </c>
      <c r="FG42" s="785" t="s">
        <v>554</v>
      </c>
      <c r="FH42" s="784" t="s">
        <v>576</v>
      </c>
      <c r="FI42" s="782">
        <v>43886567</v>
      </c>
      <c r="FJ42" s="783">
        <v>32737666</v>
      </c>
      <c r="FK42" s="783">
        <v>11148901</v>
      </c>
      <c r="FL42" s="783">
        <v>32737666</v>
      </c>
      <c r="FM42" s="450">
        <f t="shared" si="41"/>
        <v>43886.567000000003</v>
      </c>
      <c r="FN42" s="450">
        <f t="shared" si="42"/>
        <v>32737.666000000001</v>
      </c>
      <c r="FO42" s="450">
        <f t="shared" si="43"/>
        <v>11148.901</v>
      </c>
      <c r="FP42" s="450">
        <f t="shared" si="44"/>
        <v>32737.666000000001</v>
      </c>
      <c r="FT42" s="451" t="s">
        <v>554</v>
      </c>
      <c r="FU42" s="94" t="s">
        <v>581</v>
      </c>
      <c r="FV42" s="95">
        <v>0</v>
      </c>
      <c r="FW42" s="95">
        <v>0</v>
      </c>
      <c r="FX42" s="95">
        <v>0</v>
      </c>
      <c r="FY42" s="450">
        <f t="shared" si="45"/>
        <v>0</v>
      </c>
      <c r="FZ42" s="450">
        <f t="shared" si="46"/>
        <v>0</v>
      </c>
      <c r="GA42" s="450">
        <f t="shared" si="47"/>
        <v>0</v>
      </c>
      <c r="GG42" s="817" t="s">
        <v>554</v>
      </c>
      <c r="GH42" s="818" t="s">
        <v>576</v>
      </c>
      <c r="GI42" s="819">
        <v>43886567</v>
      </c>
      <c r="GJ42" s="819">
        <v>32737666</v>
      </c>
      <c r="GK42" s="819">
        <v>11148901</v>
      </c>
      <c r="GL42" s="819">
        <v>32737666</v>
      </c>
      <c r="GM42" s="819">
        <v>0</v>
      </c>
      <c r="GN42" s="450">
        <f t="shared" si="48"/>
        <v>43886.567000000003</v>
      </c>
      <c r="GO42" s="450">
        <f t="shared" si="49"/>
        <v>32737.666000000001</v>
      </c>
      <c r="GP42" s="450">
        <f t="shared" si="50"/>
        <v>11148.901</v>
      </c>
      <c r="GQ42" s="450">
        <f t="shared" si="51"/>
        <v>32737.666000000001</v>
      </c>
      <c r="GR42" s="450">
        <f t="shared" si="52"/>
        <v>0</v>
      </c>
      <c r="GV42" s="841" t="s">
        <v>369</v>
      </c>
      <c r="GW42" s="840">
        <v>57546283</v>
      </c>
      <c r="GX42" s="450">
        <f t="shared" si="53"/>
        <v>57546.283000000003</v>
      </c>
      <c r="HB42" s="843" t="s">
        <v>574</v>
      </c>
      <c r="HC42" s="819">
        <v>3968577623</v>
      </c>
      <c r="HD42" s="819">
        <v>3966986894</v>
      </c>
      <c r="HE42" s="819">
        <v>1590729</v>
      </c>
      <c r="HF42" s="819">
        <v>3966986894</v>
      </c>
      <c r="HG42" s="450">
        <f t="shared" si="54"/>
        <v>3968577.6230000001</v>
      </c>
      <c r="HH42" s="450">
        <f t="shared" si="55"/>
        <v>1590.729</v>
      </c>
      <c r="HI42" s="450">
        <f t="shared" si="56"/>
        <v>3966986.8939999999</v>
      </c>
      <c r="HJ42" s="450">
        <f t="shared" si="57"/>
        <v>1590.729</v>
      </c>
      <c r="HK42" s="450">
        <f t="shared" si="58"/>
        <v>3966986.8939999999</v>
      </c>
    </row>
    <row r="43" spans="1:219" ht="15" customHeight="1" x14ac:dyDescent="0.3">
      <c r="A43" s="295" t="s">
        <v>553</v>
      </c>
      <c r="B43" s="296" t="s">
        <v>369</v>
      </c>
      <c r="C43" s="297">
        <v>486623343</v>
      </c>
      <c r="D43" s="298">
        <f t="shared" si="3"/>
        <v>517280.61360899999</v>
      </c>
      <c r="E43" s="297">
        <v>33076248</v>
      </c>
      <c r="F43" s="297">
        <f t="shared" si="4"/>
        <v>35160.051624</v>
      </c>
      <c r="J43" s="299" t="s">
        <v>553</v>
      </c>
      <c r="K43" s="300" t="s">
        <v>584</v>
      </c>
      <c r="L43" s="301">
        <v>100797976</v>
      </c>
      <c r="M43" s="301">
        <f t="shared" si="5"/>
        <v>107148.24848799998</v>
      </c>
      <c r="Q43" s="299" t="s">
        <v>553</v>
      </c>
      <c r="R43" s="300" t="s">
        <v>369</v>
      </c>
      <c r="S43" s="301">
        <v>486623343</v>
      </c>
      <c r="T43" s="301">
        <v>69537934</v>
      </c>
      <c r="U43" s="301">
        <f t="shared" si="6"/>
        <v>517280.61360899999</v>
      </c>
      <c r="V43" s="301">
        <f t="shared" si="7"/>
        <v>73918.823841999983</v>
      </c>
      <c r="Z43" s="296" t="s">
        <v>580</v>
      </c>
      <c r="AA43" s="297">
        <v>298394360</v>
      </c>
      <c r="AB43" s="297">
        <f t="shared" si="8"/>
        <v>317193.20467999997</v>
      </c>
      <c r="AF43" s="296" t="s">
        <v>369</v>
      </c>
      <c r="AG43" s="297">
        <v>486623343</v>
      </c>
      <c r="AH43" s="297">
        <f t="shared" si="59"/>
        <v>517280.61360899999</v>
      </c>
      <c r="AI43" s="297">
        <v>122988692</v>
      </c>
      <c r="AL43" s="450"/>
      <c r="AN43" s="447" t="s">
        <v>553</v>
      </c>
      <c r="AO43" s="448" t="s">
        <v>580</v>
      </c>
      <c r="AP43" s="449">
        <v>369498</v>
      </c>
      <c r="AQ43" s="449">
        <f t="shared" si="9"/>
        <v>392.77637399999998</v>
      </c>
      <c r="AU43" s="447" t="s">
        <v>553</v>
      </c>
      <c r="AV43" s="448" t="s">
        <v>369</v>
      </c>
      <c r="AW43" s="449">
        <v>486623343</v>
      </c>
      <c r="AX43" s="449">
        <v>155376075</v>
      </c>
      <c r="AY43" s="449">
        <v>331247268</v>
      </c>
      <c r="AZ43" s="450">
        <f t="shared" si="10"/>
        <v>517280.61360899999</v>
      </c>
      <c r="BA43" s="450">
        <f t="shared" si="11"/>
        <v>165164.76772500001</v>
      </c>
      <c r="BB43" s="450">
        <f t="shared" si="12"/>
        <v>352115.84588399995</v>
      </c>
      <c r="BF43" s="447" t="s">
        <v>554</v>
      </c>
      <c r="BG43" s="448" t="s">
        <v>585</v>
      </c>
      <c r="BH43" s="449">
        <v>100960182</v>
      </c>
      <c r="BI43" s="450">
        <f t="shared" si="13"/>
        <v>100960.182</v>
      </c>
      <c r="BM43" s="451" t="s">
        <v>553</v>
      </c>
      <c r="BN43" s="94" t="s">
        <v>369</v>
      </c>
      <c r="BO43" s="95">
        <v>0</v>
      </c>
      <c r="BP43" s="95">
        <v>486623343</v>
      </c>
      <c r="BQ43" s="95">
        <v>193502519</v>
      </c>
      <c r="BR43" s="95">
        <v>293120824</v>
      </c>
      <c r="BS43" s="95">
        <v>193502519</v>
      </c>
      <c r="BT43" s="450">
        <f t="shared" si="14"/>
        <v>486623.34299999999</v>
      </c>
      <c r="BU43" s="450">
        <f t="shared" si="15"/>
        <v>193502.519</v>
      </c>
      <c r="BV43" s="450">
        <f t="shared" si="16"/>
        <v>293120.82400000002</v>
      </c>
      <c r="BW43" s="450">
        <f t="shared" si="17"/>
        <v>193502.519</v>
      </c>
      <c r="CA43" s="94" t="s">
        <v>579</v>
      </c>
      <c r="CB43" s="450">
        <v>50699682</v>
      </c>
      <c r="CC43" s="450">
        <f t="shared" si="18"/>
        <v>50699.682000000001</v>
      </c>
      <c r="CG43" s="448" t="s">
        <v>577</v>
      </c>
      <c r="CH43" s="449">
        <v>0</v>
      </c>
      <c r="CI43" s="449">
        <v>84953684</v>
      </c>
      <c r="CJ43" s="449">
        <v>-84953684</v>
      </c>
      <c r="CK43" s="449">
        <v>14354216</v>
      </c>
      <c r="CL43" s="449">
        <v>70599468</v>
      </c>
      <c r="CM43" s="449">
        <v>14354216</v>
      </c>
      <c r="CN43" s="449">
        <f t="shared" si="19"/>
        <v>84953.683999999994</v>
      </c>
      <c r="CO43" s="449">
        <f t="shared" si="20"/>
        <v>14354.216</v>
      </c>
      <c r="CP43" s="449">
        <f t="shared" si="21"/>
        <v>70599.467999999993</v>
      </c>
      <c r="CQ43" s="449">
        <f t="shared" si="22"/>
        <v>14354.216</v>
      </c>
      <c r="CU43" s="448" t="s">
        <v>581</v>
      </c>
      <c r="CV43" s="449">
        <v>235912</v>
      </c>
      <c r="CW43" s="449">
        <v>235912</v>
      </c>
      <c r="CX43" s="450">
        <f t="shared" si="23"/>
        <v>235.91200000000001</v>
      </c>
      <c r="CY43" s="450">
        <f t="shared" si="24"/>
        <v>235.91200000000001</v>
      </c>
      <c r="DB43" s="602" t="s">
        <v>577</v>
      </c>
      <c r="DC43" s="603">
        <v>84953684</v>
      </c>
      <c r="DD43" s="603">
        <v>14487132</v>
      </c>
      <c r="DE43" s="603">
        <v>70466552</v>
      </c>
      <c r="DF43" s="603">
        <v>14487132</v>
      </c>
      <c r="DG43" s="604">
        <f t="shared" si="25"/>
        <v>84953.683999999994</v>
      </c>
      <c r="DH43" s="604">
        <f t="shared" si="26"/>
        <v>14487.132</v>
      </c>
      <c r="DI43" s="604">
        <f t="shared" si="27"/>
        <v>70466.551999999996</v>
      </c>
      <c r="DJ43" s="604">
        <f t="shared" si="28"/>
        <v>14487.132</v>
      </c>
      <c r="DN43" s="94" t="s">
        <v>375</v>
      </c>
      <c r="DO43" s="94">
        <v>76785904</v>
      </c>
      <c r="DP43" s="94">
        <v>76785904</v>
      </c>
      <c r="DQ43" s="666">
        <f t="shared" si="29"/>
        <v>76785.903999999995</v>
      </c>
      <c r="DR43" s="666">
        <f t="shared" si="30"/>
        <v>76785.903999999995</v>
      </c>
      <c r="DV43" s="94" t="s">
        <v>577</v>
      </c>
      <c r="DW43" s="95">
        <v>84953684</v>
      </c>
      <c r="DX43" s="95">
        <v>14487132</v>
      </c>
      <c r="DY43" s="95">
        <v>70466552</v>
      </c>
      <c r="DZ43" s="95">
        <v>14487132</v>
      </c>
      <c r="EA43" s="95">
        <f t="shared" si="31"/>
        <v>84953.683999999994</v>
      </c>
      <c r="EB43" s="95">
        <f t="shared" si="32"/>
        <v>14487.132</v>
      </c>
      <c r="EC43" s="95">
        <f t="shared" si="33"/>
        <v>70466.551999999996</v>
      </c>
      <c r="ED43" s="95">
        <f t="shared" si="34"/>
        <v>14487.132</v>
      </c>
      <c r="EH43" s="444" t="s">
        <v>371</v>
      </c>
      <c r="EI43" s="444">
        <v>31094518</v>
      </c>
      <c r="EJ43" s="450">
        <f t="shared" si="35"/>
        <v>31094.518</v>
      </c>
      <c r="EN43" s="444" t="s">
        <v>577</v>
      </c>
      <c r="EO43" s="450">
        <v>84953684</v>
      </c>
      <c r="EP43" s="450">
        <v>14487132</v>
      </c>
      <c r="EQ43" s="450">
        <v>70466552</v>
      </c>
      <c r="ER43" s="450">
        <v>14487132</v>
      </c>
      <c r="ES43" s="746">
        <f t="shared" si="36"/>
        <v>84953.683999999994</v>
      </c>
      <c r="ET43" s="746">
        <f t="shared" si="37"/>
        <v>14487.132</v>
      </c>
      <c r="EU43" s="746">
        <f t="shared" si="38"/>
        <v>70466.551999999996</v>
      </c>
      <c r="EV43" s="746">
        <f t="shared" si="39"/>
        <v>14487.132</v>
      </c>
      <c r="EZ43" s="780" t="s">
        <v>554</v>
      </c>
      <c r="FA43" s="781" t="s">
        <v>582</v>
      </c>
      <c r="FB43" s="444">
        <v>19537288</v>
      </c>
      <c r="FC43" s="450">
        <f t="shared" si="40"/>
        <v>19537.288</v>
      </c>
      <c r="FG43" s="785" t="s">
        <v>554</v>
      </c>
      <c r="FH43" s="784" t="s">
        <v>577</v>
      </c>
      <c r="FI43" s="782">
        <v>84953684</v>
      </c>
      <c r="FJ43" s="783">
        <v>14487132</v>
      </c>
      <c r="FK43" s="783">
        <v>70466552</v>
      </c>
      <c r="FL43" s="783">
        <v>14487132</v>
      </c>
      <c r="FM43" s="450">
        <f t="shared" si="41"/>
        <v>84953.683999999994</v>
      </c>
      <c r="FN43" s="450">
        <f t="shared" si="42"/>
        <v>14487.132</v>
      </c>
      <c r="FO43" s="450">
        <f t="shared" si="43"/>
        <v>70466.551999999996</v>
      </c>
      <c r="FP43" s="450">
        <f t="shared" si="44"/>
        <v>14487.132</v>
      </c>
      <c r="FT43" s="451" t="s">
        <v>554</v>
      </c>
      <c r="FU43" s="94" t="s">
        <v>370</v>
      </c>
      <c r="FV43" s="95">
        <v>0</v>
      </c>
      <c r="FW43" s="95">
        <v>0</v>
      </c>
      <c r="FX43" s="95">
        <v>0</v>
      </c>
      <c r="FY43" s="450">
        <f t="shared" si="45"/>
        <v>0</v>
      </c>
      <c r="FZ43" s="450">
        <f t="shared" si="46"/>
        <v>0</v>
      </c>
      <c r="GA43" s="450">
        <f t="shared" si="47"/>
        <v>0</v>
      </c>
      <c r="GG43" s="817" t="s">
        <v>554</v>
      </c>
      <c r="GH43" s="818" t="s">
        <v>577</v>
      </c>
      <c r="GI43" s="819">
        <v>84953684</v>
      </c>
      <c r="GJ43" s="819">
        <v>14487132</v>
      </c>
      <c r="GK43" s="819">
        <v>70466552</v>
      </c>
      <c r="GL43" s="819">
        <v>14487132</v>
      </c>
      <c r="GM43" s="819">
        <v>0</v>
      </c>
      <c r="GN43" s="450">
        <f t="shared" si="48"/>
        <v>84953.683999999994</v>
      </c>
      <c r="GO43" s="450">
        <f t="shared" si="49"/>
        <v>14487.132</v>
      </c>
      <c r="GP43" s="450">
        <f t="shared" si="50"/>
        <v>70466.551999999996</v>
      </c>
      <c r="GQ43" s="450">
        <f t="shared" si="51"/>
        <v>14487.132</v>
      </c>
      <c r="GR43" s="450">
        <f t="shared" si="52"/>
        <v>0</v>
      </c>
      <c r="GV43" s="841" t="s">
        <v>578</v>
      </c>
      <c r="GW43" s="840">
        <v>6746350</v>
      </c>
      <c r="GX43" s="450">
        <f t="shared" si="53"/>
        <v>6746.35</v>
      </c>
      <c r="HB43" s="843" t="s">
        <v>575</v>
      </c>
      <c r="HC43" s="819">
        <v>1242730641</v>
      </c>
      <c r="HD43" s="819">
        <v>1242447614</v>
      </c>
      <c r="HE43" s="819">
        <v>283027</v>
      </c>
      <c r="HF43" s="819">
        <v>1242447614</v>
      </c>
      <c r="HG43" s="450">
        <f t="shared" si="54"/>
        <v>1242730.6410000001</v>
      </c>
      <c r="HH43" s="450">
        <f t="shared" si="55"/>
        <v>283.02699999999999</v>
      </c>
      <c r="HI43" s="450">
        <f t="shared" si="56"/>
        <v>1242447.6140000001</v>
      </c>
      <c r="HJ43" s="450">
        <f t="shared" si="57"/>
        <v>283.02699999999999</v>
      </c>
      <c r="HK43" s="450">
        <f t="shared" si="58"/>
        <v>1242447.6140000001</v>
      </c>
    </row>
    <row r="44" spans="1:219" ht="15" customHeight="1" x14ac:dyDescent="0.3">
      <c r="A44" s="295" t="s">
        <v>554</v>
      </c>
      <c r="B44" s="296" t="s">
        <v>578</v>
      </c>
      <c r="C44" s="297">
        <v>39704326</v>
      </c>
      <c r="D44" s="298">
        <f t="shared" si="3"/>
        <v>42205.698537999997</v>
      </c>
      <c r="E44" s="297">
        <v>0</v>
      </c>
      <c r="F44" s="297">
        <f t="shared" si="4"/>
        <v>0</v>
      </c>
      <c r="J44" s="299" t="s">
        <v>554</v>
      </c>
      <c r="K44" s="300" t="s">
        <v>585</v>
      </c>
      <c r="L44" s="301">
        <v>100777014</v>
      </c>
      <c r="M44" s="301">
        <f t="shared" si="5"/>
        <v>107125.96588199999</v>
      </c>
      <c r="Q44" s="299" t="s">
        <v>554</v>
      </c>
      <c r="R44" s="300" t="s">
        <v>578</v>
      </c>
      <c r="S44" s="301">
        <v>39704326</v>
      </c>
      <c r="T44" s="301">
        <v>3354260</v>
      </c>
      <c r="U44" s="301">
        <f t="shared" si="6"/>
        <v>42205.698537999997</v>
      </c>
      <c r="V44" s="301">
        <f t="shared" si="7"/>
        <v>3565.5783799999999</v>
      </c>
      <c r="Z44" s="296" t="s">
        <v>581</v>
      </c>
      <c r="AA44" s="297">
        <v>152721840</v>
      </c>
      <c r="AB44" s="297">
        <f t="shared" si="8"/>
        <v>162343.31591999999</v>
      </c>
      <c r="AF44" s="296" t="s">
        <v>578</v>
      </c>
      <c r="AG44" s="297">
        <v>39704326</v>
      </c>
      <c r="AH44" s="297">
        <f t="shared" si="59"/>
        <v>42205.698537999997</v>
      </c>
      <c r="AI44" s="297">
        <v>10239320</v>
      </c>
      <c r="AL44" s="450"/>
      <c r="AN44" s="447" t="s">
        <v>554</v>
      </c>
      <c r="AO44" s="448" t="s">
        <v>581</v>
      </c>
      <c r="AP44" s="449">
        <v>369498</v>
      </c>
      <c r="AQ44" s="449">
        <f t="shared" si="9"/>
        <v>392.77637399999998</v>
      </c>
      <c r="AU44" s="447" t="s">
        <v>554</v>
      </c>
      <c r="AV44" s="448" t="s">
        <v>578</v>
      </c>
      <c r="AW44" s="449">
        <v>39704326</v>
      </c>
      <c r="AX44" s="449">
        <v>10239320</v>
      </c>
      <c r="AY44" s="449">
        <v>29465006</v>
      </c>
      <c r="AZ44" s="450">
        <f t="shared" si="10"/>
        <v>42205.698537999997</v>
      </c>
      <c r="BA44" s="450">
        <f t="shared" si="11"/>
        <v>10884.397159999999</v>
      </c>
      <c r="BB44" s="450">
        <f t="shared" si="12"/>
        <v>31321.301378</v>
      </c>
      <c r="BF44" s="447" t="s">
        <v>554</v>
      </c>
      <c r="BG44" s="448" t="s">
        <v>586</v>
      </c>
      <c r="BH44" s="449">
        <v>1531821</v>
      </c>
      <c r="BI44" s="450">
        <f t="shared" si="13"/>
        <v>1531.8209999999999</v>
      </c>
      <c r="BM44" s="451" t="s">
        <v>554</v>
      </c>
      <c r="BN44" s="94" t="s">
        <v>578</v>
      </c>
      <c r="BO44" s="95">
        <v>0</v>
      </c>
      <c r="BP44" s="95">
        <v>39704326</v>
      </c>
      <c r="BQ44" s="95">
        <v>13644020</v>
      </c>
      <c r="BR44" s="95">
        <v>26060306</v>
      </c>
      <c r="BS44" s="95">
        <v>13644020</v>
      </c>
      <c r="BT44" s="450">
        <f t="shared" si="14"/>
        <v>39704.326000000001</v>
      </c>
      <c r="BU44" s="450">
        <f t="shared" si="15"/>
        <v>13644.02</v>
      </c>
      <c r="BV44" s="450">
        <f t="shared" si="16"/>
        <v>26060.306</v>
      </c>
      <c r="BW44" s="450">
        <f t="shared" si="17"/>
        <v>13644.02</v>
      </c>
      <c r="CA44" s="94" t="s">
        <v>580</v>
      </c>
      <c r="CB44" s="450">
        <v>289211162</v>
      </c>
      <c r="CC44" s="450">
        <f t="shared" si="18"/>
        <v>289211.16200000001</v>
      </c>
      <c r="CG44" s="448" t="s">
        <v>369</v>
      </c>
      <c r="CH44" s="449">
        <v>0</v>
      </c>
      <c r="CI44" s="449">
        <v>486623343</v>
      </c>
      <c r="CJ44" s="449">
        <v>-486623343</v>
      </c>
      <c r="CK44" s="449">
        <v>247556461</v>
      </c>
      <c r="CL44" s="449">
        <v>239066882</v>
      </c>
      <c r="CM44" s="449">
        <v>247556461</v>
      </c>
      <c r="CN44" s="449">
        <f t="shared" si="19"/>
        <v>486623.34299999999</v>
      </c>
      <c r="CO44" s="449">
        <f t="shared" si="20"/>
        <v>247556.46100000001</v>
      </c>
      <c r="CP44" s="449">
        <f t="shared" si="21"/>
        <v>239066.88200000001</v>
      </c>
      <c r="CQ44" s="449">
        <f t="shared" si="22"/>
        <v>247556.46100000001</v>
      </c>
      <c r="CU44" s="448" t="s">
        <v>370</v>
      </c>
      <c r="CV44" s="449">
        <v>203808</v>
      </c>
      <c r="CW44" s="449">
        <v>203808</v>
      </c>
      <c r="CX44" s="450">
        <f t="shared" si="23"/>
        <v>203.80799999999999</v>
      </c>
      <c r="CY44" s="450">
        <f t="shared" si="24"/>
        <v>203.80799999999999</v>
      </c>
      <c r="DB44" s="602" t="s">
        <v>369</v>
      </c>
      <c r="DC44" s="603">
        <v>486623343</v>
      </c>
      <c r="DD44" s="603">
        <v>285207560</v>
      </c>
      <c r="DE44" s="603">
        <v>201415783</v>
      </c>
      <c r="DF44" s="603">
        <v>285207560</v>
      </c>
      <c r="DG44" s="604">
        <f t="shared" si="25"/>
        <v>486623.34299999999</v>
      </c>
      <c r="DH44" s="604">
        <f t="shared" si="26"/>
        <v>285207.56</v>
      </c>
      <c r="DI44" s="604">
        <f t="shared" si="27"/>
        <v>201415.783</v>
      </c>
      <c r="DJ44" s="604">
        <f t="shared" si="28"/>
        <v>285207.56</v>
      </c>
      <c r="DN44" s="94" t="s">
        <v>584</v>
      </c>
      <c r="DO44" s="94">
        <v>76785904</v>
      </c>
      <c r="DP44" s="94">
        <v>76785904</v>
      </c>
      <c r="DQ44" s="666">
        <f t="shared" si="29"/>
        <v>76785.903999999995</v>
      </c>
      <c r="DR44" s="666">
        <f t="shared" si="30"/>
        <v>76785.903999999995</v>
      </c>
      <c r="DV44" s="94" t="s">
        <v>369</v>
      </c>
      <c r="DW44" s="95">
        <v>486623343</v>
      </c>
      <c r="DX44" s="95">
        <v>323208186</v>
      </c>
      <c r="DY44" s="95">
        <v>163415157</v>
      </c>
      <c r="DZ44" s="95">
        <v>323208186</v>
      </c>
      <c r="EA44" s="95">
        <f t="shared" si="31"/>
        <v>486623.34299999999</v>
      </c>
      <c r="EB44" s="95">
        <f t="shared" si="32"/>
        <v>323208.18599999999</v>
      </c>
      <c r="EC44" s="95">
        <f t="shared" si="33"/>
        <v>163415.15700000001</v>
      </c>
      <c r="ED44" s="95">
        <f t="shared" si="34"/>
        <v>323208.18599999999</v>
      </c>
      <c r="EH44" s="444" t="s">
        <v>582</v>
      </c>
      <c r="EI44" s="444">
        <v>18967207</v>
      </c>
      <c r="EJ44" s="450">
        <f t="shared" si="35"/>
        <v>18967.206999999999</v>
      </c>
      <c r="EN44" s="444" t="s">
        <v>369</v>
      </c>
      <c r="EO44" s="450">
        <v>486623343</v>
      </c>
      <c r="EP44" s="450">
        <v>374287098</v>
      </c>
      <c r="EQ44" s="450">
        <v>112336245</v>
      </c>
      <c r="ER44" s="450">
        <v>374287098</v>
      </c>
      <c r="ES44" s="746">
        <f t="shared" si="36"/>
        <v>486623.34299999999</v>
      </c>
      <c r="ET44" s="746">
        <f t="shared" si="37"/>
        <v>374287.098</v>
      </c>
      <c r="EU44" s="746">
        <f t="shared" si="38"/>
        <v>112336.245</v>
      </c>
      <c r="EV44" s="746">
        <f t="shared" si="39"/>
        <v>374287.098</v>
      </c>
      <c r="EZ44" s="780" t="s">
        <v>554</v>
      </c>
      <c r="FA44" s="781" t="s">
        <v>583</v>
      </c>
      <c r="FB44" s="444">
        <v>4512751</v>
      </c>
      <c r="FC44" s="450">
        <f t="shared" si="40"/>
        <v>4512.7510000000002</v>
      </c>
      <c r="FG44" s="785" t="s">
        <v>553</v>
      </c>
      <c r="FH44" s="784" t="s">
        <v>369</v>
      </c>
      <c r="FI44" s="782">
        <v>486623343</v>
      </c>
      <c r="FJ44" s="783">
        <v>406994242</v>
      </c>
      <c r="FK44" s="783">
        <v>79629101</v>
      </c>
      <c r="FL44" s="783">
        <v>406994242</v>
      </c>
      <c r="FM44" s="450">
        <f t="shared" si="41"/>
        <v>486623.34299999999</v>
      </c>
      <c r="FN44" s="450">
        <f t="shared" si="42"/>
        <v>406994.24200000003</v>
      </c>
      <c r="FO44" s="450">
        <f t="shared" si="43"/>
        <v>79629.100999999995</v>
      </c>
      <c r="FP44" s="450">
        <f t="shared" si="44"/>
        <v>406994.24200000003</v>
      </c>
      <c r="FT44" s="451" t="s">
        <v>553</v>
      </c>
      <c r="FU44" s="94" t="s">
        <v>371</v>
      </c>
      <c r="FV44" s="95">
        <v>12653000</v>
      </c>
      <c r="FW44" s="95">
        <v>37965623</v>
      </c>
      <c r="FX44" s="95">
        <v>37965623</v>
      </c>
      <c r="FY44" s="450">
        <f t="shared" si="45"/>
        <v>12653</v>
      </c>
      <c r="FZ44" s="450">
        <f t="shared" si="46"/>
        <v>37965.623</v>
      </c>
      <c r="GA44" s="450">
        <f t="shared" si="47"/>
        <v>37965.623</v>
      </c>
      <c r="GG44" s="817" t="s">
        <v>553</v>
      </c>
      <c r="GH44" s="818" t="s">
        <v>369</v>
      </c>
      <c r="GI44" s="819">
        <v>486623343</v>
      </c>
      <c r="GJ44" s="819">
        <v>449772481</v>
      </c>
      <c r="GK44" s="819">
        <v>36850862</v>
      </c>
      <c r="GL44" s="819">
        <v>449772481</v>
      </c>
      <c r="GM44" s="819">
        <v>0</v>
      </c>
      <c r="GN44" s="450">
        <f t="shared" si="48"/>
        <v>486623.34299999999</v>
      </c>
      <c r="GO44" s="450">
        <f t="shared" si="49"/>
        <v>449772.48100000003</v>
      </c>
      <c r="GP44" s="450">
        <f t="shared" si="50"/>
        <v>36850.862000000001</v>
      </c>
      <c r="GQ44" s="450">
        <f t="shared" si="51"/>
        <v>449772.48100000003</v>
      </c>
      <c r="GR44" s="450">
        <f t="shared" si="52"/>
        <v>0</v>
      </c>
      <c r="GV44" s="841" t="s">
        <v>579</v>
      </c>
      <c r="GW44" s="840">
        <v>50799933</v>
      </c>
      <c r="GX44" s="450">
        <f t="shared" si="53"/>
        <v>50799.932999999997</v>
      </c>
      <c r="HB44" s="843" t="s">
        <v>576</v>
      </c>
      <c r="HC44" s="819">
        <v>43987567</v>
      </c>
      <c r="HD44" s="819">
        <v>43986974</v>
      </c>
      <c r="HE44" s="819">
        <v>593</v>
      </c>
      <c r="HF44" s="819">
        <v>43986974</v>
      </c>
      <c r="HG44" s="450">
        <f t="shared" si="54"/>
        <v>43987.567000000003</v>
      </c>
      <c r="HH44" s="450">
        <f t="shared" si="55"/>
        <v>0.59299999999999997</v>
      </c>
      <c r="HI44" s="450">
        <f t="shared" si="56"/>
        <v>43986.974000000002</v>
      </c>
      <c r="HJ44" s="450">
        <f t="shared" si="57"/>
        <v>0.59299999999999997</v>
      </c>
      <c r="HK44" s="450">
        <f t="shared" si="58"/>
        <v>43986.974000000002</v>
      </c>
    </row>
    <row r="45" spans="1:219" ht="15" customHeight="1" x14ac:dyDescent="0.3">
      <c r="A45" s="295" t="s">
        <v>554</v>
      </c>
      <c r="B45" s="296" t="s">
        <v>579</v>
      </c>
      <c r="C45" s="297">
        <v>446919017</v>
      </c>
      <c r="D45" s="298">
        <f t="shared" si="3"/>
        <v>475074.915071</v>
      </c>
      <c r="E45" s="297">
        <v>33076248</v>
      </c>
      <c r="F45" s="297">
        <f t="shared" si="4"/>
        <v>35160.051624</v>
      </c>
      <c r="J45" s="299" t="s">
        <v>554</v>
      </c>
      <c r="K45" s="300" t="s">
        <v>586</v>
      </c>
      <c r="L45" s="301">
        <v>20962</v>
      </c>
      <c r="M45" s="301">
        <f t="shared" si="5"/>
        <v>22.282605999999998</v>
      </c>
      <c r="Q45" s="299" t="s">
        <v>554</v>
      </c>
      <c r="R45" s="300" t="s">
        <v>579</v>
      </c>
      <c r="S45" s="301">
        <v>446919017</v>
      </c>
      <c r="T45" s="301">
        <v>66183674</v>
      </c>
      <c r="U45" s="301">
        <f t="shared" si="6"/>
        <v>475074.915071</v>
      </c>
      <c r="V45" s="301">
        <f t="shared" si="7"/>
        <v>70353.245461999992</v>
      </c>
      <c r="Z45" s="296" t="s">
        <v>370</v>
      </c>
      <c r="AA45" s="297">
        <v>145672520</v>
      </c>
      <c r="AB45" s="297">
        <f t="shared" si="8"/>
        <v>154849.88875999997</v>
      </c>
      <c r="AF45" s="296" t="s">
        <v>579</v>
      </c>
      <c r="AG45" s="297">
        <v>446919017</v>
      </c>
      <c r="AH45" s="297">
        <f t="shared" si="59"/>
        <v>475074.915071</v>
      </c>
      <c r="AI45" s="297">
        <v>112749372</v>
      </c>
      <c r="AL45" s="450"/>
      <c r="AN45" s="447" t="s">
        <v>554</v>
      </c>
      <c r="AO45" s="448" t="s">
        <v>370</v>
      </c>
      <c r="AP45" s="449">
        <v>0</v>
      </c>
      <c r="AQ45" s="449">
        <f t="shared" si="9"/>
        <v>0</v>
      </c>
      <c r="AU45" s="447" t="s">
        <v>554</v>
      </c>
      <c r="AV45" s="448" t="s">
        <v>579</v>
      </c>
      <c r="AW45" s="449">
        <v>446919017</v>
      </c>
      <c r="AX45" s="449">
        <v>145136755</v>
      </c>
      <c r="AY45" s="449">
        <v>301782262</v>
      </c>
      <c r="AZ45" s="450">
        <f t="shared" si="10"/>
        <v>475074.915071</v>
      </c>
      <c r="BA45" s="450">
        <f t="shared" si="11"/>
        <v>154280.37056499999</v>
      </c>
      <c r="BB45" s="450">
        <f t="shared" si="12"/>
        <v>320794.54450599995</v>
      </c>
      <c r="BF45" s="447" t="s">
        <v>449</v>
      </c>
      <c r="BG45" s="448" t="s">
        <v>378</v>
      </c>
      <c r="BH45" s="449">
        <v>224847921</v>
      </c>
      <c r="BI45" s="450">
        <f t="shared" si="13"/>
        <v>224847.921</v>
      </c>
      <c r="BM45" s="451" t="s">
        <v>554</v>
      </c>
      <c r="BN45" s="94" t="s">
        <v>579</v>
      </c>
      <c r="BO45" s="95">
        <v>0</v>
      </c>
      <c r="BP45" s="95">
        <v>446919017</v>
      </c>
      <c r="BQ45" s="95">
        <v>179858499</v>
      </c>
      <c r="BR45" s="95">
        <v>267060518</v>
      </c>
      <c r="BS45" s="95">
        <v>179858499</v>
      </c>
      <c r="BT45" s="450">
        <f t="shared" si="14"/>
        <v>446919.01699999999</v>
      </c>
      <c r="BU45" s="450">
        <f t="shared" si="15"/>
        <v>179858.49900000001</v>
      </c>
      <c r="BV45" s="450">
        <f t="shared" si="16"/>
        <v>267060.51799999998</v>
      </c>
      <c r="BW45" s="450">
        <f t="shared" si="17"/>
        <v>179858.49900000001</v>
      </c>
      <c r="CA45" s="94" t="s">
        <v>581</v>
      </c>
      <c r="CB45" s="450">
        <v>154485421</v>
      </c>
      <c r="CC45" s="450">
        <f t="shared" si="18"/>
        <v>154485.421</v>
      </c>
      <c r="CG45" s="448" t="s">
        <v>578</v>
      </c>
      <c r="CH45" s="449">
        <v>0</v>
      </c>
      <c r="CI45" s="449">
        <v>39704326</v>
      </c>
      <c r="CJ45" s="449">
        <v>-39704326</v>
      </c>
      <c r="CK45" s="449">
        <v>16998280</v>
      </c>
      <c r="CL45" s="449">
        <v>22706046</v>
      </c>
      <c r="CM45" s="449">
        <v>16998280</v>
      </c>
      <c r="CN45" s="449">
        <f t="shared" si="19"/>
        <v>39704.326000000001</v>
      </c>
      <c r="CO45" s="449">
        <f t="shared" si="20"/>
        <v>16998.28</v>
      </c>
      <c r="CP45" s="449">
        <f t="shared" si="21"/>
        <v>22706.045999999998</v>
      </c>
      <c r="CQ45" s="449">
        <f t="shared" si="22"/>
        <v>16998.28</v>
      </c>
      <c r="CU45" s="448" t="s">
        <v>371</v>
      </c>
      <c r="CV45" s="449">
        <v>35611902</v>
      </c>
      <c r="CW45" s="449">
        <v>35611902</v>
      </c>
      <c r="CX45" s="450">
        <f t="shared" si="23"/>
        <v>35611.902000000002</v>
      </c>
      <c r="CY45" s="450">
        <f t="shared" si="24"/>
        <v>35611.902000000002</v>
      </c>
      <c r="DB45" s="602" t="s">
        <v>578</v>
      </c>
      <c r="DC45" s="603">
        <v>39704326</v>
      </c>
      <c r="DD45" s="603">
        <v>20402980</v>
      </c>
      <c r="DE45" s="603">
        <v>19301346</v>
      </c>
      <c r="DF45" s="603">
        <v>20402980</v>
      </c>
      <c r="DG45" s="604">
        <f t="shared" si="25"/>
        <v>39704.326000000001</v>
      </c>
      <c r="DH45" s="604">
        <f t="shared" si="26"/>
        <v>20402.98</v>
      </c>
      <c r="DI45" s="604">
        <f t="shared" si="27"/>
        <v>19301.346000000001</v>
      </c>
      <c r="DJ45" s="604">
        <f t="shared" si="28"/>
        <v>20402.98</v>
      </c>
      <c r="DN45" s="94" t="s">
        <v>585</v>
      </c>
      <c r="DO45" s="94">
        <v>74797109</v>
      </c>
      <c r="DP45" s="94">
        <v>74797109</v>
      </c>
      <c r="DQ45" s="666">
        <f t="shared" si="29"/>
        <v>74797.108999999997</v>
      </c>
      <c r="DR45" s="666">
        <f t="shared" si="30"/>
        <v>74797.108999999997</v>
      </c>
      <c r="DV45" s="94" t="s">
        <v>578</v>
      </c>
      <c r="DW45" s="95">
        <v>39704326</v>
      </c>
      <c r="DX45" s="95">
        <v>23782460</v>
      </c>
      <c r="DY45" s="95">
        <v>15921866</v>
      </c>
      <c r="DZ45" s="95">
        <v>23782460</v>
      </c>
      <c r="EA45" s="95">
        <f t="shared" si="31"/>
        <v>39704.326000000001</v>
      </c>
      <c r="EB45" s="95">
        <f t="shared" si="32"/>
        <v>23782.46</v>
      </c>
      <c r="EC45" s="95">
        <f t="shared" si="33"/>
        <v>15921.866</v>
      </c>
      <c r="ED45" s="95">
        <f t="shared" si="34"/>
        <v>23782.46</v>
      </c>
      <c r="EH45" s="444" t="s">
        <v>583</v>
      </c>
      <c r="EI45" s="444">
        <v>5081769</v>
      </c>
      <c r="EJ45" s="450">
        <f t="shared" si="35"/>
        <v>5081.7690000000002</v>
      </c>
      <c r="EN45" s="444" t="s">
        <v>578</v>
      </c>
      <c r="EO45" s="450">
        <v>39704326</v>
      </c>
      <c r="EP45" s="450">
        <v>23782460</v>
      </c>
      <c r="EQ45" s="450">
        <v>15921866</v>
      </c>
      <c r="ER45" s="450">
        <v>23782460</v>
      </c>
      <c r="ES45" s="746">
        <f t="shared" si="36"/>
        <v>39704.326000000001</v>
      </c>
      <c r="ET45" s="746">
        <f t="shared" si="37"/>
        <v>23782.46</v>
      </c>
      <c r="EU45" s="746">
        <f t="shared" si="38"/>
        <v>15921.866</v>
      </c>
      <c r="EV45" s="746">
        <f t="shared" si="39"/>
        <v>23782.46</v>
      </c>
      <c r="EZ45" s="780" t="s">
        <v>554</v>
      </c>
      <c r="FA45" s="781" t="s">
        <v>624</v>
      </c>
      <c r="FB45" s="444">
        <v>7339437</v>
      </c>
      <c r="FC45" s="450">
        <f t="shared" si="40"/>
        <v>7339.4369999999999</v>
      </c>
      <c r="FG45" s="785" t="s">
        <v>554</v>
      </c>
      <c r="FH45" s="784" t="s">
        <v>578</v>
      </c>
      <c r="FI45" s="782">
        <v>39704326</v>
      </c>
      <c r="FJ45" s="783">
        <v>23782460</v>
      </c>
      <c r="FK45" s="783">
        <v>15921866</v>
      </c>
      <c r="FL45" s="783">
        <v>23782460</v>
      </c>
      <c r="FM45" s="450">
        <f t="shared" si="41"/>
        <v>39704.326000000001</v>
      </c>
      <c r="FN45" s="450">
        <f t="shared" si="42"/>
        <v>23782.46</v>
      </c>
      <c r="FO45" s="450">
        <f t="shared" si="43"/>
        <v>15921.866</v>
      </c>
      <c r="FP45" s="450">
        <f t="shared" si="44"/>
        <v>23782.46</v>
      </c>
      <c r="FT45" s="451" t="s">
        <v>554</v>
      </c>
      <c r="FU45" s="94" t="s">
        <v>582</v>
      </c>
      <c r="FV45" s="95">
        <v>10649000</v>
      </c>
      <c r="FW45" s="95">
        <v>20990792</v>
      </c>
      <c r="FX45" s="95">
        <v>20990792</v>
      </c>
      <c r="FY45" s="450">
        <f t="shared" si="45"/>
        <v>10649</v>
      </c>
      <c r="FZ45" s="450">
        <f t="shared" si="46"/>
        <v>20990.792000000001</v>
      </c>
      <c r="GA45" s="450">
        <f t="shared" si="47"/>
        <v>20990.792000000001</v>
      </c>
      <c r="GG45" s="817" t="s">
        <v>554</v>
      </c>
      <c r="GH45" s="818" t="s">
        <v>578</v>
      </c>
      <c r="GI45" s="819">
        <v>39704326</v>
      </c>
      <c r="GJ45" s="819">
        <v>33908290</v>
      </c>
      <c r="GK45" s="819">
        <v>5796036</v>
      </c>
      <c r="GL45" s="819">
        <v>33908290</v>
      </c>
      <c r="GM45" s="819">
        <v>0</v>
      </c>
      <c r="GN45" s="450">
        <f t="shared" si="48"/>
        <v>39704.326000000001</v>
      </c>
      <c r="GO45" s="450">
        <f t="shared" si="49"/>
        <v>33908.29</v>
      </c>
      <c r="GP45" s="450">
        <f t="shared" si="50"/>
        <v>5796.0360000000001</v>
      </c>
      <c r="GQ45" s="450">
        <f t="shared" si="51"/>
        <v>33908.29</v>
      </c>
      <c r="GR45" s="450">
        <f t="shared" si="52"/>
        <v>0</v>
      </c>
      <c r="GV45" s="841" t="s">
        <v>580</v>
      </c>
      <c r="GW45" s="840">
        <v>294717312</v>
      </c>
      <c r="GX45" s="450">
        <f t="shared" si="53"/>
        <v>294717.31199999998</v>
      </c>
      <c r="HB45" s="843" t="s">
        <v>577</v>
      </c>
      <c r="HC45" s="819">
        <v>47953684</v>
      </c>
      <c r="HD45" s="819">
        <v>14487132</v>
      </c>
      <c r="HE45" s="819">
        <v>33466552</v>
      </c>
      <c r="HF45" s="819">
        <v>14487132</v>
      </c>
      <c r="HG45" s="450">
        <f t="shared" si="54"/>
        <v>47953.684000000001</v>
      </c>
      <c r="HH45" s="450">
        <f t="shared" si="55"/>
        <v>33466.552000000003</v>
      </c>
      <c r="HI45" s="450">
        <f t="shared" si="56"/>
        <v>14487.132</v>
      </c>
      <c r="HJ45" s="450">
        <f t="shared" si="57"/>
        <v>33466.552000000003</v>
      </c>
      <c r="HK45" s="450">
        <f t="shared" si="58"/>
        <v>14487.132</v>
      </c>
    </row>
    <row r="46" spans="1:219" ht="15" customHeight="1" x14ac:dyDescent="0.3">
      <c r="A46" s="295" t="s">
        <v>553</v>
      </c>
      <c r="B46" s="296" t="s">
        <v>580</v>
      </c>
      <c r="C46" s="297">
        <v>1131192790</v>
      </c>
      <c r="D46" s="298">
        <f t="shared" si="3"/>
        <v>1202457.9357699999</v>
      </c>
      <c r="E46" s="297">
        <v>46400</v>
      </c>
      <c r="F46" s="297">
        <f t="shared" si="4"/>
        <v>49.323199999999993</v>
      </c>
      <c r="J46" s="299" t="s">
        <v>553</v>
      </c>
      <c r="K46" s="300" t="s">
        <v>376</v>
      </c>
      <c r="L46" s="301">
        <v>3200137</v>
      </c>
      <c r="M46" s="301">
        <f t="shared" si="5"/>
        <v>3401.7456310000002</v>
      </c>
      <c r="Q46" s="299" t="s">
        <v>553</v>
      </c>
      <c r="R46" s="300" t="s">
        <v>580</v>
      </c>
      <c r="S46" s="301">
        <v>1131192790</v>
      </c>
      <c r="T46" s="301">
        <v>46400</v>
      </c>
      <c r="U46" s="301">
        <f t="shared" si="6"/>
        <v>1202457.9357699999</v>
      </c>
      <c r="V46" s="301">
        <f t="shared" si="7"/>
        <v>49.323199999999993</v>
      </c>
      <c r="Z46" s="296" t="s">
        <v>371</v>
      </c>
      <c r="AA46" s="297">
        <v>13019512</v>
      </c>
      <c r="AB46" s="297">
        <f t="shared" si="8"/>
        <v>13839.741255999999</v>
      </c>
      <c r="AF46" s="296" t="s">
        <v>580</v>
      </c>
      <c r="AG46" s="297">
        <v>1131192790</v>
      </c>
      <c r="AH46" s="297">
        <f t="shared" si="59"/>
        <v>1202457.9357699999</v>
      </c>
      <c r="AI46" s="297">
        <v>298440760</v>
      </c>
      <c r="AL46" s="450"/>
      <c r="AN46" s="447" t="s">
        <v>553</v>
      </c>
      <c r="AO46" s="448" t="s">
        <v>371</v>
      </c>
      <c r="AP46" s="449">
        <v>33561499</v>
      </c>
      <c r="AQ46" s="449">
        <f t="shared" si="9"/>
        <v>35675.873437000002</v>
      </c>
      <c r="AU46" s="447" t="s">
        <v>553</v>
      </c>
      <c r="AV46" s="448" t="s">
        <v>580</v>
      </c>
      <c r="AW46" s="449">
        <v>1131192790</v>
      </c>
      <c r="AX46" s="449">
        <v>298810258</v>
      </c>
      <c r="AY46" s="449">
        <v>832382532</v>
      </c>
      <c r="AZ46" s="450">
        <f t="shared" si="10"/>
        <v>1202457.9357699999</v>
      </c>
      <c r="BA46" s="450">
        <f t="shared" si="11"/>
        <v>317635.30425399996</v>
      </c>
      <c r="BB46" s="450">
        <f t="shared" si="12"/>
        <v>884822.63151599991</v>
      </c>
      <c r="BF46" s="447" t="s">
        <v>355</v>
      </c>
      <c r="BG46" s="448" t="s">
        <v>379</v>
      </c>
      <c r="BH46" s="449">
        <v>0</v>
      </c>
      <c r="BI46" s="450">
        <f t="shared" si="13"/>
        <v>0</v>
      </c>
      <c r="BM46" s="451" t="s">
        <v>553</v>
      </c>
      <c r="BN46" s="94" t="s">
        <v>580</v>
      </c>
      <c r="BO46" s="95">
        <v>0</v>
      </c>
      <c r="BP46" s="95">
        <v>1131192790</v>
      </c>
      <c r="BQ46" s="95">
        <v>299943933</v>
      </c>
      <c r="BR46" s="95">
        <v>831248857</v>
      </c>
      <c r="BS46" s="95">
        <v>299943933</v>
      </c>
      <c r="BT46" s="450">
        <f t="shared" si="14"/>
        <v>1131192.79</v>
      </c>
      <c r="BU46" s="450">
        <f t="shared" si="15"/>
        <v>299943.93300000002</v>
      </c>
      <c r="BV46" s="450">
        <f t="shared" si="16"/>
        <v>831248.85699999996</v>
      </c>
      <c r="BW46" s="450">
        <f t="shared" si="17"/>
        <v>299943.93300000002</v>
      </c>
      <c r="CA46" s="94" t="s">
        <v>370</v>
      </c>
      <c r="CB46" s="450">
        <v>134725741</v>
      </c>
      <c r="CC46" s="450">
        <f t="shared" si="18"/>
        <v>134725.74100000001</v>
      </c>
      <c r="CG46" s="448" t="s">
        <v>579</v>
      </c>
      <c r="CH46" s="449">
        <v>0</v>
      </c>
      <c r="CI46" s="449">
        <v>446919017</v>
      </c>
      <c r="CJ46" s="449">
        <v>-446919017</v>
      </c>
      <c r="CK46" s="449">
        <v>230558181</v>
      </c>
      <c r="CL46" s="449">
        <v>216360836</v>
      </c>
      <c r="CM46" s="449">
        <v>230558181</v>
      </c>
      <c r="CN46" s="449">
        <f t="shared" si="19"/>
        <v>446919.01699999999</v>
      </c>
      <c r="CO46" s="449">
        <f t="shared" si="20"/>
        <v>230558.18100000001</v>
      </c>
      <c r="CP46" s="449">
        <f t="shared" si="21"/>
        <v>216360.83600000001</v>
      </c>
      <c r="CQ46" s="449">
        <f t="shared" si="22"/>
        <v>230558.18100000001</v>
      </c>
      <c r="CU46" s="448" t="s">
        <v>582</v>
      </c>
      <c r="CV46" s="449">
        <v>21015858</v>
      </c>
      <c r="CW46" s="449">
        <v>21015858</v>
      </c>
      <c r="CX46" s="450">
        <f t="shared" si="23"/>
        <v>21015.858</v>
      </c>
      <c r="CY46" s="450">
        <f t="shared" si="24"/>
        <v>21015.858</v>
      </c>
      <c r="DB46" s="602" t="s">
        <v>579</v>
      </c>
      <c r="DC46" s="603">
        <v>446919017</v>
      </c>
      <c r="DD46" s="603">
        <v>264804580</v>
      </c>
      <c r="DE46" s="603">
        <v>182114437</v>
      </c>
      <c r="DF46" s="603">
        <v>264804580</v>
      </c>
      <c r="DG46" s="604">
        <f t="shared" si="25"/>
        <v>446919.01699999999</v>
      </c>
      <c r="DH46" s="604">
        <f t="shared" si="26"/>
        <v>264804.58</v>
      </c>
      <c r="DI46" s="604">
        <f t="shared" si="27"/>
        <v>182114.43700000001</v>
      </c>
      <c r="DJ46" s="604">
        <f t="shared" si="28"/>
        <v>264804.58</v>
      </c>
      <c r="DN46" s="94" t="s">
        <v>586</v>
      </c>
      <c r="DO46" s="94">
        <v>1988795</v>
      </c>
      <c r="DP46" s="94">
        <v>1988795</v>
      </c>
      <c r="DQ46" s="666">
        <f t="shared" si="29"/>
        <v>1988.7950000000001</v>
      </c>
      <c r="DR46" s="666">
        <f t="shared" si="30"/>
        <v>1988.7950000000001</v>
      </c>
      <c r="DV46" s="94" t="s">
        <v>579</v>
      </c>
      <c r="DW46" s="95">
        <v>446919017</v>
      </c>
      <c r="DX46" s="95">
        <v>299425726</v>
      </c>
      <c r="DY46" s="95">
        <v>147493291</v>
      </c>
      <c r="DZ46" s="95">
        <v>299425726</v>
      </c>
      <c r="EA46" s="95">
        <f t="shared" si="31"/>
        <v>446919.01699999999</v>
      </c>
      <c r="EB46" s="95">
        <f t="shared" si="32"/>
        <v>299425.72600000002</v>
      </c>
      <c r="EC46" s="95">
        <f t="shared" si="33"/>
        <v>147493.291</v>
      </c>
      <c r="ED46" s="95">
        <f t="shared" si="34"/>
        <v>299425.72600000002</v>
      </c>
      <c r="EH46" s="444" t="s">
        <v>624</v>
      </c>
      <c r="EI46" s="444">
        <v>7045542</v>
      </c>
      <c r="EJ46" s="450">
        <f t="shared" si="35"/>
        <v>7045.5420000000004</v>
      </c>
      <c r="EN46" s="444" t="s">
        <v>579</v>
      </c>
      <c r="EO46" s="450">
        <v>446919017</v>
      </c>
      <c r="EP46" s="450">
        <v>350504638</v>
      </c>
      <c r="EQ46" s="450">
        <v>96414379</v>
      </c>
      <c r="ER46" s="450">
        <v>350504638</v>
      </c>
      <c r="ES46" s="746">
        <f t="shared" si="36"/>
        <v>446919.01699999999</v>
      </c>
      <c r="ET46" s="746">
        <f t="shared" si="37"/>
        <v>350504.63799999998</v>
      </c>
      <c r="EU46" s="746">
        <f t="shared" si="38"/>
        <v>96414.379000000001</v>
      </c>
      <c r="EV46" s="746">
        <f t="shared" si="39"/>
        <v>350504.63799999998</v>
      </c>
      <c r="EZ46" s="780" t="s">
        <v>553</v>
      </c>
      <c r="FA46" s="781" t="s">
        <v>372</v>
      </c>
      <c r="FB46" s="444">
        <v>0</v>
      </c>
      <c r="FC46" s="450">
        <f t="shared" si="40"/>
        <v>0</v>
      </c>
      <c r="FG46" s="785" t="s">
        <v>554</v>
      </c>
      <c r="FH46" s="784" t="s">
        <v>579</v>
      </c>
      <c r="FI46" s="782">
        <v>446919017</v>
      </c>
      <c r="FJ46" s="783">
        <v>383211782</v>
      </c>
      <c r="FK46" s="783">
        <v>63707235</v>
      </c>
      <c r="FL46" s="783">
        <v>383211782</v>
      </c>
      <c r="FM46" s="450">
        <f t="shared" si="41"/>
        <v>446919.01699999999</v>
      </c>
      <c r="FN46" s="450">
        <f t="shared" si="42"/>
        <v>383211.78200000001</v>
      </c>
      <c r="FO46" s="450">
        <f t="shared" si="43"/>
        <v>63707.235000000001</v>
      </c>
      <c r="FP46" s="450">
        <f t="shared" si="44"/>
        <v>383211.78200000001</v>
      </c>
      <c r="FT46" s="451" t="s">
        <v>554</v>
      </c>
      <c r="FU46" s="94" t="s">
        <v>583</v>
      </c>
      <c r="FV46" s="95">
        <v>965000</v>
      </c>
      <c r="FW46" s="95">
        <v>4791386</v>
      </c>
      <c r="FX46" s="95">
        <v>4791386</v>
      </c>
      <c r="FY46" s="450">
        <f t="shared" si="45"/>
        <v>965</v>
      </c>
      <c r="FZ46" s="450">
        <f t="shared" si="46"/>
        <v>4791.3860000000004</v>
      </c>
      <c r="GA46" s="450">
        <f t="shared" si="47"/>
        <v>4791.3860000000004</v>
      </c>
      <c r="GG46" s="817" t="s">
        <v>554</v>
      </c>
      <c r="GH46" s="818" t="s">
        <v>579</v>
      </c>
      <c r="GI46" s="819">
        <v>446919017</v>
      </c>
      <c r="GJ46" s="819">
        <v>415864191</v>
      </c>
      <c r="GK46" s="819">
        <v>31054826</v>
      </c>
      <c r="GL46" s="819">
        <v>415864191</v>
      </c>
      <c r="GM46" s="819">
        <v>0</v>
      </c>
      <c r="GN46" s="450">
        <f t="shared" si="48"/>
        <v>446919.01699999999</v>
      </c>
      <c r="GO46" s="450">
        <f t="shared" si="49"/>
        <v>415864.19099999999</v>
      </c>
      <c r="GP46" s="450">
        <f t="shared" si="50"/>
        <v>31054.826000000001</v>
      </c>
      <c r="GQ46" s="450">
        <f t="shared" si="51"/>
        <v>415864.19099999999</v>
      </c>
      <c r="GR46" s="450">
        <f t="shared" si="52"/>
        <v>0</v>
      </c>
      <c r="GV46" s="841" t="s">
        <v>581</v>
      </c>
      <c r="GW46" s="840">
        <v>163891942</v>
      </c>
      <c r="GX46" s="450">
        <f t="shared" si="53"/>
        <v>163891.94200000001</v>
      </c>
      <c r="HB46" s="843" t="s">
        <v>925</v>
      </c>
      <c r="HC46" s="819">
        <v>13000000</v>
      </c>
      <c r="HD46" s="819">
        <v>12672000</v>
      </c>
      <c r="HE46" s="819">
        <v>328000</v>
      </c>
      <c r="HF46" s="819">
        <v>12672000</v>
      </c>
      <c r="HG46" s="450">
        <f t="shared" si="54"/>
        <v>13000</v>
      </c>
      <c r="HH46" s="450">
        <f t="shared" si="55"/>
        <v>328</v>
      </c>
      <c r="HI46" s="450">
        <f t="shared" si="56"/>
        <v>12672</v>
      </c>
      <c r="HJ46" s="450">
        <f t="shared" si="57"/>
        <v>328</v>
      </c>
      <c r="HK46" s="450">
        <f t="shared" si="58"/>
        <v>12672</v>
      </c>
    </row>
    <row r="47" spans="1:219" ht="15" customHeight="1" x14ac:dyDescent="0.3">
      <c r="A47" s="295" t="s">
        <v>554</v>
      </c>
      <c r="B47" s="296" t="s">
        <v>581</v>
      </c>
      <c r="C47" s="297">
        <v>575605053</v>
      </c>
      <c r="D47" s="298">
        <f t="shared" si="3"/>
        <v>611868.17133899988</v>
      </c>
      <c r="E47" s="297">
        <v>46400</v>
      </c>
      <c r="F47" s="297">
        <f t="shared" si="4"/>
        <v>49.323199999999993</v>
      </c>
      <c r="J47" s="299" t="s">
        <v>449</v>
      </c>
      <c r="K47" s="300" t="s">
        <v>378</v>
      </c>
      <c r="L47" s="301">
        <v>53409386</v>
      </c>
      <c r="M47" s="301">
        <f t="shared" si="5"/>
        <v>56774.177317999995</v>
      </c>
      <c r="Q47" s="299" t="s">
        <v>554</v>
      </c>
      <c r="R47" s="300" t="s">
        <v>581</v>
      </c>
      <c r="S47" s="301">
        <v>575605053</v>
      </c>
      <c r="T47" s="301">
        <v>46400</v>
      </c>
      <c r="U47" s="301">
        <f t="shared" si="6"/>
        <v>611868.17133899988</v>
      </c>
      <c r="V47" s="301">
        <f t="shared" si="7"/>
        <v>49.323199999999993</v>
      </c>
      <c r="Z47" s="296" t="s">
        <v>582</v>
      </c>
      <c r="AA47" s="297">
        <v>7409498</v>
      </c>
      <c r="AB47" s="297">
        <f t="shared" si="8"/>
        <v>7876.2963739999996</v>
      </c>
      <c r="AF47" s="296" t="s">
        <v>581</v>
      </c>
      <c r="AG47" s="297">
        <v>575605053</v>
      </c>
      <c r="AH47" s="297">
        <f t="shared" si="59"/>
        <v>611868.17133899988</v>
      </c>
      <c r="AI47" s="297">
        <v>152768240</v>
      </c>
      <c r="AL47" s="450"/>
      <c r="AN47" s="447" t="s">
        <v>554</v>
      </c>
      <c r="AO47" s="448" t="s">
        <v>582</v>
      </c>
      <c r="AP47" s="449">
        <v>28802385</v>
      </c>
      <c r="AQ47" s="449">
        <f t="shared" si="9"/>
        <v>30616.935254999997</v>
      </c>
      <c r="AU47" s="447" t="s">
        <v>554</v>
      </c>
      <c r="AV47" s="448" t="s">
        <v>581</v>
      </c>
      <c r="AW47" s="449">
        <v>575605053</v>
      </c>
      <c r="AX47" s="449">
        <v>153137738</v>
      </c>
      <c r="AY47" s="449">
        <v>422467315</v>
      </c>
      <c r="AZ47" s="450">
        <f t="shared" si="10"/>
        <v>611868.17133899988</v>
      </c>
      <c r="BA47" s="450">
        <f t="shared" si="11"/>
        <v>162785.41549400002</v>
      </c>
      <c r="BB47" s="450">
        <f t="shared" si="12"/>
        <v>449082.75584499998</v>
      </c>
      <c r="BF47" s="447" t="s">
        <v>553</v>
      </c>
      <c r="BG47" s="448" t="s">
        <v>587</v>
      </c>
      <c r="BH47" s="449">
        <v>0</v>
      </c>
      <c r="BI47" s="450">
        <f t="shared" si="13"/>
        <v>0</v>
      </c>
      <c r="BM47" s="451" t="s">
        <v>554</v>
      </c>
      <c r="BN47" s="94" t="s">
        <v>581</v>
      </c>
      <c r="BO47" s="95">
        <v>0</v>
      </c>
      <c r="BP47" s="95">
        <v>575605053</v>
      </c>
      <c r="BQ47" s="95">
        <v>153690041</v>
      </c>
      <c r="BR47" s="95">
        <v>421915012</v>
      </c>
      <c r="BS47" s="95">
        <v>153690041</v>
      </c>
      <c r="BT47" s="450">
        <f t="shared" si="14"/>
        <v>575605.05299999996</v>
      </c>
      <c r="BU47" s="450">
        <f t="shared" si="15"/>
        <v>153690.041</v>
      </c>
      <c r="BV47" s="450">
        <f t="shared" si="16"/>
        <v>421915.01199999999</v>
      </c>
      <c r="BW47" s="450">
        <f t="shared" si="17"/>
        <v>153690.041</v>
      </c>
      <c r="CA47" s="94" t="s">
        <v>371</v>
      </c>
      <c r="CB47" s="450">
        <v>30205480</v>
      </c>
      <c r="CC47" s="450">
        <f t="shared" si="18"/>
        <v>30205.48</v>
      </c>
      <c r="CG47" s="448" t="s">
        <v>580</v>
      </c>
      <c r="CH47" s="449">
        <v>0</v>
      </c>
      <c r="CI47" s="449">
        <v>1131192790</v>
      </c>
      <c r="CJ47" s="449">
        <v>-1131192790</v>
      </c>
      <c r="CK47" s="449">
        <v>589155095</v>
      </c>
      <c r="CL47" s="449">
        <v>542037695</v>
      </c>
      <c r="CM47" s="449">
        <v>589155095</v>
      </c>
      <c r="CN47" s="449">
        <f t="shared" si="19"/>
        <v>1131192.79</v>
      </c>
      <c r="CO47" s="449">
        <f t="shared" si="20"/>
        <v>589155.09499999997</v>
      </c>
      <c r="CP47" s="449">
        <f t="shared" si="21"/>
        <v>542037.69499999995</v>
      </c>
      <c r="CQ47" s="449">
        <f t="shared" si="22"/>
        <v>589155.09499999997</v>
      </c>
      <c r="CU47" s="448" t="s">
        <v>583</v>
      </c>
      <c r="CV47" s="449">
        <v>3786768</v>
      </c>
      <c r="CW47" s="449">
        <v>3786768</v>
      </c>
      <c r="CX47" s="450">
        <f t="shared" si="23"/>
        <v>3786.768</v>
      </c>
      <c r="CY47" s="450">
        <f t="shared" si="24"/>
        <v>3786.768</v>
      </c>
      <c r="DB47" s="602" t="s">
        <v>580</v>
      </c>
      <c r="DC47" s="603">
        <v>1131192790</v>
      </c>
      <c r="DD47" s="603">
        <v>589594815</v>
      </c>
      <c r="DE47" s="603">
        <v>541597975</v>
      </c>
      <c r="DF47" s="603">
        <v>589594815</v>
      </c>
      <c r="DG47" s="604">
        <f t="shared" si="25"/>
        <v>1131192.79</v>
      </c>
      <c r="DH47" s="604">
        <f t="shared" si="26"/>
        <v>589594.81499999994</v>
      </c>
      <c r="DI47" s="604">
        <f t="shared" si="27"/>
        <v>541597.97499999998</v>
      </c>
      <c r="DJ47" s="604">
        <f t="shared" si="28"/>
        <v>589594.81499999994</v>
      </c>
      <c r="DN47" s="94" t="s">
        <v>377</v>
      </c>
      <c r="DO47" s="94">
        <v>0</v>
      </c>
      <c r="DP47" s="94">
        <v>0</v>
      </c>
      <c r="DQ47" s="666">
        <f t="shared" si="29"/>
        <v>0</v>
      </c>
      <c r="DR47" s="666">
        <f t="shared" si="30"/>
        <v>0</v>
      </c>
      <c r="DV47" s="94" t="s">
        <v>580</v>
      </c>
      <c r="DW47" s="95">
        <v>1131192790</v>
      </c>
      <c r="DX47" s="95">
        <v>589689189</v>
      </c>
      <c r="DY47" s="95">
        <v>541503601</v>
      </c>
      <c r="DZ47" s="95">
        <v>589689189</v>
      </c>
      <c r="EA47" s="95">
        <f t="shared" si="31"/>
        <v>1131192.79</v>
      </c>
      <c r="EB47" s="95">
        <f t="shared" si="32"/>
        <v>589689.18900000001</v>
      </c>
      <c r="EC47" s="95">
        <f t="shared" si="33"/>
        <v>541503.60100000002</v>
      </c>
      <c r="ED47" s="95">
        <f t="shared" si="34"/>
        <v>589689.18900000001</v>
      </c>
      <c r="EH47" s="444" t="s">
        <v>372</v>
      </c>
      <c r="EI47" s="444">
        <v>20700881</v>
      </c>
      <c r="EJ47" s="450">
        <f t="shared" si="35"/>
        <v>20700.881000000001</v>
      </c>
      <c r="EN47" s="444" t="s">
        <v>580</v>
      </c>
      <c r="EO47" s="450">
        <v>1177925458</v>
      </c>
      <c r="EP47" s="450">
        <v>876177889</v>
      </c>
      <c r="EQ47" s="450">
        <v>301747569</v>
      </c>
      <c r="ER47" s="450">
        <v>876177889</v>
      </c>
      <c r="ES47" s="746">
        <f t="shared" si="36"/>
        <v>1177925.4580000001</v>
      </c>
      <c r="ET47" s="746">
        <f t="shared" si="37"/>
        <v>876177.88899999997</v>
      </c>
      <c r="EU47" s="746">
        <f t="shared" si="38"/>
        <v>301747.56900000002</v>
      </c>
      <c r="EV47" s="746">
        <f t="shared" si="39"/>
        <v>876177.88899999997</v>
      </c>
      <c r="EZ47" s="780" t="s">
        <v>554</v>
      </c>
      <c r="FA47" s="781" t="s">
        <v>373</v>
      </c>
      <c r="FB47" s="444">
        <v>0</v>
      </c>
      <c r="FC47" s="450">
        <f t="shared" si="40"/>
        <v>0</v>
      </c>
      <c r="FG47" s="785" t="s">
        <v>553</v>
      </c>
      <c r="FH47" s="784" t="s">
        <v>580</v>
      </c>
      <c r="FI47" s="782">
        <v>1177925458</v>
      </c>
      <c r="FJ47" s="783">
        <v>876244927</v>
      </c>
      <c r="FK47" s="783">
        <v>301680531</v>
      </c>
      <c r="FL47" s="783">
        <v>876244927</v>
      </c>
      <c r="FM47" s="450">
        <f t="shared" si="41"/>
        <v>1177925.4580000001</v>
      </c>
      <c r="FN47" s="450">
        <f t="shared" si="42"/>
        <v>876244.92700000003</v>
      </c>
      <c r="FO47" s="450">
        <f t="shared" si="43"/>
        <v>301680.53100000002</v>
      </c>
      <c r="FP47" s="450">
        <f t="shared" si="44"/>
        <v>876244.92700000003</v>
      </c>
      <c r="FT47" s="451" t="s">
        <v>554</v>
      </c>
      <c r="FU47" s="94" t="s">
        <v>624</v>
      </c>
      <c r="FV47" s="95">
        <v>1039000</v>
      </c>
      <c r="FW47" s="95">
        <v>12183445</v>
      </c>
      <c r="FX47" s="95">
        <v>12183445</v>
      </c>
      <c r="FY47" s="450">
        <f t="shared" si="45"/>
        <v>1039</v>
      </c>
      <c r="FZ47" s="450">
        <f t="shared" si="46"/>
        <v>12183.445</v>
      </c>
      <c r="GA47" s="450">
        <f t="shared" si="47"/>
        <v>12183.445</v>
      </c>
      <c r="GG47" s="817" t="s">
        <v>553</v>
      </c>
      <c r="GH47" s="818" t="s">
        <v>580</v>
      </c>
      <c r="GI47" s="819">
        <v>1177925458</v>
      </c>
      <c r="GJ47" s="819">
        <v>876244927</v>
      </c>
      <c r="GK47" s="819">
        <v>301680531</v>
      </c>
      <c r="GL47" s="819">
        <v>876244927</v>
      </c>
      <c r="GM47" s="819">
        <v>0</v>
      </c>
      <c r="GN47" s="450">
        <f t="shared" si="48"/>
        <v>1177925.4580000001</v>
      </c>
      <c r="GO47" s="450">
        <f t="shared" si="49"/>
        <v>876244.92700000003</v>
      </c>
      <c r="GP47" s="450">
        <f t="shared" si="50"/>
        <v>301680.53100000002</v>
      </c>
      <c r="GQ47" s="450">
        <f t="shared" si="51"/>
        <v>876244.92700000003</v>
      </c>
      <c r="GR47" s="450">
        <f t="shared" si="52"/>
        <v>0</v>
      </c>
      <c r="GV47" s="841" t="s">
        <v>370</v>
      </c>
      <c r="GW47" s="840">
        <v>130807217</v>
      </c>
      <c r="GX47" s="450">
        <f t="shared" si="53"/>
        <v>130807.217</v>
      </c>
      <c r="HB47" s="843" t="s">
        <v>369</v>
      </c>
      <c r="HC47" s="819">
        <v>508573657</v>
      </c>
      <c r="HD47" s="819">
        <v>507318764</v>
      </c>
      <c r="HE47" s="819">
        <v>1254893</v>
      </c>
      <c r="HF47" s="819">
        <v>507318764</v>
      </c>
      <c r="HG47" s="450">
        <f t="shared" si="54"/>
        <v>508573.65700000001</v>
      </c>
      <c r="HH47" s="450">
        <f t="shared" si="55"/>
        <v>1254.893</v>
      </c>
      <c r="HI47" s="450">
        <f t="shared" si="56"/>
        <v>507318.76400000002</v>
      </c>
      <c r="HJ47" s="450">
        <f t="shared" si="57"/>
        <v>1254.893</v>
      </c>
      <c r="HK47" s="450">
        <f t="shared" si="58"/>
        <v>507318.76400000002</v>
      </c>
    </row>
    <row r="48" spans="1:219" ht="15" customHeight="1" x14ac:dyDescent="0.3">
      <c r="A48" s="295" t="s">
        <v>554</v>
      </c>
      <c r="B48" s="296" t="s">
        <v>370</v>
      </c>
      <c r="C48" s="297">
        <v>555587737</v>
      </c>
      <c r="D48" s="298">
        <f t="shared" si="3"/>
        <v>590589.76443099999</v>
      </c>
      <c r="E48" s="297">
        <v>0</v>
      </c>
      <c r="F48" s="297">
        <f t="shared" si="4"/>
        <v>0</v>
      </c>
      <c r="J48" s="299" t="s">
        <v>355</v>
      </c>
      <c r="K48" s="300" t="s">
        <v>381</v>
      </c>
      <c r="L48" s="301">
        <v>2621950</v>
      </c>
      <c r="M48" s="301">
        <f t="shared" si="5"/>
        <v>2787.1328499999995</v>
      </c>
      <c r="Q48" s="299" t="s">
        <v>554</v>
      </c>
      <c r="R48" s="300" t="s">
        <v>370</v>
      </c>
      <c r="S48" s="301">
        <v>555587737</v>
      </c>
      <c r="T48" s="301">
        <v>0</v>
      </c>
      <c r="U48" s="301">
        <f t="shared" si="6"/>
        <v>590589.76443099999</v>
      </c>
      <c r="V48" s="301">
        <f t="shared" si="7"/>
        <v>0</v>
      </c>
      <c r="Z48" s="296" t="s">
        <v>583</v>
      </c>
      <c r="AA48" s="297">
        <v>1165869</v>
      </c>
      <c r="AB48" s="297">
        <f t="shared" si="8"/>
        <v>1239.3187469999998</v>
      </c>
      <c r="AF48" s="296" t="s">
        <v>370</v>
      </c>
      <c r="AG48" s="297">
        <v>555587737</v>
      </c>
      <c r="AH48" s="297">
        <f t="shared" si="59"/>
        <v>590589.76443099999</v>
      </c>
      <c r="AI48" s="297">
        <v>145672520</v>
      </c>
      <c r="AL48" s="450"/>
      <c r="AN48" s="447" t="s">
        <v>554</v>
      </c>
      <c r="AO48" s="448" t="s">
        <v>583</v>
      </c>
      <c r="AP48" s="449">
        <v>2431108</v>
      </c>
      <c r="AQ48" s="449">
        <f t="shared" si="9"/>
        <v>2584.2678040000001</v>
      </c>
      <c r="AU48" s="447" t="s">
        <v>554</v>
      </c>
      <c r="AV48" s="448" t="s">
        <v>370</v>
      </c>
      <c r="AW48" s="449">
        <v>555587737</v>
      </c>
      <c r="AX48" s="449">
        <v>145672520</v>
      </c>
      <c r="AY48" s="449">
        <v>409915217</v>
      </c>
      <c r="AZ48" s="450">
        <f t="shared" si="10"/>
        <v>590589.76443099999</v>
      </c>
      <c r="BA48" s="450">
        <f t="shared" si="11"/>
        <v>154849.88875999997</v>
      </c>
      <c r="BB48" s="450">
        <f t="shared" si="12"/>
        <v>435739.87567099999</v>
      </c>
      <c r="BF48" s="447" t="s">
        <v>553</v>
      </c>
      <c r="BG48" s="448" t="s">
        <v>588</v>
      </c>
      <c r="BH48" s="449">
        <v>0</v>
      </c>
      <c r="BI48" s="450">
        <f t="shared" si="13"/>
        <v>0</v>
      </c>
      <c r="BM48" s="451" t="s">
        <v>554</v>
      </c>
      <c r="BN48" s="94" t="s">
        <v>370</v>
      </c>
      <c r="BO48" s="95">
        <v>0</v>
      </c>
      <c r="BP48" s="95">
        <v>555587737</v>
      </c>
      <c r="BQ48" s="95">
        <v>146253892</v>
      </c>
      <c r="BR48" s="95">
        <v>409333845</v>
      </c>
      <c r="BS48" s="95">
        <v>146253892</v>
      </c>
      <c r="BT48" s="450">
        <f t="shared" si="14"/>
        <v>555587.73699999996</v>
      </c>
      <c r="BU48" s="450">
        <f t="shared" si="15"/>
        <v>146253.89199999999</v>
      </c>
      <c r="BV48" s="450">
        <f t="shared" si="16"/>
        <v>409333.84499999997</v>
      </c>
      <c r="BW48" s="450">
        <f t="shared" si="17"/>
        <v>146253.89199999999</v>
      </c>
      <c r="CA48" s="94" t="s">
        <v>582</v>
      </c>
      <c r="CB48" s="450">
        <v>19906420</v>
      </c>
      <c r="CC48" s="450">
        <f t="shared" si="18"/>
        <v>19906.419999999998</v>
      </c>
      <c r="CG48" s="448" t="s">
        <v>581</v>
      </c>
      <c r="CH48" s="449">
        <v>0</v>
      </c>
      <c r="CI48" s="449">
        <v>575605053</v>
      </c>
      <c r="CJ48" s="449">
        <v>-575605053</v>
      </c>
      <c r="CK48" s="449">
        <v>308175462</v>
      </c>
      <c r="CL48" s="449">
        <v>267429591</v>
      </c>
      <c r="CM48" s="449">
        <v>308175462</v>
      </c>
      <c r="CN48" s="449">
        <f t="shared" si="19"/>
        <v>575605.05299999996</v>
      </c>
      <c r="CO48" s="449">
        <f t="shared" si="20"/>
        <v>308175.462</v>
      </c>
      <c r="CP48" s="449">
        <f t="shared" si="21"/>
        <v>267429.59100000001</v>
      </c>
      <c r="CQ48" s="449">
        <f t="shared" si="22"/>
        <v>308175.462</v>
      </c>
      <c r="CU48" s="448" t="s">
        <v>624</v>
      </c>
      <c r="CV48" s="449">
        <v>10809276</v>
      </c>
      <c r="CW48" s="449">
        <v>10809276</v>
      </c>
      <c r="CX48" s="450">
        <f t="shared" si="23"/>
        <v>10809.276</v>
      </c>
      <c r="CY48" s="450">
        <f t="shared" si="24"/>
        <v>10809.276</v>
      </c>
      <c r="DB48" s="602" t="s">
        <v>581</v>
      </c>
      <c r="DC48" s="603">
        <v>575605053</v>
      </c>
      <c r="DD48" s="603">
        <v>308411374</v>
      </c>
      <c r="DE48" s="603">
        <v>267193679</v>
      </c>
      <c r="DF48" s="603">
        <v>308411374</v>
      </c>
      <c r="DG48" s="604">
        <f t="shared" si="25"/>
        <v>575605.05299999996</v>
      </c>
      <c r="DH48" s="604">
        <f t="shared" si="26"/>
        <v>308411.37400000001</v>
      </c>
      <c r="DI48" s="604">
        <f t="shared" si="27"/>
        <v>267193.679</v>
      </c>
      <c r="DJ48" s="604">
        <f t="shared" si="28"/>
        <v>308411.37400000001</v>
      </c>
      <c r="DN48" s="94" t="s">
        <v>378</v>
      </c>
      <c r="DO48" s="94">
        <v>60282231</v>
      </c>
      <c r="DP48" s="94">
        <v>203262435</v>
      </c>
      <c r="DQ48" s="666">
        <f>+DO48/$DS$2*$DT$2</f>
        <v>60282.231</v>
      </c>
      <c r="DR48" s="666">
        <f t="shared" si="30"/>
        <v>203262.435</v>
      </c>
      <c r="DV48" s="94" t="s">
        <v>581</v>
      </c>
      <c r="DW48" s="95">
        <v>575605053</v>
      </c>
      <c r="DX48" s="95">
        <v>308472427</v>
      </c>
      <c r="DY48" s="95">
        <v>267132626</v>
      </c>
      <c r="DZ48" s="95">
        <v>308472427</v>
      </c>
      <c r="EA48" s="95">
        <f t="shared" si="31"/>
        <v>575605.05299999996</v>
      </c>
      <c r="EB48" s="95">
        <f t="shared" si="32"/>
        <v>308472.42700000003</v>
      </c>
      <c r="EC48" s="95">
        <f t="shared" si="33"/>
        <v>267132.62599999999</v>
      </c>
      <c r="ED48" s="95">
        <f t="shared" si="34"/>
        <v>308472.42700000003</v>
      </c>
      <c r="EH48" s="444" t="s">
        <v>373</v>
      </c>
      <c r="EI48" s="444">
        <v>20700881</v>
      </c>
      <c r="EJ48" s="450">
        <f t="shared" si="35"/>
        <v>20700.881000000001</v>
      </c>
      <c r="EN48" s="444" t="s">
        <v>581</v>
      </c>
      <c r="EO48" s="450">
        <v>622337721</v>
      </c>
      <c r="EP48" s="450">
        <v>465477564</v>
      </c>
      <c r="EQ48" s="450">
        <v>156860157</v>
      </c>
      <c r="ER48" s="450">
        <v>465477564</v>
      </c>
      <c r="ES48" s="746">
        <f t="shared" si="36"/>
        <v>622337.72100000002</v>
      </c>
      <c r="ET48" s="746">
        <f t="shared" si="37"/>
        <v>465477.56400000001</v>
      </c>
      <c r="EU48" s="746">
        <f t="shared" si="38"/>
        <v>156860.15700000001</v>
      </c>
      <c r="EV48" s="746">
        <f t="shared" si="39"/>
        <v>465477.56400000001</v>
      </c>
      <c r="EZ48" s="780" t="s">
        <v>355</v>
      </c>
      <c r="FA48" s="781" t="s">
        <v>375</v>
      </c>
      <c r="FB48" s="444">
        <v>96157797</v>
      </c>
      <c r="FC48" s="450">
        <f t="shared" si="40"/>
        <v>96157.797000000006</v>
      </c>
      <c r="FG48" s="785" t="s">
        <v>554</v>
      </c>
      <c r="FH48" s="784" t="s">
        <v>581</v>
      </c>
      <c r="FI48" s="782">
        <v>622337721</v>
      </c>
      <c r="FJ48" s="783">
        <v>465544602</v>
      </c>
      <c r="FK48" s="783">
        <v>156793119</v>
      </c>
      <c r="FL48" s="783">
        <v>465544602</v>
      </c>
      <c r="FM48" s="450">
        <f t="shared" si="41"/>
        <v>622337.72100000002</v>
      </c>
      <c r="FN48" s="450">
        <f t="shared" si="42"/>
        <v>465544.60200000001</v>
      </c>
      <c r="FO48" s="450">
        <f t="shared" si="43"/>
        <v>156793.11900000001</v>
      </c>
      <c r="FP48" s="450">
        <f t="shared" si="44"/>
        <v>465544.60200000001</v>
      </c>
      <c r="FT48" s="451" t="s">
        <v>553</v>
      </c>
      <c r="FU48" s="94" t="s">
        <v>372</v>
      </c>
      <c r="FV48" s="95">
        <v>0</v>
      </c>
      <c r="FW48" s="95">
        <v>0</v>
      </c>
      <c r="FX48" s="95">
        <v>0</v>
      </c>
      <c r="FY48" s="450">
        <f t="shared" si="45"/>
        <v>0</v>
      </c>
      <c r="FZ48" s="450">
        <f t="shared" si="46"/>
        <v>0</v>
      </c>
      <c r="GA48" s="450">
        <f t="shared" si="47"/>
        <v>0</v>
      </c>
      <c r="GG48" s="817" t="s">
        <v>554</v>
      </c>
      <c r="GH48" s="818" t="s">
        <v>581</v>
      </c>
      <c r="GI48" s="819">
        <v>622337721</v>
      </c>
      <c r="GJ48" s="819">
        <v>465544602</v>
      </c>
      <c r="GK48" s="819">
        <v>156793119</v>
      </c>
      <c r="GL48" s="819">
        <v>465544602</v>
      </c>
      <c r="GM48" s="819">
        <v>0</v>
      </c>
      <c r="GN48" s="450">
        <f t="shared" si="48"/>
        <v>622337.72100000002</v>
      </c>
      <c r="GO48" s="450">
        <f t="shared" si="49"/>
        <v>465544.60200000001</v>
      </c>
      <c r="GP48" s="450">
        <f t="shared" si="50"/>
        <v>156793.11900000001</v>
      </c>
      <c r="GQ48" s="450">
        <f t="shared" si="51"/>
        <v>465544.60200000001</v>
      </c>
      <c r="GR48" s="450">
        <f t="shared" si="52"/>
        <v>0</v>
      </c>
      <c r="GV48" s="841" t="s">
        <v>926</v>
      </c>
      <c r="GW48" s="840">
        <v>18153</v>
      </c>
      <c r="GX48" s="450">
        <f t="shared" si="53"/>
        <v>18.152999999999999</v>
      </c>
      <c r="HB48" s="843" t="s">
        <v>578</v>
      </c>
      <c r="HC48" s="819">
        <v>40654640</v>
      </c>
      <c r="HD48" s="819">
        <v>40654640</v>
      </c>
      <c r="HE48" s="819">
        <v>0</v>
      </c>
      <c r="HF48" s="819">
        <v>40654640</v>
      </c>
      <c r="HG48" s="450">
        <f t="shared" si="54"/>
        <v>40654.639999999999</v>
      </c>
      <c r="HH48" s="450">
        <f t="shared" si="55"/>
        <v>0</v>
      </c>
      <c r="HI48" s="450">
        <f t="shared" si="56"/>
        <v>40654.639999999999</v>
      </c>
      <c r="HJ48" s="450">
        <f t="shared" si="57"/>
        <v>0</v>
      </c>
      <c r="HK48" s="450">
        <f t="shared" si="58"/>
        <v>40654.639999999999</v>
      </c>
    </row>
    <row r="49" spans="1:219" ht="15" customHeight="1" x14ac:dyDescent="0.3">
      <c r="A49" s="295" t="s">
        <v>553</v>
      </c>
      <c r="B49" s="296" t="s">
        <v>371</v>
      </c>
      <c r="C49" s="297">
        <v>316803900</v>
      </c>
      <c r="D49" s="298">
        <f t="shared" si="3"/>
        <v>336762.54570000002</v>
      </c>
      <c r="E49" s="297">
        <v>22432950</v>
      </c>
      <c r="F49" s="297">
        <f t="shared" si="4"/>
        <v>23846.225849999999</v>
      </c>
      <c r="J49" s="299" t="s">
        <v>553</v>
      </c>
      <c r="K49" s="300" t="s">
        <v>382</v>
      </c>
      <c r="L49" s="301">
        <v>0</v>
      </c>
      <c r="M49" s="301">
        <f t="shared" si="5"/>
        <v>0</v>
      </c>
      <c r="Q49" s="299" t="s">
        <v>553</v>
      </c>
      <c r="R49" s="300" t="s">
        <v>371</v>
      </c>
      <c r="S49" s="301">
        <v>316803900</v>
      </c>
      <c r="T49" s="301">
        <v>42534949</v>
      </c>
      <c r="U49" s="301">
        <f t="shared" si="6"/>
        <v>336762.54570000002</v>
      </c>
      <c r="V49" s="301">
        <f t="shared" si="7"/>
        <v>45214.650786999999</v>
      </c>
      <c r="Z49" s="296" t="s">
        <v>624</v>
      </c>
      <c r="AA49" s="297">
        <v>4444145</v>
      </c>
      <c r="AB49" s="297">
        <f t="shared" si="8"/>
        <v>4724.1261350000004</v>
      </c>
      <c r="AF49" s="296" t="s">
        <v>371</v>
      </c>
      <c r="AG49" s="297">
        <v>318603900</v>
      </c>
      <c r="AH49" s="297">
        <f t="shared" si="59"/>
        <v>338675.94569999998</v>
      </c>
      <c r="AI49" s="297">
        <v>55554461</v>
      </c>
      <c r="AL49" s="450"/>
      <c r="AN49" s="447" t="s">
        <v>554</v>
      </c>
      <c r="AO49" s="448" t="s">
        <v>624</v>
      </c>
      <c r="AP49" s="449">
        <v>2328006</v>
      </c>
      <c r="AQ49" s="449">
        <f t="shared" si="9"/>
        <v>2474.6703779999998</v>
      </c>
      <c r="AU49" s="447" t="s">
        <v>553</v>
      </c>
      <c r="AV49" s="448" t="s">
        <v>371</v>
      </c>
      <c r="AW49" s="449">
        <v>316503900</v>
      </c>
      <c r="AX49" s="449">
        <v>89115960</v>
      </c>
      <c r="AY49" s="449">
        <v>227387940</v>
      </c>
      <c r="AZ49" s="450">
        <f t="shared" si="10"/>
        <v>336443.64569999999</v>
      </c>
      <c r="BA49" s="450">
        <f t="shared" si="11"/>
        <v>94730.265480000002</v>
      </c>
      <c r="BB49" s="450">
        <f t="shared" si="12"/>
        <v>241713.38021999999</v>
      </c>
      <c r="BF49" s="447" t="s">
        <v>355</v>
      </c>
      <c r="BG49" s="448" t="s">
        <v>381</v>
      </c>
      <c r="BH49" s="449">
        <v>8283775</v>
      </c>
      <c r="BI49" s="450">
        <f t="shared" si="13"/>
        <v>8283.7749999999996</v>
      </c>
      <c r="BM49" s="451" t="s">
        <v>553</v>
      </c>
      <c r="BN49" s="94" t="s">
        <v>371</v>
      </c>
      <c r="BO49" s="95">
        <v>0</v>
      </c>
      <c r="BP49" s="95">
        <v>315641900</v>
      </c>
      <c r="BQ49" s="95">
        <v>119514537</v>
      </c>
      <c r="BR49" s="95">
        <v>196127363</v>
      </c>
      <c r="BS49" s="95">
        <v>119514537</v>
      </c>
      <c r="BT49" s="450">
        <f t="shared" si="14"/>
        <v>315641.90000000002</v>
      </c>
      <c r="BU49" s="450">
        <f t="shared" si="15"/>
        <v>119514.537</v>
      </c>
      <c r="BV49" s="450">
        <f t="shared" si="16"/>
        <v>196127.36300000001</v>
      </c>
      <c r="BW49" s="450">
        <f t="shared" si="17"/>
        <v>119514.537</v>
      </c>
      <c r="CA49" s="94" t="s">
        <v>583</v>
      </c>
      <c r="CB49" s="450">
        <v>2409788</v>
      </c>
      <c r="CC49" s="450">
        <f t="shared" si="18"/>
        <v>2409.788</v>
      </c>
      <c r="CG49" s="448" t="s">
        <v>370</v>
      </c>
      <c r="CH49" s="449">
        <v>0</v>
      </c>
      <c r="CI49" s="449">
        <v>555587737</v>
      </c>
      <c r="CJ49" s="449">
        <v>-555587737</v>
      </c>
      <c r="CK49" s="449">
        <v>280979633</v>
      </c>
      <c r="CL49" s="449">
        <v>274608104</v>
      </c>
      <c r="CM49" s="449">
        <v>280979633</v>
      </c>
      <c r="CN49" s="449">
        <f t="shared" si="19"/>
        <v>555587.73699999996</v>
      </c>
      <c r="CO49" s="449">
        <f t="shared" si="20"/>
        <v>280979.63299999997</v>
      </c>
      <c r="CP49" s="449">
        <f t="shared" si="21"/>
        <v>274608.10399999999</v>
      </c>
      <c r="CQ49" s="449">
        <f t="shared" si="22"/>
        <v>280979.63299999997</v>
      </c>
      <c r="CU49" s="448" t="s">
        <v>372</v>
      </c>
      <c r="CV49" s="449">
        <v>0</v>
      </c>
      <c r="CW49" s="449">
        <v>0</v>
      </c>
      <c r="CX49" s="450">
        <f t="shared" si="23"/>
        <v>0</v>
      </c>
      <c r="CY49" s="450">
        <f t="shared" si="24"/>
        <v>0</v>
      </c>
      <c r="DB49" s="602" t="s">
        <v>370</v>
      </c>
      <c r="DC49" s="603">
        <v>555587737</v>
      </c>
      <c r="DD49" s="603">
        <v>281183441</v>
      </c>
      <c r="DE49" s="603">
        <v>274404296</v>
      </c>
      <c r="DF49" s="603">
        <v>281183441</v>
      </c>
      <c r="DG49" s="604">
        <f t="shared" si="25"/>
        <v>555587.73699999996</v>
      </c>
      <c r="DH49" s="604">
        <f t="shared" si="26"/>
        <v>281183.44099999999</v>
      </c>
      <c r="DI49" s="604">
        <f t="shared" si="27"/>
        <v>274404.29599999997</v>
      </c>
      <c r="DJ49" s="604">
        <f t="shared" si="28"/>
        <v>281183.44099999999</v>
      </c>
      <c r="DN49" s="94" t="s">
        <v>379</v>
      </c>
      <c r="DO49" s="94">
        <v>0</v>
      </c>
      <c r="DP49" s="94">
        <v>0</v>
      </c>
      <c r="DQ49" s="666">
        <f t="shared" si="29"/>
        <v>0</v>
      </c>
      <c r="DR49" s="666">
        <f t="shared" si="30"/>
        <v>0</v>
      </c>
      <c r="DV49" s="94" t="s">
        <v>370</v>
      </c>
      <c r="DW49" s="95">
        <v>555587737</v>
      </c>
      <c r="DX49" s="95">
        <v>281216762</v>
      </c>
      <c r="DY49" s="95">
        <v>274370975</v>
      </c>
      <c r="DZ49" s="95">
        <v>281216762</v>
      </c>
      <c r="EA49" s="95">
        <f t="shared" si="31"/>
        <v>555587.73699999996</v>
      </c>
      <c r="EB49" s="95">
        <f t="shared" si="32"/>
        <v>281216.76199999999</v>
      </c>
      <c r="EC49" s="95">
        <f t="shared" si="33"/>
        <v>274370.97499999998</v>
      </c>
      <c r="ED49" s="95">
        <f t="shared" si="34"/>
        <v>281216.76199999999</v>
      </c>
      <c r="EH49" s="444" t="s">
        <v>375</v>
      </c>
      <c r="EI49" s="444">
        <v>93557739</v>
      </c>
      <c r="EJ49" s="450">
        <f t="shared" si="35"/>
        <v>93557.739000000001</v>
      </c>
      <c r="EN49" s="444" t="s">
        <v>370</v>
      </c>
      <c r="EO49" s="450">
        <v>555587737</v>
      </c>
      <c r="EP49" s="450">
        <v>410700325</v>
      </c>
      <c r="EQ49" s="450">
        <v>144887412</v>
      </c>
      <c r="ER49" s="450">
        <v>410700325</v>
      </c>
      <c r="ES49" s="746">
        <f t="shared" si="36"/>
        <v>555587.73699999996</v>
      </c>
      <c r="ET49" s="746">
        <f t="shared" si="37"/>
        <v>410700.32500000001</v>
      </c>
      <c r="EU49" s="746">
        <f t="shared" si="38"/>
        <v>144887.41200000001</v>
      </c>
      <c r="EV49" s="746">
        <f t="shared" si="39"/>
        <v>410700.32500000001</v>
      </c>
      <c r="EZ49" s="780" t="s">
        <v>553</v>
      </c>
      <c r="FA49" s="781" t="s">
        <v>584</v>
      </c>
      <c r="FB49" s="444">
        <v>93156015</v>
      </c>
      <c r="FC49" s="450">
        <f t="shared" si="40"/>
        <v>93156.014999999999</v>
      </c>
      <c r="FG49" s="785" t="s">
        <v>554</v>
      </c>
      <c r="FH49" s="784" t="s">
        <v>370</v>
      </c>
      <c r="FI49" s="782">
        <v>555587737</v>
      </c>
      <c r="FJ49" s="783">
        <v>410700325</v>
      </c>
      <c r="FK49" s="783">
        <v>144887412</v>
      </c>
      <c r="FL49" s="783">
        <v>410700325</v>
      </c>
      <c r="FM49" s="450">
        <f t="shared" si="41"/>
        <v>555587.73699999996</v>
      </c>
      <c r="FN49" s="450">
        <f t="shared" si="42"/>
        <v>410700.32500000001</v>
      </c>
      <c r="FO49" s="450">
        <f t="shared" si="43"/>
        <v>144887.41200000001</v>
      </c>
      <c r="FP49" s="450">
        <f t="shared" si="44"/>
        <v>410700.32500000001</v>
      </c>
      <c r="FT49" s="451" t="s">
        <v>554</v>
      </c>
      <c r="FU49" s="94" t="s">
        <v>373</v>
      </c>
      <c r="FV49" s="95">
        <v>0</v>
      </c>
      <c r="FW49" s="95">
        <v>0</v>
      </c>
      <c r="FX49" s="95">
        <v>0</v>
      </c>
      <c r="FY49" s="450">
        <f t="shared" si="45"/>
        <v>0</v>
      </c>
      <c r="FZ49" s="450">
        <f t="shared" si="46"/>
        <v>0</v>
      </c>
      <c r="GA49" s="450">
        <f t="shared" si="47"/>
        <v>0</v>
      </c>
      <c r="GG49" s="817" t="s">
        <v>554</v>
      </c>
      <c r="GH49" s="818" t="s">
        <v>370</v>
      </c>
      <c r="GI49" s="819">
        <v>555587737</v>
      </c>
      <c r="GJ49" s="819">
        <v>410700325</v>
      </c>
      <c r="GK49" s="819">
        <v>144887412</v>
      </c>
      <c r="GL49" s="819">
        <v>410700325</v>
      </c>
      <c r="GM49" s="819">
        <v>0</v>
      </c>
      <c r="GN49" s="450">
        <f t="shared" si="48"/>
        <v>555587.73699999996</v>
      </c>
      <c r="GO49" s="450">
        <f t="shared" si="49"/>
        <v>410700.32500000001</v>
      </c>
      <c r="GP49" s="450">
        <f t="shared" si="50"/>
        <v>144887.41200000001</v>
      </c>
      <c r="GQ49" s="450">
        <f t="shared" si="51"/>
        <v>410700.32500000001</v>
      </c>
      <c r="GR49" s="450">
        <f t="shared" si="52"/>
        <v>0</v>
      </c>
      <c r="GV49" s="841" t="s">
        <v>371</v>
      </c>
      <c r="GW49" s="840">
        <v>53058711</v>
      </c>
      <c r="GX49" s="450">
        <f t="shared" si="53"/>
        <v>53058.711000000003</v>
      </c>
      <c r="HB49" s="843" t="s">
        <v>579</v>
      </c>
      <c r="HC49" s="819">
        <v>467919017</v>
      </c>
      <c r="HD49" s="819">
        <v>466664124</v>
      </c>
      <c r="HE49" s="819">
        <v>1254893</v>
      </c>
      <c r="HF49" s="819">
        <v>466664124</v>
      </c>
      <c r="HG49" s="450">
        <f t="shared" si="54"/>
        <v>467919.01699999999</v>
      </c>
      <c r="HH49" s="450">
        <f t="shared" si="55"/>
        <v>1254.893</v>
      </c>
      <c r="HI49" s="450">
        <f t="shared" si="56"/>
        <v>466664.12400000001</v>
      </c>
      <c r="HJ49" s="450">
        <f t="shared" si="57"/>
        <v>1254.893</v>
      </c>
      <c r="HK49" s="450">
        <f t="shared" si="58"/>
        <v>466664.12400000001</v>
      </c>
    </row>
    <row r="50" spans="1:219" ht="15" customHeight="1" x14ac:dyDescent="0.3">
      <c r="A50" s="295" t="s">
        <v>554</v>
      </c>
      <c r="B50" s="296" t="s">
        <v>582</v>
      </c>
      <c r="C50" s="297">
        <v>201222300</v>
      </c>
      <c r="D50" s="298">
        <f t="shared" si="3"/>
        <v>213899.30489999999</v>
      </c>
      <c r="E50" s="297">
        <v>13339399</v>
      </c>
      <c r="F50" s="297">
        <f t="shared" si="4"/>
        <v>14179.781136999998</v>
      </c>
      <c r="J50" s="299" t="s">
        <v>553</v>
      </c>
      <c r="K50" s="300" t="s">
        <v>589</v>
      </c>
      <c r="L50" s="301">
        <v>765523</v>
      </c>
      <c r="M50" s="301">
        <f t="shared" si="5"/>
        <v>813.75094899999999</v>
      </c>
      <c r="Q50" s="299" t="s">
        <v>554</v>
      </c>
      <c r="R50" s="300" t="s">
        <v>582</v>
      </c>
      <c r="S50" s="301">
        <v>201222300</v>
      </c>
      <c r="T50" s="301">
        <v>26678798</v>
      </c>
      <c r="U50" s="301">
        <f t="shared" si="6"/>
        <v>213899.30489999999</v>
      </c>
      <c r="V50" s="301">
        <f t="shared" si="7"/>
        <v>28359.562273999996</v>
      </c>
      <c r="Z50" s="296" t="s">
        <v>372</v>
      </c>
      <c r="AA50" s="297">
        <v>7146423</v>
      </c>
      <c r="AB50" s="297">
        <f t="shared" si="8"/>
        <v>7596.6476489999995</v>
      </c>
      <c r="AF50" s="296" t="s">
        <v>582</v>
      </c>
      <c r="AG50" s="297">
        <v>201222300</v>
      </c>
      <c r="AH50" s="297">
        <f t="shared" si="59"/>
        <v>213899.30489999999</v>
      </c>
      <c r="AI50" s="297">
        <v>34088296</v>
      </c>
      <c r="AL50" s="450"/>
      <c r="AN50" s="447" t="s">
        <v>553</v>
      </c>
      <c r="AO50" s="448" t="s">
        <v>372</v>
      </c>
      <c r="AP50" s="449">
        <v>0</v>
      </c>
      <c r="AQ50" s="449">
        <f t="shared" si="9"/>
        <v>0</v>
      </c>
      <c r="AU50" s="447" t="s">
        <v>554</v>
      </c>
      <c r="AV50" s="448" t="s">
        <v>582</v>
      </c>
      <c r="AW50" s="449">
        <v>201222300</v>
      </c>
      <c r="AX50" s="449">
        <v>62890681</v>
      </c>
      <c r="AY50" s="449">
        <v>138331619</v>
      </c>
      <c r="AZ50" s="450">
        <f t="shared" si="10"/>
        <v>213899.30489999999</v>
      </c>
      <c r="BA50" s="450">
        <f t="shared" si="11"/>
        <v>66852.793902999998</v>
      </c>
      <c r="BB50" s="450">
        <f t="shared" si="12"/>
        <v>147046.510997</v>
      </c>
      <c r="BF50" s="447" t="s">
        <v>553</v>
      </c>
      <c r="BG50" s="448" t="s">
        <v>382</v>
      </c>
      <c r="BH50" s="449">
        <v>237048</v>
      </c>
      <c r="BI50" s="450">
        <f t="shared" si="13"/>
        <v>237.048</v>
      </c>
      <c r="BM50" s="451" t="s">
        <v>554</v>
      </c>
      <c r="BN50" s="94" t="s">
        <v>582</v>
      </c>
      <c r="BO50" s="95">
        <v>0</v>
      </c>
      <c r="BP50" s="95">
        <v>201222300</v>
      </c>
      <c r="BQ50" s="95">
        <v>82797101</v>
      </c>
      <c r="BR50" s="95">
        <v>118425199</v>
      </c>
      <c r="BS50" s="95">
        <v>82797101</v>
      </c>
      <c r="BT50" s="450">
        <f t="shared" si="14"/>
        <v>201222.3</v>
      </c>
      <c r="BU50" s="450">
        <f t="shared" si="15"/>
        <v>82797.100999999995</v>
      </c>
      <c r="BV50" s="450">
        <f t="shared" si="16"/>
        <v>118425.19899999999</v>
      </c>
      <c r="BW50" s="450">
        <f t="shared" si="17"/>
        <v>82797.100999999995</v>
      </c>
      <c r="CA50" s="94" t="s">
        <v>624</v>
      </c>
      <c r="CB50" s="450">
        <v>7889272</v>
      </c>
      <c r="CC50" s="450">
        <f t="shared" si="18"/>
        <v>7889.2719999999999</v>
      </c>
      <c r="CG50" s="448" t="s">
        <v>371</v>
      </c>
      <c r="CH50" s="449">
        <v>0</v>
      </c>
      <c r="CI50" s="449">
        <v>315441900</v>
      </c>
      <c r="CJ50" s="449">
        <v>-315441900</v>
      </c>
      <c r="CK50" s="449">
        <v>149720017</v>
      </c>
      <c r="CL50" s="449">
        <v>165721883</v>
      </c>
      <c r="CM50" s="449">
        <v>149720017</v>
      </c>
      <c r="CN50" s="449">
        <f t="shared" si="19"/>
        <v>315441.90000000002</v>
      </c>
      <c r="CO50" s="449">
        <f t="shared" si="20"/>
        <v>149720.01699999999</v>
      </c>
      <c r="CP50" s="449">
        <f t="shared" si="21"/>
        <v>165721.883</v>
      </c>
      <c r="CQ50" s="449">
        <f t="shared" si="22"/>
        <v>149720.01699999999</v>
      </c>
      <c r="CU50" s="448" t="s">
        <v>482</v>
      </c>
      <c r="CV50" s="449">
        <v>0</v>
      </c>
      <c r="CW50" s="449">
        <v>0</v>
      </c>
      <c r="CX50" s="450">
        <f t="shared" si="23"/>
        <v>0</v>
      </c>
      <c r="CY50" s="450">
        <f t="shared" si="24"/>
        <v>0</v>
      </c>
      <c r="DB50" s="602" t="s">
        <v>371</v>
      </c>
      <c r="DC50" s="603">
        <v>314991900</v>
      </c>
      <c r="DD50" s="603">
        <v>185331919</v>
      </c>
      <c r="DE50" s="603">
        <v>129659981</v>
      </c>
      <c r="DF50" s="603">
        <v>185331919</v>
      </c>
      <c r="DG50" s="604">
        <f t="shared" si="25"/>
        <v>314991.90000000002</v>
      </c>
      <c r="DH50" s="604">
        <f t="shared" si="26"/>
        <v>185331.91899999999</v>
      </c>
      <c r="DI50" s="604">
        <f t="shared" si="27"/>
        <v>129659.981</v>
      </c>
      <c r="DJ50" s="604">
        <f t="shared" si="28"/>
        <v>185331.91899999999</v>
      </c>
      <c r="DN50" s="94" t="s">
        <v>588</v>
      </c>
      <c r="DO50" s="94">
        <v>0</v>
      </c>
      <c r="DP50" s="94">
        <v>0</v>
      </c>
      <c r="DQ50" s="666">
        <f t="shared" si="29"/>
        <v>0</v>
      </c>
      <c r="DR50" s="666">
        <f t="shared" si="30"/>
        <v>0</v>
      </c>
      <c r="DV50" s="94" t="s">
        <v>371</v>
      </c>
      <c r="DW50" s="95">
        <v>352655900</v>
      </c>
      <c r="DX50" s="95">
        <v>220220999</v>
      </c>
      <c r="DY50" s="95">
        <v>132434901</v>
      </c>
      <c r="DZ50" s="95">
        <v>220220999</v>
      </c>
      <c r="EA50" s="95">
        <f t="shared" si="31"/>
        <v>352655.9</v>
      </c>
      <c r="EB50" s="95">
        <f t="shared" si="32"/>
        <v>220220.99900000001</v>
      </c>
      <c r="EC50" s="95">
        <f t="shared" si="33"/>
        <v>132434.90100000001</v>
      </c>
      <c r="ED50" s="95">
        <f t="shared" si="34"/>
        <v>220220.99900000001</v>
      </c>
      <c r="EH50" s="444" t="s">
        <v>584</v>
      </c>
      <c r="EI50" s="444">
        <v>88771481</v>
      </c>
      <c r="EJ50" s="450">
        <f t="shared" si="35"/>
        <v>88771.481</v>
      </c>
      <c r="EN50" s="444" t="s">
        <v>371</v>
      </c>
      <c r="EO50" s="450">
        <v>352155900</v>
      </c>
      <c r="EP50" s="450">
        <v>251315517</v>
      </c>
      <c r="EQ50" s="450">
        <v>100840383</v>
      </c>
      <c r="ER50" s="450">
        <v>251315517</v>
      </c>
      <c r="ES50" s="746">
        <f t="shared" si="36"/>
        <v>352155.9</v>
      </c>
      <c r="ET50" s="746">
        <f t="shared" si="37"/>
        <v>251315.51699999999</v>
      </c>
      <c r="EU50" s="746">
        <f t="shared" si="38"/>
        <v>100840.383</v>
      </c>
      <c r="EV50" s="746">
        <f t="shared" si="39"/>
        <v>251315.51699999999</v>
      </c>
      <c r="EZ50" s="780" t="s">
        <v>554</v>
      </c>
      <c r="FA50" s="781" t="s">
        <v>585</v>
      </c>
      <c r="FB50" s="444">
        <v>92094542</v>
      </c>
      <c r="FC50" s="450">
        <f t="shared" si="40"/>
        <v>92094.542000000001</v>
      </c>
      <c r="FG50" s="785" t="s">
        <v>553</v>
      </c>
      <c r="FH50" s="784" t="s">
        <v>371</v>
      </c>
      <c r="FI50" s="782">
        <v>350055900</v>
      </c>
      <c r="FJ50" s="783">
        <v>282704993</v>
      </c>
      <c r="FK50" s="783">
        <v>67350907</v>
      </c>
      <c r="FL50" s="783">
        <v>282704993</v>
      </c>
      <c r="FM50" s="450">
        <f t="shared" si="41"/>
        <v>350055.9</v>
      </c>
      <c r="FN50" s="450">
        <f t="shared" si="42"/>
        <v>282704.99300000002</v>
      </c>
      <c r="FO50" s="450">
        <f t="shared" si="43"/>
        <v>67350.907000000007</v>
      </c>
      <c r="FP50" s="450">
        <f t="shared" si="44"/>
        <v>282704.99300000002</v>
      </c>
      <c r="FT50" s="451" t="s">
        <v>355</v>
      </c>
      <c r="FU50" s="94" t="s">
        <v>375</v>
      </c>
      <c r="FV50" s="95">
        <v>19059000</v>
      </c>
      <c r="FW50" s="95">
        <v>91311725</v>
      </c>
      <c r="FX50" s="95">
        <v>91311725</v>
      </c>
      <c r="FY50" s="450">
        <f t="shared" si="45"/>
        <v>19059</v>
      </c>
      <c r="FZ50" s="450">
        <f t="shared" si="46"/>
        <v>91311.725000000006</v>
      </c>
      <c r="GA50" s="450">
        <f t="shared" si="47"/>
        <v>91311.725000000006</v>
      </c>
      <c r="GG50" s="817" t="s">
        <v>553</v>
      </c>
      <c r="GH50" s="818" t="s">
        <v>371</v>
      </c>
      <c r="GI50" s="819">
        <v>362708900</v>
      </c>
      <c r="GJ50" s="819">
        <v>320670616</v>
      </c>
      <c r="GK50" s="819">
        <v>42038284</v>
      </c>
      <c r="GL50" s="819">
        <v>320670616</v>
      </c>
      <c r="GM50" s="819">
        <v>0</v>
      </c>
      <c r="GN50" s="450">
        <f t="shared" si="48"/>
        <v>362708.9</v>
      </c>
      <c r="GO50" s="450">
        <f t="shared" si="49"/>
        <v>320670.61599999998</v>
      </c>
      <c r="GP50" s="450">
        <f t="shared" si="50"/>
        <v>42038.284</v>
      </c>
      <c r="GQ50" s="450">
        <f t="shared" si="51"/>
        <v>320670.61599999998</v>
      </c>
      <c r="GR50" s="450">
        <f t="shared" si="52"/>
        <v>0</v>
      </c>
      <c r="GV50" s="841" t="s">
        <v>582</v>
      </c>
      <c r="GW50" s="840">
        <v>24045931</v>
      </c>
      <c r="GX50" s="450">
        <f t="shared" si="53"/>
        <v>24045.931</v>
      </c>
      <c r="HB50" s="843" t="s">
        <v>580</v>
      </c>
      <c r="HC50" s="819">
        <v>1186095458</v>
      </c>
      <c r="HD50" s="819">
        <v>1170962239</v>
      </c>
      <c r="HE50" s="819">
        <v>15133219</v>
      </c>
      <c r="HF50" s="819">
        <v>1170962239</v>
      </c>
      <c r="HG50" s="450">
        <f t="shared" si="54"/>
        <v>1186095.4580000001</v>
      </c>
      <c r="HH50" s="450">
        <f t="shared" si="55"/>
        <v>15133.218999999999</v>
      </c>
      <c r="HI50" s="450">
        <f t="shared" si="56"/>
        <v>1170962.2390000001</v>
      </c>
      <c r="HJ50" s="450">
        <f t="shared" si="57"/>
        <v>15133.218999999999</v>
      </c>
      <c r="HK50" s="450">
        <f t="shared" si="58"/>
        <v>1170962.2390000001</v>
      </c>
    </row>
    <row r="51" spans="1:219" ht="15" customHeight="1" x14ac:dyDescent="0.3">
      <c r="A51" s="295" t="s">
        <v>554</v>
      </c>
      <c r="B51" s="296" t="s">
        <v>583</v>
      </c>
      <c r="C51" s="297">
        <v>55685600</v>
      </c>
      <c r="D51" s="298">
        <f t="shared" si="3"/>
        <v>59193.792799999996</v>
      </c>
      <c r="E51" s="297">
        <v>1793304</v>
      </c>
      <c r="F51" s="297">
        <f t="shared" si="4"/>
        <v>1906.282152</v>
      </c>
      <c r="J51" s="299" t="s">
        <v>553</v>
      </c>
      <c r="K51" s="300" t="s">
        <v>384</v>
      </c>
      <c r="L51" s="301">
        <v>1762421</v>
      </c>
      <c r="M51" s="301">
        <f t="shared" si="5"/>
        <v>1873.4535229999999</v>
      </c>
      <c r="Q51" s="299" t="s">
        <v>554</v>
      </c>
      <c r="R51" s="300" t="s">
        <v>583</v>
      </c>
      <c r="S51" s="301">
        <v>55685600</v>
      </c>
      <c r="T51" s="301">
        <v>4888030</v>
      </c>
      <c r="U51" s="301">
        <f t="shared" si="6"/>
        <v>59193.792799999996</v>
      </c>
      <c r="V51" s="301">
        <f t="shared" si="7"/>
        <v>5195.9758899999997</v>
      </c>
      <c r="Z51" s="296" t="s">
        <v>482</v>
      </c>
      <c r="AA51" s="297">
        <v>7146423</v>
      </c>
      <c r="AB51" s="297">
        <f t="shared" si="8"/>
        <v>7596.6476489999995</v>
      </c>
      <c r="AF51" s="296" t="s">
        <v>583</v>
      </c>
      <c r="AG51" s="297">
        <v>55685600</v>
      </c>
      <c r="AH51" s="297">
        <f t="shared" si="59"/>
        <v>59193.792799999996</v>
      </c>
      <c r="AI51" s="297">
        <v>6053899</v>
      </c>
      <c r="AL51" s="450"/>
      <c r="AN51" s="447" t="s">
        <v>554</v>
      </c>
      <c r="AO51" s="448" t="s">
        <v>482</v>
      </c>
      <c r="AP51" s="449">
        <v>0</v>
      </c>
      <c r="AQ51" s="449">
        <f t="shared" si="9"/>
        <v>0</v>
      </c>
      <c r="AU51" s="447" t="s">
        <v>554</v>
      </c>
      <c r="AV51" s="448" t="s">
        <v>583</v>
      </c>
      <c r="AW51" s="449">
        <v>55685600</v>
      </c>
      <c r="AX51" s="449">
        <v>8485007</v>
      </c>
      <c r="AY51" s="449">
        <v>47200593</v>
      </c>
      <c r="AZ51" s="450">
        <f t="shared" si="10"/>
        <v>59193.792799999996</v>
      </c>
      <c r="BA51" s="450">
        <f t="shared" si="11"/>
        <v>9019.5624409999982</v>
      </c>
      <c r="BB51" s="450">
        <f t="shared" si="12"/>
        <v>50174.230359000001</v>
      </c>
      <c r="BF51" s="447" t="s">
        <v>553</v>
      </c>
      <c r="BG51" s="448" t="s">
        <v>383</v>
      </c>
      <c r="BH51" s="449">
        <v>12000</v>
      </c>
      <c r="BI51" s="450">
        <f t="shared" si="13"/>
        <v>12</v>
      </c>
      <c r="BM51" s="451" t="s">
        <v>554</v>
      </c>
      <c r="BN51" s="94" t="s">
        <v>583</v>
      </c>
      <c r="BO51" s="95">
        <v>0</v>
      </c>
      <c r="BP51" s="95">
        <v>55685600</v>
      </c>
      <c r="BQ51" s="95">
        <v>10118608</v>
      </c>
      <c r="BR51" s="95">
        <v>45566992</v>
      </c>
      <c r="BS51" s="95">
        <v>10118608</v>
      </c>
      <c r="BT51" s="450">
        <f t="shared" si="14"/>
        <v>55685.599999999999</v>
      </c>
      <c r="BU51" s="450">
        <f t="shared" si="15"/>
        <v>10118.608</v>
      </c>
      <c r="BV51" s="450">
        <f t="shared" si="16"/>
        <v>45566.991999999998</v>
      </c>
      <c r="BW51" s="450">
        <f t="shared" si="17"/>
        <v>10118.608</v>
      </c>
      <c r="CA51" s="94" t="s">
        <v>372</v>
      </c>
      <c r="CB51" s="450">
        <v>8409879</v>
      </c>
      <c r="CC51" s="450">
        <f t="shared" si="18"/>
        <v>8409.8790000000008</v>
      </c>
      <c r="CG51" s="448" t="s">
        <v>582</v>
      </c>
      <c r="CH51" s="449">
        <v>0</v>
      </c>
      <c r="CI51" s="449">
        <v>201222300</v>
      </c>
      <c r="CJ51" s="449">
        <v>-201222300</v>
      </c>
      <c r="CK51" s="449">
        <v>102703521</v>
      </c>
      <c r="CL51" s="449">
        <v>98518779</v>
      </c>
      <c r="CM51" s="449">
        <v>102703521</v>
      </c>
      <c r="CN51" s="449">
        <f t="shared" si="19"/>
        <v>201222.3</v>
      </c>
      <c r="CO51" s="449">
        <f t="shared" si="20"/>
        <v>102703.52099999999</v>
      </c>
      <c r="CP51" s="449">
        <f t="shared" si="21"/>
        <v>98518.778999999995</v>
      </c>
      <c r="CQ51" s="449">
        <f t="shared" si="22"/>
        <v>102703.52099999999</v>
      </c>
      <c r="CU51" s="448" t="s">
        <v>375</v>
      </c>
      <c r="CV51" s="449">
        <v>81304138</v>
      </c>
      <c r="CW51" s="449">
        <v>81304138</v>
      </c>
      <c r="CX51" s="450">
        <f t="shared" si="23"/>
        <v>81304.138000000006</v>
      </c>
      <c r="CY51" s="450">
        <f t="shared" si="24"/>
        <v>81304.138000000006</v>
      </c>
      <c r="DB51" s="602" t="s">
        <v>582</v>
      </c>
      <c r="DC51" s="603">
        <v>201222300</v>
      </c>
      <c r="DD51" s="603">
        <v>123719379</v>
      </c>
      <c r="DE51" s="603">
        <v>77502921</v>
      </c>
      <c r="DF51" s="603">
        <v>123719379</v>
      </c>
      <c r="DG51" s="604">
        <f t="shared" si="25"/>
        <v>201222.3</v>
      </c>
      <c r="DH51" s="604">
        <f t="shared" si="26"/>
        <v>123719.379</v>
      </c>
      <c r="DI51" s="604">
        <f t="shared" si="27"/>
        <v>77502.921000000002</v>
      </c>
      <c r="DJ51" s="604">
        <f t="shared" si="28"/>
        <v>123719.379</v>
      </c>
      <c r="DN51" s="94" t="s">
        <v>380</v>
      </c>
      <c r="DO51" s="94">
        <v>0</v>
      </c>
      <c r="DP51" s="94">
        <v>0</v>
      </c>
      <c r="DQ51" s="666">
        <f t="shared" si="29"/>
        <v>0</v>
      </c>
      <c r="DR51" s="666">
        <f t="shared" si="30"/>
        <v>0</v>
      </c>
      <c r="DV51" s="94" t="s">
        <v>582</v>
      </c>
      <c r="DW51" s="95">
        <v>201222300</v>
      </c>
      <c r="DX51" s="95">
        <v>143375947</v>
      </c>
      <c r="DY51" s="95">
        <v>57846353</v>
      </c>
      <c r="DZ51" s="95">
        <v>143375947</v>
      </c>
      <c r="EA51" s="95">
        <f t="shared" si="31"/>
        <v>201222.3</v>
      </c>
      <c r="EB51" s="95">
        <f t="shared" si="32"/>
        <v>143375.94699999999</v>
      </c>
      <c r="EC51" s="95">
        <f t="shared" si="33"/>
        <v>57846.353000000003</v>
      </c>
      <c r="ED51" s="95">
        <f t="shared" si="34"/>
        <v>143375.94699999999</v>
      </c>
      <c r="EH51" s="444" t="s">
        <v>585</v>
      </c>
      <c r="EI51" s="444">
        <v>87746687</v>
      </c>
      <c r="EJ51" s="450">
        <f t="shared" si="35"/>
        <v>87746.687000000005</v>
      </c>
      <c r="EN51" s="444" t="s">
        <v>582</v>
      </c>
      <c r="EO51" s="450">
        <v>201222300</v>
      </c>
      <c r="EP51" s="450">
        <v>162343154</v>
      </c>
      <c r="EQ51" s="450">
        <v>38879146</v>
      </c>
      <c r="ER51" s="450">
        <v>162343154</v>
      </c>
      <c r="ES51" s="746">
        <f t="shared" si="36"/>
        <v>201222.3</v>
      </c>
      <c r="ET51" s="746">
        <f t="shared" si="37"/>
        <v>162343.15400000001</v>
      </c>
      <c r="EU51" s="746">
        <f t="shared" si="38"/>
        <v>38879.146000000001</v>
      </c>
      <c r="EV51" s="746">
        <f t="shared" si="39"/>
        <v>162343.15400000001</v>
      </c>
      <c r="EZ51" s="780" t="s">
        <v>554</v>
      </c>
      <c r="FA51" s="781" t="s">
        <v>586</v>
      </c>
      <c r="FB51" s="444">
        <v>1061473</v>
      </c>
      <c r="FC51" s="450">
        <f t="shared" si="40"/>
        <v>1061.473</v>
      </c>
      <c r="FG51" s="785" t="s">
        <v>554</v>
      </c>
      <c r="FH51" s="784" t="s">
        <v>582</v>
      </c>
      <c r="FI51" s="782">
        <v>201222300</v>
      </c>
      <c r="FJ51" s="783">
        <v>181880442</v>
      </c>
      <c r="FK51" s="783">
        <v>19341858</v>
      </c>
      <c r="FL51" s="783">
        <v>181880442</v>
      </c>
      <c r="FM51" s="450">
        <f t="shared" si="41"/>
        <v>201222.3</v>
      </c>
      <c r="FN51" s="450">
        <f t="shared" si="42"/>
        <v>181880.44200000001</v>
      </c>
      <c r="FO51" s="450">
        <f t="shared" si="43"/>
        <v>19341.858</v>
      </c>
      <c r="FP51" s="450">
        <f t="shared" si="44"/>
        <v>181880.44200000001</v>
      </c>
      <c r="FT51" s="451" t="s">
        <v>553</v>
      </c>
      <c r="FU51" s="94" t="s">
        <v>584</v>
      </c>
      <c r="FV51" s="95">
        <v>19059000</v>
      </c>
      <c r="FW51" s="95">
        <v>89027694</v>
      </c>
      <c r="FX51" s="95">
        <v>89027694</v>
      </c>
      <c r="FY51" s="450">
        <f t="shared" si="45"/>
        <v>19059</v>
      </c>
      <c r="FZ51" s="450">
        <f t="shared" si="46"/>
        <v>89027.694000000003</v>
      </c>
      <c r="GA51" s="450">
        <f t="shared" si="47"/>
        <v>89027.694000000003</v>
      </c>
      <c r="GG51" s="817" t="s">
        <v>554</v>
      </c>
      <c r="GH51" s="818" t="s">
        <v>582</v>
      </c>
      <c r="GI51" s="819">
        <v>211871300</v>
      </c>
      <c r="GJ51" s="819">
        <v>202871234</v>
      </c>
      <c r="GK51" s="819">
        <v>9000066</v>
      </c>
      <c r="GL51" s="819">
        <v>202871234</v>
      </c>
      <c r="GM51" s="819">
        <v>0</v>
      </c>
      <c r="GN51" s="450">
        <f t="shared" si="48"/>
        <v>211871.3</v>
      </c>
      <c r="GO51" s="450">
        <f t="shared" si="49"/>
        <v>202871.234</v>
      </c>
      <c r="GP51" s="450">
        <f t="shared" si="50"/>
        <v>9000.0660000000007</v>
      </c>
      <c r="GQ51" s="450">
        <f t="shared" si="51"/>
        <v>202871.234</v>
      </c>
      <c r="GR51" s="450">
        <f t="shared" si="52"/>
        <v>0</v>
      </c>
      <c r="GV51" s="841" t="s">
        <v>583</v>
      </c>
      <c r="GW51" s="840">
        <v>17887877</v>
      </c>
      <c r="GX51" s="450">
        <f t="shared" si="53"/>
        <v>17887.877</v>
      </c>
      <c r="HB51" s="843" t="s">
        <v>581</v>
      </c>
      <c r="HC51" s="819">
        <v>630487721</v>
      </c>
      <c r="HD51" s="819">
        <v>629436544</v>
      </c>
      <c r="HE51" s="819">
        <v>1051177</v>
      </c>
      <c r="HF51" s="819">
        <v>629436544</v>
      </c>
      <c r="HG51" s="450">
        <f t="shared" si="54"/>
        <v>630487.72100000002</v>
      </c>
      <c r="HH51" s="450">
        <f t="shared" si="55"/>
        <v>1051.1769999999999</v>
      </c>
      <c r="HI51" s="450">
        <f t="shared" si="56"/>
        <v>629436.54399999999</v>
      </c>
      <c r="HJ51" s="450">
        <f t="shared" si="57"/>
        <v>1051.1769999999999</v>
      </c>
      <c r="HK51" s="450">
        <f t="shared" si="58"/>
        <v>629436.54399999999</v>
      </c>
    </row>
    <row r="52" spans="1:219" ht="15" customHeight="1" x14ac:dyDescent="0.3">
      <c r="A52" s="295" t="s">
        <v>554</v>
      </c>
      <c r="B52" s="296" t="s">
        <v>624</v>
      </c>
      <c r="C52" s="297">
        <v>59896000</v>
      </c>
      <c r="D52" s="298">
        <f t="shared" si="3"/>
        <v>63669.447999999997</v>
      </c>
      <c r="E52" s="297">
        <v>7300247</v>
      </c>
      <c r="F52" s="297">
        <f t="shared" si="4"/>
        <v>7760.1625610000001</v>
      </c>
      <c r="J52" s="299" t="s">
        <v>553</v>
      </c>
      <c r="K52" s="300" t="s">
        <v>590</v>
      </c>
      <c r="L52" s="301">
        <v>0</v>
      </c>
      <c r="M52" s="301">
        <f t="shared" si="5"/>
        <v>0</v>
      </c>
      <c r="Q52" s="299" t="s">
        <v>554</v>
      </c>
      <c r="R52" s="300" t="s">
        <v>624</v>
      </c>
      <c r="S52" s="301">
        <v>59896000</v>
      </c>
      <c r="T52" s="301">
        <v>10968121</v>
      </c>
      <c r="U52" s="301">
        <f t="shared" si="6"/>
        <v>63669.447999999997</v>
      </c>
      <c r="V52" s="301">
        <f t="shared" si="7"/>
        <v>11659.112622999999</v>
      </c>
      <c r="Z52" s="296" t="s">
        <v>375</v>
      </c>
      <c r="AA52" s="297">
        <v>105862972</v>
      </c>
      <c r="AB52" s="297">
        <f t="shared" si="8"/>
        <v>112532.33923599999</v>
      </c>
      <c r="AF52" s="296" t="s">
        <v>624</v>
      </c>
      <c r="AG52" s="297">
        <v>61696000</v>
      </c>
      <c r="AH52" s="297">
        <f t="shared" si="59"/>
        <v>65582.847999999998</v>
      </c>
      <c r="AI52" s="297">
        <v>15412266</v>
      </c>
      <c r="AL52" s="450"/>
      <c r="AN52" s="447" t="s">
        <v>355</v>
      </c>
      <c r="AO52" s="448" t="s">
        <v>375</v>
      </c>
      <c r="AP52" s="449">
        <v>84758546</v>
      </c>
      <c r="AQ52" s="449">
        <f t="shared" si="9"/>
        <v>90098.334397999992</v>
      </c>
      <c r="AU52" s="447" t="s">
        <v>554</v>
      </c>
      <c r="AV52" s="448" t="s">
        <v>624</v>
      </c>
      <c r="AW52" s="449">
        <v>59596000</v>
      </c>
      <c r="AX52" s="449">
        <v>17740272</v>
      </c>
      <c r="AY52" s="449">
        <v>41855728</v>
      </c>
      <c r="AZ52" s="450">
        <f t="shared" si="10"/>
        <v>63350.547999999995</v>
      </c>
      <c r="BA52" s="450">
        <f t="shared" si="11"/>
        <v>18857.909135999998</v>
      </c>
      <c r="BB52" s="450">
        <f t="shared" si="12"/>
        <v>44492.638864</v>
      </c>
      <c r="BF52" s="447" t="s">
        <v>553</v>
      </c>
      <c r="BG52" s="448" t="s">
        <v>589</v>
      </c>
      <c r="BH52" s="449">
        <v>4079386</v>
      </c>
      <c r="BI52" s="450">
        <f t="shared" si="13"/>
        <v>4079.386</v>
      </c>
      <c r="BM52" s="451" t="s">
        <v>554</v>
      </c>
      <c r="BN52" s="94" t="s">
        <v>624</v>
      </c>
      <c r="BO52" s="95">
        <v>0</v>
      </c>
      <c r="BP52" s="95">
        <v>58734000</v>
      </c>
      <c r="BQ52" s="95">
        <v>26598828</v>
      </c>
      <c r="BR52" s="95">
        <v>32135172</v>
      </c>
      <c r="BS52" s="95">
        <v>26598828</v>
      </c>
      <c r="BT52" s="450">
        <f t="shared" si="14"/>
        <v>58734</v>
      </c>
      <c r="BU52" s="450">
        <f t="shared" si="15"/>
        <v>26598.828000000001</v>
      </c>
      <c r="BV52" s="450">
        <f t="shared" si="16"/>
        <v>32135.171999999999</v>
      </c>
      <c r="BW52" s="450">
        <f t="shared" si="17"/>
        <v>26598.828000000001</v>
      </c>
      <c r="CA52" s="94" t="s">
        <v>482</v>
      </c>
      <c r="CB52" s="450">
        <v>8409879</v>
      </c>
      <c r="CC52" s="450">
        <f t="shared" si="18"/>
        <v>8409.8790000000008</v>
      </c>
      <c r="CG52" s="448" t="s">
        <v>583</v>
      </c>
      <c r="CH52" s="449">
        <v>0</v>
      </c>
      <c r="CI52" s="449">
        <v>55685600</v>
      </c>
      <c r="CJ52" s="449">
        <v>-55685600</v>
      </c>
      <c r="CK52" s="449">
        <v>12528396</v>
      </c>
      <c r="CL52" s="449">
        <v>43157204</v>
      </c>
      <c r="CM52" s="449">
        <v>12528396</v>
      </c>
      <c r="CN52" s="449">
        <f t="shared" si="19"/>
        <v>55685.599999999999</v>
      </c>
      <c r="CO52" s="449">
        <f t="shared" si="20"/>
        <v>12528.396000000001</v>
      </c>
      <c r="CP52" s="449">
        <f t="shared" si="21"/>
        <v>43157.203999999998</v>
      </c>
      <c r="CQ52" s="449">
        <f t="shared" si="22"/>
        <v>12528.396000000001</v>
      </c>
      <c r="CU52" s="448" t="s">
        <v>584</v>
      </c>
      <c r="CV52" s="449">
        <v>81304138</v>
      </c>
      <c r="CW52" s="449">
        <v>81304138</v>
      </c>
      <c r="CX52" s="450">
        <f t="shared" si="23"/>
        <v>81304.138000000006</v>
      </c>
      <c r="CY52" s="450">
        <f t="shared" si="24"/>
        <v>81304.138000000006</v>
      </c>
      <c r="DB52" s="602" t="s">
        <v>583</v>
      </c>
      <c r="DC52" s="603">
        <v>55685600</v>
      </c>
      <c r="DD52" s="603">
        <v>16315164</v>
      </c>
      <c r="DE52" s="603">
        <v>39370436</v>
      </c>
      <c r="DF52" s="603">
        <v>16315164</v>
      </c>
      <c r="DG52" s="604">
        <f t="shared" si="25"/>
        <v>55685.599999999999</v>
      </c>
      <c r="DH52" s="604">
        <f t="shared" si="26"/>
        <v>16315.164000000001</v>
      </c>
      <c r="DI52" s="604">
        <f t="shared" si="27"/>
        <v>39370.436000000002</v>
      </c>
      <c r="DJ52" s="604">
        <f t="shared" si="28"/>
        <v>16315.164000000001</v>
      </c>
      <c r="DN52" s="94" t="s">
        <v>381</v>
      </c>
      <c r="DO52" s="94">
        <v>3137204</v>
      </c>
      <c r="DP52" s="94">
        <v>4891389</v>
      </c>
      <c r="DQ52" s="666">
        <f t="shared" si="29"/>
        <v>3137.2040000000002</v>
      </c>
      <c r="DR52" s="666">
        <f t="shared" si="30"/>
        <v>4891.3890000000001</v>
      </c>
      <c r="DV52" s="94" t="s">
        <v>583</v>
      </c>
      <c r="DW52" s="95">
        <v>55685600</v>
      </c>
      <c r="DX52" s="95">
        <v>22126934</v>
      </c>
      <c r="DY52" s="95">
        <v>33558666</v>
      </c>
      <c r="DZ52" s="95">
        <v>22126934</v>
      </c>
      <c r="EA52" s="95">
        <f t="shared" si="31"/>
        <v>55685.599999999999</v>
      </c>
      <c r="EB52" s="95">
        <f t="shared" si="32"/>
        <v>22126.934000000001</v>
      </c>
      <c r="EC52" s="95">
        <f t="shared" si="33"/>
        <v>33558.665999999997</v>
      </c>
      <c r="ED52" s="95">
        <f t="shared" si="34"/>
        <v>22126.934000000001</v>
      </c>
      <c r="EH52" s="444" t="s">
        <v>586</v>
      </c>
      <c r="EI52" s="444">
        <v>1024794</v>
      </c>
      <c r="EJ52" s="450">
        <f t="shared" si="35"/>
        <v>1024.7940000000001</v>
      </c>
      <c r="EN52" s="444" t="s">
        <v>583</v>
      </c>
      <c r="EO52" s="450">
        <v>55685600</v>
      </c>
      <c r="EP52" s="450">
        <v>27208703</v>
      </c>
      <c r="EQ52" s="450">
        <v>28476897</v>
      </c>
      <c r="ER52" s="450">
        <v>27208703</v>
      </c>
      <c r="ES52" s="746">
        <f t="shared" si="36"/>
        <v>55685.599999999999</v>
      </c>
      <c r="ET52" s="746">
        <f t="shared" si="37"/>
        <v>27208.703000000001</v>
      </c>
      <c r="EU52" s="746">
        <f t="shared" si="38"/>
        <v>28476.897000000001</v>
      </c>
      <c r="EV52" s="746">
        <f t="shared" si="39"/>
        <v>27208.703000000001</v>
      </c>
      <c r="EZ52" s="780" t="s">
        <v>553</v>
      </c>
      <c r="FA52" s="781" t="s">
        <v>376</v>
      </c>
      <c r="FB52" s="444">
        <v>3001782</v>
      </c>
      <c r="FC52" s="450">
        <f t="shared" si="40"/>
        <v>3001.7820000000002</v>
      </c>
      <c r="FG52" s="785" t="s">
        <v>554</v>
      </c>
      <c r="FH52" s="784" t="s">
        <v>583</v>
      </c>
      <c r="FI52" s="782">
        <v>55685600</v>
      </c>
      <c r="FJ52" s="783">
        <v>31721454</v>
      </c>
      <c r="FK52" s="783">
        <v>23964146</v>
      </c>
      <c r="FL52" s="783">
        <v>31721454</v>
      </c>
      <c r="FM52" s="450">
        <f t="shared" si="41"/>
        <v>55685.599999999999</v>
      </c>
      <c r="FN52" s="450">
        <f t="shared" si="42"/>
        <v>31721.454000000002</v>
      </c>
      <c r="FO52" s="450">
        <f t="shared" si="43"/>
        <v>23964.146000000001</v>
      </c>
      <c r="FP52" s="450">
        <f t="shared" si="44"/>
        <v>31721.454000000002</v>
      </c>
      <c r="FT52" s="451" t="s">
        <v>554</v>
      </c>
      <c r="FU52" s="94" t="s">
        <v>585</v>
      </c>
      <c r="FV52" s="95">
        <v>17791689</v>
      </c>
      <c r="FW52" s="95">
        <v>87610634</v>
      </c>
      <c r="FX52" s="95">
        <v>87610634</v>
      </c>
      <c r="FY52" s="450">
        <f t="shared" si="45"/>
        <v>17791.688999999998</v>
      </c>
      <c r="FZ52" s="450">
        <f t="shared" si="46"/>
        <v>87610.634000000005</v>
      </c>
      <c r="GA52" s="450">
        <f t="shared" si="47"/>
        <v>87610.634000000005</v>
      </c>
      <c r="GG52" s="817" t="s">
        <v>554</v>
      </c>
      <c r="GH52" s="818" t="s">
        <v>583</v>
      </c>
      <c r="GI52" s="819">
        <v>56650600</v>
      </c>
      <c r="GJ52" s="819">
        <v>36512840</v>
      </c>
      <c r="GK52" s="819">
        <v>20137760</v>
      </c>
      <c r="GL52" s="819">
        <v>36512840</v>
      </c>
      <c r="GM52" s="819">
        <v>0</v>
      </c>
      <c r="GN52" s="450">
        <f t="shared" si="48"/>
        <v>56650.6</v>
      </c>
      <c r="GO52" s="450">
        <f t="shared" si="49"/>
        <v>36512.839999999997</v>
      </c>
      <c r="GP52" s="450">
        <f t="shared" si="50"/>
        <v>20137.759999999998</v>
      </c>
      <c r="GQ52" s="450">
        <f t="shared" si="51"/>
        <v>36512.839999999997</v>
      </c>
      <c r="GR52" s="450">
        <f t="shared" si="52"/>
        <v>0</v>
      </c>
      <c r="GV52" s="841" t="s">
        <v>624</v>
      </c>
      <c r="GW52" s="840">
        <v>11124903</v>
      </c>
      <c r="GX52" s="450">
        <f t="shared" si="53"/>
        <v>11124.903</v>
      </c>
      <c r="HB52" s="843" t="s">
        <v>370</v>
      </c>
      <c r="HC52" s="819">
        <v>555587737</v>
      </c>
      <c r="HD52" s="819">
        <v>541507542</v>
      </c>
      <c r="HE52" s="819">
        <v>14080195</v>
      </c>
      <c r="HF52" s="819">
        <v>541507542</v>
      </c>
      <c r="HG52" s="450">
        <f t="shared" si="54"/>
        <v>555587.73699999996</v>
      </c>
      <c r="HH52" s="450">
        <f t="shared" si="55"/>
        <v>14080.195</v>
      </c>
      <c r="HI52" s="450">
        <f t="shared" si="56"/>
        <v>541507.54200000002</v>
      </c>
      <c r="HJ52" s="450">
        <f t="shared" si="57"/>
        <v>14080.195</v>
      </c>
      <c r="HK52" s="450">
        <f t="shared" si="58"/>
        <v>541507.54200000002</v>
      </c>
    </row>
    <row r="53" spans="1:219" ht="15" customHeight="1" x14ac:dyDescent="0.3">
      <c r="A53" s="295" t="s">
        <v>553</v>
      </c>
      <c r="B53" s="296" t="s">
        <v>372</v>
      </c>
      <c r="C53" s="297">
        <v>95890816</v>
      </c>
      <c r="D53" s="298">
        <f t="shared" si="3"/>
        <v>101931.937408</v>
      </c>
      <c r="E53" s="297">
        <v>19700000</v>
      </c>
      <c r="F53" s="297">
        <f t="shared" si="4"/>
        <v>20941.099999999999</v>
      </c>
      <c r="J53" s="299" t="s">
        <v>553</v>
      </c>
      <c r="K53" s="300" t="s">
        <v>591</v>
      </c>
      <c r="L53" s="301">
        <v>0</v>
      </c>
      <c r="M53" s="301">
        <f t="shared" si="5"/>
        <v>0</v>
      </c>
      <c r="Q53" s="299" t="s">
        <v>553</v>
      </c>
      <c r="R53" s="300" t="s">
        <v>372</v>
      </c>
      <c r="S53" s="301">
        <v>95890816</v>
      </c>
      <c r="T53" s="301">
        <v>19700000</v>
      </c>
      <c r="U53" s="301">
        <f t="shared" si="6"/>
        <v>101931.937408</v>
      </c>
      <c r="V53" s="301">
        <f t="shared" si="7"/>
        <v>20941.099999999999</v>
      </c>
      <c r="Z53" s="296" t="s">
        <v>584</v>
      </c>
      <c r="AA53" s="297">
        <v>101191202</v>
      </c>
      <c r="AB53" s="297">
        <f t="shared" si="8"/>
        <v>107566.247726</v>
      </c>
      <c r="AF53" s="296" t="s">
        <v>372</v>
      </c>
      <c r="AG53" s="297">
        <v>95890816</v>
      </c>
      <c r="AH53" s="297">
        <f t="shared" si="59"/>
        <v>101931.937408</v>
      </c>
      <c r="AI53" s="297">
        <v>26846423</v>
      </c>
      <c r="AL53" s="450"/>
      <c r="AN53" s="447" t="s">
        <v>553</v>
      </c>
      <c r="AO53" s="448" t="s">
        <v>584</v>
      </c>
      <c r="AP53" s="449">
        <v>84758546</v>
      </c>
      <c r="AQ53" s="449">
        <f t="shared" si="9"/>
        <v>90098.334397999992</v>
      </c>
      <c r="AU53" s="447" t="s">
        <v>553</v>
      </c>
      <c r="AV53" s="448" t="s">
        <v>372</v>
      </c>
      <c r="AW53" s="449">
        <v>95890816</v>
      </c>
      <c r="AX53" s="449">
        <v>26846423</v>
      </c>
      <c r="AY53" s="449">
        <v>69044393</v>
      </c>
      <c r="AZ53" s="450">
        <f t="shared" si="10"/>
        <v>101931.937408</v>
      </c>
      <c r="BA53" s="450">
        <f t="shared" si="11"/>
        <v>28537.747648999997</v>
      </c>
      <c r="BB53" s="450">
        <f t="shared" si="12"/>
        <v>73394.189758999986</v>
      </c>
      <c r="BF53" s="447" t="s">
        <v>553</v>
      </c>
      <c r="BG53" s="448" t="s">
        <v>384</v>
      </c>
      <c r="BH53" s="449">
        <v>1359152</v>
      </c>
      <c r="BI53" s="450">
        <f t="shared" si="13"/>
        <v>1359.152</v>
      </c>
      <c r="BM53" s="451" t="s">
        <v>553</v>
      </c>
      <c r="BN53" s="94" t="s">
        <v>372</v>
      </c>
      <c r="BO53" s="95">
        <v>0</v>
      </c>
      <c r="BP53" s="95">
        <v>95890816</v>
      </c>
      <c r="BQ53" s="95">
        <v>26846423</v>
      </c>
      <c r="BR53" s="95">
        <v>69044393</v>
      </c>
      <c r="BS53" s="95">
        <v>26846423</v>
      </c>
      <c r="BT53" s="450">
        <f t="shared" si="14"/>
        <v>95890.816000000006</v>
      </c>
      <c r="BU53" s="450">
        <f t="shared" si="15"/>
        <v>26846.422999999999</v>
      </c>
      <c r="BV53" s="450">
        <f t="shared" si="16"/>
        <v>69044.392999999996</v>
      </c>
      <c r="BW53" s="450">
        <f t="shared" si="17"/>
        <v>26846.422999999999</v>
      </c>
      <c r="CA53" s="94" t="s">
        <v>375</v>
      </c>
      <c r="CB53" s="450">
        <v>88048152</v>
      </c>
      <c r="CC53" s="450">
        <f t="shared" si="18"/>
        <v>88048.152000000002</v>
      </c>
      <c r="CG53" s="448" t="s">
        <v>624</v>
      </c>
      <c r="CH53" s="449">
        <v>0</v>
      </c>
      <c r="CI53" s="449">
        <v>58534000</v>
      </c>
      <c r="CJ53" s="449">
        <v>-58534000</v>
      </c>
      <c r="CK53" s="449">
        <v>34488100</v>
      </c>
      <c r="CL53" s="449">
        <v>24045900</v>
      </c>
      <c r="CM53" s="449">
        <v>34488100</v>
      </c>
      <c r="CN53" s="449">
        <f t="shared" si="19"/>
        <v>58534</v>
      </c>
      <c r="CO53" s="449">
        <f t="shared" si="20"/>
        <v>34488.1</v>
      </c>
      <c r="CP53" s="449">
        <f t="shared" si="21"/>
        <v>24045.9</v>
      </c>
      <c r="CQ53" s="449">
        <f t="shared" si="22"/>
        <v>34488.1</v>
      </c>
      <c r="CU53" s="448" t="s">
        <v>585</v>
      </c>
      <c r="CV53" s="449">
        <v>79427247</v>
      </c>
      <c r="CW53" s="449">
        <v>79427247</v>
      </c>
      <c r="CX53" s="450">
        <f t="shared" si="23"/>
        <v>79427.247000000003</v>
      </c>
      <c r="CY53" s="450">
        <f t="shared" si="24"/>
        <v>79427.247000000003</v>
      </c>
      <c r="DB53" s="602" t="s">
        <v>624</v>
      </c>
      <c r="DC53" s="603">
        <v>58084000</v>
      </c>
      <c r="DD53" s="603">
        <v>45297376</v>
      </c>
      <c r="DE53" s="603">
        <v>12786624</v>
      </c>
      <c r="DF53" s="603">
        <v>45297376</v>
      </c>
      <c r="DG53" s="604">
        <f t="shared" si="25"/>
        <v>58084</v>
      </c>
      <c r="DH53" s="604">
        <f t="shared" si="26"/>
        <v>45297.375999999997</v>
      </c>
      <c r="DI53" s="604">
        <f t="shared" si="27"/>
        <v>12786.624</v>
      </c>
      <c r="DJ53" s="604">
        <f t="shared" si="28"/>
        <v>45297.375999999997</v>
      </c>
      <c r="DN53" s="94" t="s">
        <v>382</v>
      </c>
      <c r="DO53" s="94">
        <v>2134650</v>
      </c>
      <c r="DP53" s="94">
        <v>2472182</v>
      </c>
      <c r="DQ53" s="666">
        <f t="shared" si="29"/>
        <v>2134.65</v>
      </c>
      <c r="DR53" s="666">
        <f t="shared" si="30"/>
        <v>2472.1819999999998</v>
      </c>
      <c r="DV53" s="94" t="s">
        <v>624</v>
      </c>
      <c r="DW53" s="95">
        <v>95748000</v>
      </c>
      <c r="DX53" s="95">
        <v>54718118</v>
      </c>
      <c r="DY53" s="95">
        <v>41029882</v>
      </c>
      <c r="DZ53" s="95">
        <v>54718118</v>
      </c>
      <c r="EA53" s="95">
        <f t="shared" si="31"/>
        <v>95748</v>
      </c>
      <c r="EB53" s="95">
        <f t="shared" si="32"/>
        <v>54718.118000000002</v>
      </c>
      <c r="EC53" s="95">
        <f t="shared" si="33"/>
        <v>41029.881999999998</v>
      </c>
      <c r="ED53" s="95">
        <f t="shared" si="34"/>
        <v>54718.118000000002</v>
      </c>
      <c r="EH53" s="444" t="s">
        <v>376</v>
      </c>
      <c r="EI53" s="444">
        <v>4390258</v>
      </c>
      <c r="EJ53" s="450">
        <f t="shared" si="35"/>
        <v>4390.2579999999998</v>
      </c>
      <c r="EN53" s="444" t="s">
        <v>624</v>
      </c>
      <c r="EO53" s="450">
        <v>95248000</v>
      </c>
      <c r="EP53" s="450">
        <v>61763660</v>
      </c>
      <c r="EQ53" s="450">
        <v>33484340</v>
      </c>
      <c r="ER53" s="450">
        <v>61763660</v>
      </c>
      <c r="ES53" s="746">
        <f t="shared" si="36"/>
        <v>95248</v>
      </c>
      <c r="ET53" s="746">
        <f t="shared" si="37"/>
        <v>61763.66</v>
      </c>
      <c r="EU53" s="746">
        <f t="shared" si="38"/>
        <v>33484.339999999997</v>
      </c>
      <c r="EV53" s="746">
        <f t="shared" si="39"/>
        <v>61763.66</v>
      </c>
      <c r="EZ53" s="780" t="s">
        <v>553</v>
      </c>
      <c r="FA53" s="781" t="s">
        <v>377</v>
      </c>
      <c r="FB53" s="444">
        <v>0</v>
      </c>
      <c r="FC53" s="450">
        <f t="shared" si="40"/>
        <v>0</v>
      </c>
      <c r="FG53" s="785" t="s">
        <v>554</v>
      </c>
      <c r="FH53" s="784" t="s">
        <v>624</v>
      </c>
      <c r="FI53" s="782">
        <v>93148000</v>
      </c>
      <c r="FJ53" s="783">
        <v>69103097</v>
      </c>
      <c r="FK53" s="783">
        <v>24044903</v>
      </c>
      <c r="FL53" s="783">
        <v>69103097</v>
      </c>
      <c r="FM53" s="450">
        <f t="shared" si="41"/>
        <v>93148</v>
      </c>
      <c r="FN53" s="450">
        <f t="shared" si="42"/>
        <v>69103.096999999994</v>
      </c>
      <c r="FO53" s="450">
        <f t="shared" si="43"/>
        <v>24044.902999999998</v>
      </c>
      <c r="FP53" s="450">
        <f t="shared" si="44"/>
        <v>69103.096999999994</v>
      </c>
      <c r="FT53" s="451" t="s">
        <v>554</v>
      </c>
      <c r="FU53" s="94" t="s">
        <v>586</v>
      </c>
      <c r="FV53" s="95">
        <v>1267311</v>
      </c>
      <c r="FW53" s="95">
        <v>1417060</v>
      </c>
      <c r="FX53" s="95">
        <v>1417060</v>
      </c>
      <c r="FY53" s="450">
        <f t="shared" si="45"/>
        <v>1267.3109999999999</v>
      </c>
      <c r="FZ53" s="450">
        <f t="shared" si="46"/>
        <v>1417.06</v>
      </c>
      <c r="GA53" s="450">
        <f t="shared" si="47"/>
        <v>1417.06</v>
      </c>
      <c r="GG53" s="817" t="s">
        <v>554</v>
      </c>
      <c r="GH53" s="818" t="s">
        <v>624</v>
      </c>
      <c r="GI53" s="819">
        <v>94187000</v>
      </c>
      <c r="GJ53" s="819">
        <v>81286542</v>
      </c>
      <c r="GK53" s="819">
        <v>12900458</v>
      </c>
      <c r="GL53" s="819">
        <v>81286542</v>
      </c>
      <c r="GM53" s="819">
        <v>0</v>
      </c>
      <c r="GN53" s="450">
        <f t="shared" si="48"/>
        <v>94187</v>
      </c>
      <c r="GO53" s="450">
        <f t="shared" si="49"/>
        <v>81286.542000000001</v>
      </c>
      <c r="GP53" s="450">
        <f t="shared" si="50"/>
        <v>12900.458000000001</v>
      </c>
      <c r="GQ53" s="450">
        <f t="shared" si="51"/>
        <v>81286.542000000001</v>
      </c>
      <c r="GR53" s="450">
        <f t="shared" si="52"/>
        <v>0</v>
      </c>
      <c r="GV53" s="841" t="s">
        <v>372</v>
      </c>
      <c r="GW53" s="840">
        <v>79968104</v>
      </c>
      <c r="GX53" s="450">
        <f t="shared" si="53"/>
        <v>79968.104000000007</v>
      </c>
      <c r="HB53" s="843" t="s">
        <v>926</v>
      </c>
      <c r="HC53" s="819">
        <v>20000</v>
      </c>
      <c r="HD53" s="819">
        <v>18153</v>
      </c>
      <c r="HE53" s="819">
        <v>1847</v>
      </c>
      <c r="HF53" s="819">
        <v>18153</v>
      </c>
      <c r="HG53" s="450">
        <f t="shared" si="54"/>
        <v>20</v>
      </c>
      <c r="HH53" s="450">
        <f t="shared" si="55"/>
        <v>1.847</v>
      </c>
      <c r="HI53" s="450">
        <f t="shared" si="56"/>
        <v>18.152999999999999</v>
      </c>
      <c r="HJ53" s="450">
        <f t="shared" si="57"/>
        <v>1.847</v>
      </c>
      <c r="HK53" s="450">
        <f t="shared" si="58"/>
        <v>18.152999999999999</v>
      </c>
    </row>
    <row r="54" spans="1:219" ht="15" customHeight="1" x14ac:dyDescent="0.3">
      <c r="A54" s="295" t="s">
        <v>554</v>
      </c>
      <c r="B54" s="296" t="s">
        <v>373</v>
      </c>
      <c r="C54" s="297">
        <v>32764433</v>
      </c>
      <c r="D54" s="298">
        <f t="shared" si="3"/>
        <v>34828.592278999997</v>
      </c>
      <c r="E54" s="297">
        <v>0</v>
      </c>
      <c r="F54" s="297">
        <f t="shared" si="4"/>
        <v>0</v>
      </c>
      <c r="J54" s="299" t="s">
        <v>553</v>
      </c>
      <c r="K54" s="300" t="s">
        <v>593</v>
      </c>
      <c r="L54" s="301">
        <v>0</v>
      </c>
      <c r="M54" s="301">
        <f t="shared" si="5"/>
        <v>0</v>
      </c>
      <c r="Q54" s="299" t="s">
        <v>554</v>
      </c>
      <c r="R54" s="300" t="s">
        <v>373</v>
      </c>
      <c r="S54" s="301">
        <v>32764433</v>
      </c>
      <c r="T54" s="301">
        <v>0</v>
      </c>
      <c r="U54" s="301">
        <f t="shared" si="6"/>
        <v>34828.592278999997</v>
      </c>
      <c r="V54" s="301">
        <f t="shared" si="7"/>
        <v>0</v>
      </c>
      <c r="Z54" s="296" t="s">
        <v>585</v>
      </c>
      <c r="AA54" s="297">
        <v>101145704</v>
      </c>
      <c r="AB54" s="297">
        <f t="shared" si="8"/>
        <v>107517.88335199999</v>
      </c>
      <c r="AF54" s="296" t="s">
        <v>373</v>
      </c>
      <c r="AG54" s="297">
        <v>32764433</v>
      </c>
      <c r="AH54" s="297">
        <f t="shared" si="59"/>
        <v>34828.592278999997</v>
      </c>
      <c r="AI54" s="297">
        <v>0</v>
      </c>
      <c r="AL54" s="450"/>
      <c r="AN54" s="447" t="s">
        <v>554</v>
      </c>
      <c r="AO54" s="448" t="s">
        <v>585</v>
      </c>
      <c r="AP54" s="449">
        <v>83958946</v>
      </c>
      <c r="AQ54" s="449">
        <f t="shared" si="9"/>
        <v>89248.359597999995</v>
      </c>
      <c r="AU54" s="447" t="s">
        <v>554</v>
      </c>
      <c r="AV54" s="448" t="s">
        <v>373</v>
      </c>
      <c r="AW54" s="449">
        <v>32764433</v>
      </c>
      <c r="AX54" s="449">
        <v>0</v>
      </c>
      <c r="AY54" s="449">
        <v>32764433</v>
      </c>
      <c r="AZ54" s="450">
        <f t="shared" si="10"/>
        <v>34828.592278999997</v>
      </c>
      <c r="BA54" s="450">
        <f t="shared" si="11"/>
        <v>0</v>
      </c>
      <c r="BB54" s="450">
        <f t="shared" si="12"/>
        <v>34828.592278999997</v>
      </c>
      <c r="BF54" s="447" t="s">
        <v>553</v>
      </c>
      <c r="BG54" s="448" t="s">
        <v>591</v>
      </c>
      <c r="BH54" s="449">
        <v>1378640</v>
      </c>
      <c r="BI54" s="450">
        <f t="shared" si="13"/>
        <v>1378.64</v>
      </c>
      <c r="BM54" s="451" t="s">
        <v>554</v>
      </c>
      <c r="BN54" s="94" t="s">
        <v>373</v>
      </c>
      <c r="BO54" s="95">
        <v>0</v>
      </c>
      <c r="BP54" s="95">
        <v>32764433</v>
      </c>
      <c r="BQ54" s="95">
        <v>0</v>
      </c>
      <c r="BR54" s="95">
        <v>32764433</v>
      </c>
      <c r="BS54" s="95">
        <v>0</v>
      </c>
      <c r="BT54" s="450">
        <f t="shared" si="14"/>
        <v>32764.433000000001</v>
      </c>
      <c r="BU54" s="450">
        <f t="shared" si="15"/>
        <v>0</v>
      </c>
      <c r="BV54" s="450">
        <f t="shared" si="16"/>
        <v>32764.433000000001</v>
      </c>
      <c r="BW54" s="450">
        <f t="shared" si="17"/>
        <v>0</v>
      </c>
      <c r="CA54" s="94" t="s">
        <v>584</v>
      </c>
      <c r="CB54" s="450">
        <v>88048152</v>
      </c>
      <c r="CC54" s="450">
        <f t="shared" si="18"/>
        <v>88048.152000000002</v>
      </c>
      <c r="CG54" s="448" t="s">
        <v>372</v>
      </c>
      <c r="CH54" s="449">
        <v>0</v>
      </c>
      <c r="CI54" s="449">
        <v>96459828</v>
      </c>
      <c r="CJ54" s="449">
        <v>-96459828</v>
      </c>
      <c r="CK54" s="449">
        <v>35256302</v>
      </c>
      <c r="CL54" s="449">
        <v>61203526</v>
      </c>
      <c r="CM54" s="449">
        <v>35256302</v>
      </c>
      <c r="CN54" s="449">
        <f t="shared" si="19"/>
        <v>96459.827999999994</v>
      </c>
      <c r="CO54" s="449">
        <f t="shared" si="20"/>
        <v>35256.302000000003</v>
      </c>
      <c r="CP54" s="449">
        <f t="shared" si="21"/>
        <v>61203.525999999998</v>
      </c>
      <c r="CQ54" s="449">
        <f t="shared" si="22"/>
        <v>35256.302000000003</v>
      </c>
      <c r="CU54" s="448" t="s">
        <v>586</v>
      </c>
      <c r="CV54" s="449">
        <v>1876891</v>
      </c>
      <c r="CW54" s="449">
        <v>1876891</v>
      </c>
      <c r="CX54" s="450">
        <f t="shared" si="23"/>
        <v>1876.8910000000001</v>
      </c>
      <c r="CY54" s="450">
        <f t="shared" si="24"/>
        <v>1876.8910000000001</v>
      </c>
      <c r="DB54" s="602" t="s">
        <v>372</v>
      </c>
      <c r="DC54" s="603">
        <v>96459828</v>
      </c>
      <c r="DD54" s="603">
        <v>35256302</v>
      </c>
      <c r="DE54" s="603">
        <v>61203526</v>
      </c>
      <c r="DF54" s="603">
        <v>35256302</v>
      </c>
      <c r="DG54" s="604">
        <f t="shared" si="25"/>
        <v>96459.827999999994</v>
      </c>
      <c r="DH54" s="604">
        <f t="shared" si="26"/>
        <v>35256.302000000003</v>
      </c>
      <c r="DI54" s="604">
        <f t="shared" si="27"/>
        <v>61203.525999999998</v>
      </c>
      <c r="DJ54" s="604">
        <f t="shared" si="28"/>
        <v>35256.302000000003</v>
      </c>
      <c r="DN54" s="94" t="s">
        <v>383</v>
      </c>
      <c r="DO54" s="94">
        <v>0</v>
      </c>
      <c r="DP54" s="94">
        <v>0</v>
      </c>
      <c r="DQ54" s="666">
        <f t="shared" si="29"/>
        <v>0</v>
      </c>
      <c r="DR54" s="666">
        <f t="shared" si="30"/>
        <v>0</v>
      </c>
      <c r="DV54" s="94" t="s">
        <v>372</v>
      </c>
      <c r="DW54" s="95">
        <v>96459828</v>
      </c>
      <c r="DX54" s="95">
        <v>35256302</v>
      </c>
      <c r="DY54" s="95">
        <v>61203526</v>
      </c>
      <c r="DZ54" s="95">
        <v>35256302</v>
      </c>
      <c r="EA54" s="95">
        <f t="shared" si="31"/>
        <v>96459.827999999994</v>
      </c>
      <c r="EB54" s="95">
        <f t="shared" si="32"/>
        <v>35256.302000000003</v>
      </c>
      <c r="EC54" s="95">
        <f t="shared" si="33"/>
        <v>61203.525999999998</v>
      </c>
      <c r="ED54" s="95">
        <f t="shared" si="34"/>
        <v>35256.302000000003</v>
      </c>
      <c r="EH54" s="444" t="s">
        <v>377</v>
      </c>
      <c r="EI54" s="444">
        <v>396000</v>
      </c>
      <c r="EJ54" s="450">
        <f t="shared" si="35"/>
        <v>396</v>
      </c>
      <c r="EN54" s="444" t="s">
        <v>372</v>
      </c>
      <c r="EO54" s="450">
        <v>105097157</v>
      </c>
      <c r="EP54" s="450">
        <v>55957183</v>
      </c>
      <c r="EQ54" s="450">
        <v>49139974</v>
      </c>
      <c r="ER54" s="450">
        <v>55957183</v>
      </c>
      <c r="ES54" s="746">
        <f t="shared" si="36"/>
        <v>105097.15700000001</v>
      </c>
      <c r="ET54" s="746">
        <f t="shared" si="37"/>
        <v>55957.182999999997</v>
      </c>
      <c r="EU54" s="746">
        <f t="shared" si="38"/>
        <v>49139.974000000002</v>
      </c>
      <c r="EV54" s="746">
        <f t="shared" si="39"/>
        <v>55957.182999999997</v>
      </c>
      <c r="EZ54" s="780" t="s">
        <v>449</v>
      </c>
      <c r="FA54" s="781" t="s">
        <v>378</v>
      </c>
      <c r="FB54" s="444">
        <v>214264173</v>
      </c>
      <c r="FC54" s="450">
        <f t="shared" si="40"/>
        <v>214264.17300000001</v>
      </c>
      <c r="FG54" s="785" t="s">
        <v>553</v>
      </c>
      <c r="FH54" s="784" t="s">
        <v>372</v>
      </c>
      <c r="FI54" s="782">
        <v>105097157</v>
      </c>
      <c r="FJ54" s="783">
        <v>55957183</v>
      </c>
      <c r="FK54" s="783">
        <v>49139974</v>
      </c>
      <c r="FL54" s="783">
        <v>55957183</v>
      </c>
      <c r="FM54" s="450">
        <f t="shared" si="41"/>
        <v>105097.15700000001</v>
      </c>
      <c r="FN54" s="450">
        <f t="shared" si="42"/>
        <v>55957.182999999997</v>
      </c>
      <c r="FO54" s="450">
        <f t="shared" si="43"/>
        <v>49139.974000000002</v>
      </c>
      <c r="FP54" s="450">
        <f t="shared" si="44"/>
        <v>55957.182999999997</v>
      </c>
      <c r="FT54" s="451" t="s">
        <v>553</v>
      </c>
      <c r="FU54" s="94" t="s">
        <v>376</v>
      </c>
      <c r="FV54" s="95">
        <v>0</v>
      </c>
      <c r="FW54" s="95">
        <v>2284031</v>
      </c>
      <c r="FX54" s="95">
        <v>2284031</v>
      </c>
      <c r="FY54" s="450">
        <f t="shared" si="45"/>
        <v>0</v>
      </c>
      <c r="FZ54" s="450">
        <f t="shared" si="46"/>
        <v>2284.0309999999999</v>
      </c>
      <c r="GA54" s="450">
        <f t="shared" si="47"/>
        <v>2284.0309999999999</v>
      </c>
      <c r="GG54" s="817" t="s">
        <v>553</v>
      </c>
      <c r="GH54" s="818" t="s">
        <v>372</v>
      </c>
      <c r="GI54" s="819">
        <v>105097157</v>
      </c>
      <c r="GJ54" s="819">
        <v>55957183</v>
      </c>
      <c r="GK54" s="819">
        <v>49139974</v>
      </c>
      <c r="GL54" s="819">
        <v>55957183</v>
      </c>
      <c r="GM54" s="819">
        <v>0</v>
      </c>
      <c r="GN54" s="450">
        <f t="shared" si="48"/>
        <v>105097.15700000001</v>
      </c>
      <c r="GO54" s="450">
        <f t="shared" si="49"/>
        <v>55957.182999999997</v>
      </c>
      <c r="GP54" s="450">
        <f t="shared" si="50"/>
        <v>49139.974000000002</v>
      </c>
      <c r="GQ54" s="450">
        <f t="shared" si="51"/>
        <v>55957.182999999997</v>
      </c>
      <c r="GR54" s="450">
        <f t="shared" si="52"/>
        <v>0</v>
      </c>
      <c r="GV54" s="841" t="s">
        <v>373</v>
      </c>
      <c r="GW54" s="840">
        <v>14858104</v>
      </c>
      <c r="GX54" s="450">
        <f t="shared" si="53"/>
        <v>14858.103999999999</v>
      </c>
      <c r="HB54" s="843" t="s">
        <v>371</v>
      </c>
      <c r="HC54" s="819">
        <v>378654765</v>
      </c>
      <c r="HD54" s="819">
        <v>373729327</v>
      </c>
      <c r="HE54" s="819">
        <v>4925438</v>
      </c>
      <c r="HF54" s="819">
        <v>373729327</v>
      </c>
      <c r="HG54" s="450">
        <f t="shared" si="54"/>
        <v>378654.76500000001</v>
      </c>
      <c r="HH54" s="450">
        <f t="shared" si="55"/>
        <v>4925.4380000000001</v>
      </c>
      <c r="HI54" s="450">
        <f t="shared" si="56"/>
        <v>373729.32699999999</v>
      </c>
      <c r="HJ54" s="450">
        <f t="shared" si="57"/>
        <v>4925.4380000000001</v>
      </c>
      <c r="HK54" s="450">
        <f t="shared" si="58"/>
        <v>373729.32699999999</v>
      </c>
    </row>
    <row r="55" spans="1:219" ht="15" customHeight="1" x14ac:dyDescent="0.3">
      <c r="A55" s="295" t="s">
        <v>554</v>
      </c>
      <c r="B55" s="296" t="s">
        <v>482</v>
      </c>
      <c r="C55" s="297">
        <v>14987290</v>
      </c>
      <c r="D55" s="298">
        <f t="shared" si="3"/>
        <v>15931.48927</v>
      </c>
      <c r="E55" s="297">
        <v>0</v>
      </c>
      <c r="F55" s="297">
        <f t="shared" si="4"/>
        <v>0</v>
      </c>
      <c r="J55" s="299" t="s">
        <v>553</v>
      </c>
      <c r="K55" s="300" t="s">
        <v>594</v>
      </c>
      <c r="L55" s="301">
        <v>0</v>
      </c>
      <c r="M55" s="301">
        <f t="shared" si="5"/>
        <v>0</v>
      </c>
      <c r="Q55" s="299" t="s">
        <v>554</v>
      </c>
      <c r="R55" s="300" t="s">
        <v>482</v>
      </c>
      <c r="S55" s="301">
        <v>14987290</v>
      </c>
      <c r="T55" s="301">
        <v>0</v>
      </c>
      <c r="U55" s="301">
        <f t="shared" si="6"/>
        <v>15931.48927</v>
      </c>
      <c r="V55" s="301">
        <f t="shared" si="7"/>
        <v>0</v>
      </c>
      <c r="Z55" s="296" t="s">
        <v>586</v>
      </c>
      <c r="AA55" s="297">
        <v>45498</v>
      </c>
      <c r="AB55" s="297">
        <f t="shared" si="8"/>
        <v>48.364373999999998</v>
      </c>
      <c r="AF55" s="296" t="s">
        <v>482</v>
      </c>
      <c r="AG55" s="297">
        <v>14987290</v>
      </c>
      <c r="AH55" s="297">
        <f t="shared" si="59"/>
        <v>15931.48927</v>
      </c>
      <c r="AI55" s="297">
        <v>7146423</v>
      </c>
      <c r="AL55" s="450"/>
      <c r="AN55" s="447" t="s">
        <v>554</v>
      </c>
      <c r="AO55" s="448" t="s">
        <v>586</v>
      </c>
      <c r="AP55" s="449">
        <v>799600</v>
      </c>
      <c r="AQ55" s="449">
        <f t="shared" si="9"/>
        <v>849.97479999999996</v>
      </c>
      <c r="AU55" s="447" t="s">
        <v>554</v>
      </c>
      <c r="AV55" s="448" t="s">
        <v>482</v>
      </c>
      <c r="AW55" s="449">
        <v>14987290</v>
      </c>
      <c r="AX55" s="449">
        <v>7146423</v>
      </c>
      <c r="AY55" s="449">
        <v>7840867</v>
      </c>
      <c r="AZ55" s="450">
        <f t="shared" si="10"/>
        <v>15931.48927</v>
      </c>
      <c r="BA55" s="450">
        <f t="shared" si="11"/>
        <v>7596.6476489999995</v>
      </c>
      <c r="BB55" s="450">
        <f t="shared" si="12"/>
        <v>8334.8416209999996</v>
      </c>
      <c r="BF55" s="447" t="s">
        <v>553</v>
      </c>
      <c r="BG55" s="448" t="s">
        <v>592</v>
      </c>
      <c r="BH55" s="449">
        <v>0</v>
      </c>
      <c r="BI55" s="450">
        <f t="shared" si="13"/>
        <v>0</v>
      </c>
      <c r="BM55" s="451" t="s">
        <v>554</v>
      </c>
      <c r="BN55" s="94" t="s">
        <v>482</v>
      </c>
      <c r="BO55" s="95">
        <v>0</v>
      </c>
      <c r="BP55" s="95">
        <v>14987290</v>
      </c>
      <c r="BQ55" s="95">
        <v>7146423</v>
      </c>
      <c r="BR55" s="95">
        <v>7840867</v>
      </c>
      <c r="BS55" s="95">
        <v>7146423</v>
      </c>
      <c r="BT55" s="450">
        <f t="shared" si="14"/>
        <v>14987.29</v>
      </c>
      <c r="BU55" s="450">
        <f t="shared" si="15"/>
        <v>7146.4229999999998</v>
      </c>
      <c r="BV55" s="450">
        <f t="shared" si="16"/>
        <v>7840.8670000000002</v>
      </c>
      <c r="BW55" s="450">
        <f t="shared" si="17"/>
        <v>7146.4229999999998</v>
      </c>
      <c r="CA55" s="94" t="s">
        <v>585</v>
      </c>
      <c r="CB55" s="450">
        <v>86852639</v>
      </c>
      <c r="CC55" s="450">
        <f t="shared" si="18"/>
        <v>86852.638999999996</v>
      </c>
      <c r="CG55" s="448" t="s">
        <v>373</v>
      </c>
      <c r="CH55" s="449">
        <v>0</v>
      </c>
      <c r="CI55" s="449">
        <v>32764433</v>
      </c>
      <c r="CJ55" s="449">
        <v>-32764433</v>
      </c>
      <c r="CK55" s="449">
        <v>0</v>
      </c>
      <c r="CL55" s="449">
        <v>32764433</v>
      </c>
      <c r="CM55" s="449">
        <v>0</v>
      </c>
      <c r="CN55" s="449">
        <f t="shared" si="19"/>
        <v>32764.433000000001</v>
      </c>
      <c r="CO55" s="449">
        <f t="shared" si="20"/>
        <v>0</v>
      </c>
      <c r="CP55" s="449">
        <f t="shared" si="21"/>
        <v>32764.433000000001</v>
      </c>
      <c r="CQ55" s="449">
        <f t="shared" si="22"/>
        <v>0</v>
      </c>
      <c r="CU55" s="448" t="s">
        <v>378</v>
      </c>
      <c r="CV55" s="449">
        <v>7225731</v>
      </c>
      <c r="CW55" s="449">
        <v>329361838</v>
      </c>
      <c r="CX55" s="450">
        <f t="shared" si="23"/>
        <v>7225.7309999999998</v>
      </c>
      <c r="CY55" s="450">
        <f t="shared" si="24"/>
        <v>329361.83799999999</v>
      </c>
      <c r="DB55" s="602" t="s">
        <v>373</v>
      </c>
      <c r="DC55" s="603">
        <v>32764433</v>
      </c>
      <c r="DD55" s="603">
        <v>0</v>
      </c>
      <c r="DE55" s="603">
        <v>32764433</v>
      </c>
      <c r="DF55" s="603">
        <v>0</v>
      </c>
      <c r="DG55" s="604">
        <f t="shared" si="25"/>
        <v>32764.433000000001</v>
      </c>
      <c r="DH55" s="604">
        <f t="shared" si="26"/>
        <v>0</v>
      </c>
      <c r="DI55" s="604">
        <f t="shared" si="27"/>
        <v>32764.433000000001</v>
      </c>
      <c r="DJ55" s="604">
        <f t="shared" si="28"/>
        <v>0</v>
      </c>
      <c r="DN55" s="94" t="s">
        <v>589</v>
      </c>
      <c r="DO55" s="94">
        <v>117710</v>
      </c>
      <c r="DP55" s="94">
        <v>0</v>
      </c>
      <c r="DQ55" s="666">
        <f t="shared" si="29"/>
        <v>117.71</v>
      </c>
      <c r="DR55" s="666">
        <f t="shared" si="30"/>
        <v>0</v>
      </c>
      <c r="DV55" s="94" t="s">
        <v>373</v>
      </c>
      <c r="DW55" s="95">
        <v>32764433</v>
      </c>
      <c r="DX55" s="95">
        <v>0</v>
      </c>
      <c r="DY55" s="95">
        <v>32764433</v>
      </c>
      <c r="DZ55" s="95">
        <v>0</v>
      </c>
      <c r="EA55" s="95">
        <f t="shared" si="31"/>
        <v>32764.433000000001</v>
      </c>
      <c r="EB55" s="95">
        <f t="shared" si="32"/>
        <v>0</v>
      </c>
      <c r="EC55" s="95">
        <f t="shared" si="33"/>
        <v>32764.433000000001</v>
      </c>
      <c r="ED55" s="95">
        <f t="shared" si="34"/>
        <v>0</v>
      </c>
      <c r="EH55" s="444" t="s">
        <v>378</v>
      </c>
      <c r="EI55" s="444">
        <v>281324616</v>
      </c>
      <c r="EJ55" s="450">
        <f t="shared" si="35"/>
        <v>281324.61599999998</v>
      </c>
      <c r="EN55" s="444" t="s">
        <v>373</v>
      </c>
      <c r="EO55" s="450">
        <v>41401762</v>
      </c>
      <c r="EP55" s="450">
        <v>20700881</v>
      </c>
      <c r="EQ55" s="450">
        <v>20700881</v>
      </c>
      <c r="ER55" s="450">
        <v>20700881</v>
      </c>
      <c r="ES55" s="746">
        <f t="shared" si="36"/>
        <v>41401.762000000002</v>
      </c>
      <c r="ET55" s="746">
        <f t="shared" si="37"/>
        <v>20700.881000000001</v>
      </c>
      <c r="EU55" s="746">
        <f t="shared" si="38"/>
        <v>20700.881000000001</v>
      </c>
      <c r="EV55" s="746">
        <f t="shared" si="39"/>
        <v>20700.881000000001</v>
      </c>
      <c r="EZ55" s="780" t="s">
        <v>355</v>
      </c>
      <c r="FA55" s="781" t="s">
        <v>379</v>
      </c>
      <c r="FB55" s="444">
        <v>359380</v>
      </c>
      <c r="FC55" s="450">
        <f t="shared" si="40"/>
        <v>359.38</v>
      </c>
      <c r="FG55" s="785" t="s">
        <v>554</v>
      </c>
      <c r="FH55" s="784" t="s">
        <v>373</v>
      </c>
      <c r="FI55" s="782">
        <v>41401762</v>
      </c>
      <c r="FJ55" s="783">
        <v>20700881</v>
      </c>
      <c r="FK55" s="783">
        <v>20700881</v>
      </c>
      <c r="FL55" s="783">
        <v>20700881</v>
      </c>
      <c r="FM55" s="450">
        <f t="shared" si="41"/>
        <v>41401.762000000002</v>
      </c>
      <c r="FN55" s="450">
        <f t="shared" si="42"/>
        <v>20700.881000000001</v>
      </c>
      <c r="FO55" s="450">
        <f t="shared" si="43"/>
        <v>20700.881000000001</v>
      </c>
      <c r="FP55" s="450">
        <f t="shared" si="44"/>
        <v>20700.881000000001</v>
      </c>
      <c r="FT55" s="451" t="s">
        <v>449</v>
      </c>
      <c r="FU55" s="94" t="s">
        <v>378</v>
      </c>
      <c r="FV55" s="95">
        <v>78984000</v>
      </c>
      <c r="FW55" s="95">
        <v>173734283</v>
      </c>
      <c r="FX55" s="95">
        <v>229214026</v>
      </c>
      <c r="FY55" s="450">
        <f t="shared" si="45"/>
        <v>78984</v>
      </c>
      <c r="FZ55" s="450">
        <f t="shared" si="46"/>
        <v>173734.283</v>
      </c>
      <c r="GA55" s="450">
        <f t="shared" si="47"/>
        <v>229214.02600000001</v>
      </c>
      <c r="GG55" s="817" t="s">
        <v>554</v>
      </c>
      <c r="GH55" s="818" t="s">
        <v>373</v>
      </c>
      <c r="GI55" s="819">
        <v>41401762</v>
      </c>
      <c r="GJ55" s="819">
        <v>20700881</v>
      </c>
      <c r="GK55" s="819">
        <v>20700881</v>
      </c>
      <c r="GL55" s="819">
        <v>20700881</v>
      </c>
      <c r="GM55" s="819">
        <v>0</v>
      </c>
      <c r="GN55" s="450">
        <f t="shared" si="48"/>
        <v>41401.762000000002</v>
      </c>
      <c r="GO55" s="450">
        <f t="shared" si="49"/>
        <v>20700.881000000001</v>
      </c>
      <c r="GP55" s="450">
        <f t="shared" si="50"/>
        <v>20700.881000000001</v>
      </c>
      <c r="GQ55" s="450">
        <f t="shared" si="51"/>
        <v>20700.881000000001</v>
      </c>
      <c r="GR55" s="450">
        <f t="shared" si="52"/>
        <v>0</v>
      </c>
      <c r="GV55" s="841" t="s">
        <v>374</v>
      </c>
      <c r="GW55" s="840">
        <v>65110000</v>
      </c>
      <c r="GX55" s="450">
        <f t="shared" si="53"/>
        <v>65110</v>
      </c>
      <c r="HB55" s="843" t="s">
        <v>582</v>
      </c>
      <c r="HC55" s="819">
        <v>226917165</v>
      </c>
      <c r="HD55" s="819">
        <v>226917165</v>
      </c>
      <c r="HE55" s="819">
        <v>0</v>
      </c>
      <c r="HF55" s="819">
        <v>226917165</v>
      </c>
      <c r="HG55" s="450">
        <f t="shared" si="54"/>
        <v>226917.16500000001</v>
      </c>
      <c r="HH55" s="450">
        <f t="shared" si="55"/>
        <v>0</v>
      </c>
      <c r="HI55" s="450">
        <f t="shared" si="56"/>
        <v>226917.16500000001</v>
      </c>
      <c r="HJ55" s="450">
        <f t="shared" si="57"/>
        <v>0</v>
      </c>
      <c r="HK55" s="450">
        <f t="shared" si="58"/>
        <v>226917.16500000001</v>
      </c>
    </row>
    <row r="56" spans="1:219" ht="15" customHeight="1" x14ac:dyDescent="0.3">
      <c r="A56" s="295" t="s">
        <v>554</v>
      </c>
      <c r="B56" s="296" t="s">
        <v>374</v>
      </c>
      <c r="C56" s="297">
        <v>48139093</v>
      </c>
      <c r="D56" s="298">
        <f t="shared" si="3"/>
        <v>51171.855858999996</v>
      </c>
      <c r="E56" s="297">
        <v>19700000</v>
      </c>
      <c r="F56" s="297">
        <f t="shared" si="4"/>
        <v>20941.099999999999</v>
      </c>
      <c r="J56" s="299" t="s">
        <v>553</v>
      </c>
      <c r="K56" s="300" t="s">
        <v>385</v>
      </c>
      <c r="L56" s="301">
        <v>89845</v>
      </c>
      <c r="M56" s="301">
        <f t="shared" si="5"/>
        <v>95.505234999999999</v>
      </c>
      <c r="Q56" s="299" t="s">
        <v>554</v>
      </c>
      <c r="R56" s="300" t="s">
        <v>374</v>
      </c>
      <c r="S56" s="301">
        <v>48139093</v>
      </c>
      <c r="T56" s="301">
        <v>19700000</v>
      </c>
      <c r="U56" s="301">
        <f t="shared" si="6"/>
        <v>51171.855858999996</v>
      </c>
      <c r="V56" s="301">
        <f t="shared" si="7"/>
        <v>20941.099999999999</v>
      </c>
      <c r="Z56" s="296" t="s">
        <v>376</v>
      </c>
      <c r="AA56" s="297">
        <v>4671770</v>
      </c>
      <c r="AB56" s="297">
        <f t="shared" si="8"/>
        <v>4966.0915100000002</v>
      </c>
      <c r="AF56" s="296" t="s">
        <v>374</v>
      </c>
      <c r="AG56" s="297">
        <v>48139093</v>
      </c>
      <c r="AH56" s="297">
        <f t="shared" si="59"/>
        <v>51171.855858999996</v>
      </c>
      <c r="AI56" s="297">
        <v>19700000</v>
      </c>
      <c r="AL56" s="450"/>
      <c r="AN56" s="447" t="s">
        <v>553</v>
      </c>
      <c r="AO56" s="448" t="s">
        <v>376</v>
      </c>
      <c r="AP56" s="449">
        <v>0</v>
      </c>
      <c r="AQ56" s="449">
        <f t="shared" si="9"/>
        <v>0</v>
      </c>
      <c r="AU56" s="447" t="s">
        <v>554</v>
      </c>
      <c r="AV56" s="448" t="s">
        <v>374</v>
      </c>
      <c r="AW56" s="449">
        <v>48139093</v>
      </c>
      <c r="AX56" s="449">
        <v>19700000</v>
      </c>
      <c r="AY56" s="449">
        <v>28439093</v>
      </c>
      <c r="AZ56" s="450">
        <f t="shared" si="10"/>
        <v>51171.855858999996</v>
      </c>
      <c r="BA56" s="450">
        <f t="shared" si="11"/>
        <v>20941.099999999999</v>
      </c>
      <c r="BB56" s="450">
        <f t="shared" si="12"/>
        <v>30230.755859000001</v>
      </c>
      <c r="BF56" s="447" t="s">
        <v>553</v>
      </c>
      <c r="BG56" s="448" t="s">
        <v>593</v>
      </c>
      <c r="BH56" s="449">
        <v>577593</v>
      </c>
      <c r="BI56" s="450">
        <f t="shared" si="13"/>
        <v>577.59299999999996</v>
      </c>
      <c r="BM56" s="451" t="s">
        <v>554</v>
      </c>
      <c r="BN56" s="94" t="s">
        <v>374</v>
      </c>
      <c r="BO56" s="95">
        <v>0</v>
      </c>
      <c r="BP56" s="95">
        <v>48139093</v>
      </c>
      <c r="BQ56" s="95">
        <v>19700000</v>
      </c>
      <c r="BR56" s="95">
        <v>28439093</v>
      </c>
      <c r="BS56" s="95">
        <v>19700000</v>
      </c>
      <c r="BT56" s="450">
        <f t="shared" si="14"/>
        <v>48139.093000000001</v>
      </c>
      <c r="BU56" s="450">
        <f t="shared" si="15"/>
        <v>19700</v>
      </c>
      <c r="BV56" s="450">
        <f t="shared" si="16"/>
        <v>28439.093000000001</v>
      </c>
      <c r="BW56" s="450">
        <f t="shared" si="17"/>
        <v>19700</v>
      </c>
      <c r="CA56" s="94" t="s">
        <v>586</v>
      </c>
      <c r="CB56" s="450">
        <v>1195513</v>
      </c>
      <c r="CC56" s="450">
        <f t="shared" si="18"/>
        <v>1195.5129999999999</v>
      </c>
      <c r="CG56" s="448" t="s">
        <v>482</v>
      </c>
      <c r="CH56" s="449">
        <v>0</v>
      </c>
      <c r="CI56" s="449">
        <v>15556302</v>
      </c>
      <c r="CJ56" s="449">
        <v>-15556302</v>
      </c>
      <c r="CK56" s="449">
        <v>15556302</v>
      </c>
      <c r="CL56" s="449">
        <v>0</v>
      </c>
      <c r="CM56" s="449">
        <v>15556302</v>
      </c>
      <c r="CN56" s="449">
        <f t="shared" si="19"/>
        <v>15556.302</v>
      </c>
      <c r="CO56" s="449">
        <f t="shared" si="20"/>
        <v>15556.302</v>
      </c>
      <c r="CP56" s="449">
        <f t="shared" si="21"/>
        <v>0</v>
      </c>
      <c r="CQ56" s="449">
        <f t="shared" si="22"/>
        <v>15556.302</v>
      </c>
      <c r="CU56" s="448" t="s">
        <v>379</v>
      </c>
      <c r="CV56" s="449">
        <v>0</v>
      </c>
      <c r="CW56" s="449">
        <v>0</v>
      </c>
      <c r="CX56" s="450">
        <f t="shared" si="23"/>
        <v>0</v>
      </c>
      <c r="CY56" s="450">
        <f t="shared" si="24"/>
        <v>0</v>
      </c>
      <c r="DB56" s="602" t="s">
        <v>482</v>
      </c>
      <c r="DC56" s="603">
        <v>15556302</v>
      </c>
      <c r="DD56" s="603">
        <v>15556302</v>
      </c>
      <c r="DE56" s="603">
        <v>0</v>
      </c>
      <c r="DF56" s="603">
        <v>15556302</v>
      </c>
      <c r="DG56" s="604">
        <f t="shared" si="25"/>
        <v>15556.302</v>
      </c>
      <c r="DH56" s="604">
        <f t="shared" si="26"/>
        <v>15556.302</v>
      </c>
      <c r="DI56" s="604">
        <f t="shared" si="27"/>
        <v>0</v>
      </c>
      <c r="DJ56" s="604">
        <f t="shared" si="28"/>
        <v>15556.302</v>
      </c>
      <c r="DN56" s="94" t="s">
        <v>384</v>
      </c>
      <c r="DO56" s="94">
        <v>0</v>
      </c>
      <c r="DP56" s="94">
        <v>0</v>
      </c>
      <c r="DQ56" s="666">
        <f t="shared" si="29"/>
        <v>0</v>
      </c>
      <c r="DR56" s="666">
        <f t="shared" si="30"/>
        <v>0</v>
      </c>
      <c r="DV56" s="94" t="s">
        <v>482</v>
      </c>
      <c r="DW56" s="95">
        <v>15556302</v>
      </c>
      <c r="DX56" s="95">
        <v>15556302</v>
      </c>
      <c r="DY56" s="95">
        <v>0</v>
      </c>
      <c r="DZ56" s="95">
        <v>15556302</v>
      </c>
      <c r="EA56" s="95">
        <f t="shared" si="31"/>
        <v>15556.302</v>
      </c>
      <c r="EB56" s="95">
        <f t="shared" si="32"/>
        <v>15556.302</v>
      </c>
      <c r="EC56" s="95">
        <f t="shared" si="33"/>
        <v>0</v>
      </c>
      <c r="ED56" s="95">
        <f t="shared" si="34"/>
        <v>15556.302</v>
      </c>
      <c r="EH56" s="444" t="s">
        <v>379</v>
      </c>
      <c r="EI56" s="444">
        <v>0</v>
      </c>
      <c r="EJ56" s="450">
        <f t="shared" si="35"/>
        <v>0</v>
      </c>
      <c r="EN56" s="444" t="s">
        <v>482</v>
      </c>
      <c r="EO56" s="450">
        <v>15556302</v>
      </c>
      <c r="EP56" s="450">
        <v>15556302</v>
      </c>
      <c r="EQ56" s="450">
        <v>0</v>
      </c>
      <c r="ER56" s="450">
        <v>15556302</v>
      </c>
      <c r="ES56" s="746">
        <f t="shared" si="36"/>
        <v>15556.302</v>
      </c>
      <c r="ET56" s="746">
        <f t="shared" si="37"/>
        <v>15556.302</v>
      </c>
      <c r="EU56" s="746">
        <f t="shared" si="38"/>
        <v>0</v>
      </c>
      <c r="EV56" s="746">
        <f t="shared" si="39"/>
        <v>15556.302</v>
      </c>
      <c r="EZ56" s="780" t="s">
        <v>553</v>
      </c>
      <c r="FA56" s="781" t="s">
        <v>587</v>
      </c>
      <c r="FB56" s="444">
        <v>359380</v>
      </c>
      <c r="FC56" s="450">
        <f t="shared" si="40"/>
        <v>359.38</v>
      </c>
      <c r="FG56" s="785" t="s">
        <v>554</v>
      </c>
      <c r="FH56" s="784" t="s">
        <v>482</v>
      </c>
      <c r="FI56" s="782">
        <v>15556302</v>
      </c>
      <c r="FJ56" s="783">
        <v>15556302</v>
      </c>
      <c r="FK56" s="783">
        <v>0</v>
      </c>
      <c r="FL56" s="783">
        <v>15556302</v>
      </c>
      <c r="FM56" s="450">
        <f t="shared" si="41"/>
        <v>15556.302</v>
      </c>
      <c r="FN56" s="450">
        <f t="shared" si="42"/>
        <v>15556.302</v>
      </c>
      <c r="FO56" s="450">
        <f t="shared" si="43"/>
        <v>0</v>
      </c>
      <c r="FP56" s="450">
        <f t="shared" si="44"/>
        <v>15556.302</v>
      </c>
      <c r="FT56" s="451" t="s">
        <v>355</v>
      </c>
      <c r="FU56" s="94" t="s">
        <v>379</v>
      </c>
      <c r="FV56" s="95">
        <v>103080</v>
      </c>
      <c r="FW56" s="95">
        <v>1319736</v>
      </c>
      <c r="FX56" s="95">
        <v>1319730</v>
      </c>
      <c r="FY56" s="450">
        <f t="shared" si="45"/>
        <v>103.08</v>
      </c>
      <c r="FZ56" s="450">
        <f t="shared" si="46"/>
        <v>1319.7360000000001</v>
      </c>
      <c r="GA56" s="450">
        <f t="shared" si="47"/>
        <v>1319.73</v>
      </c>
      <c r="GG56" s="817" t="s">
        <v>554</v>
      </c>
      <c r="GH56" s="818" t="s">
        <v>482</v>
      </c>
      <c r="GI56" s="819">
        <v>15556302</v>
      </c>
      <c r="GJ56" s="819">
        <v>15556302</v>
      </c>
      <c r="GK56" s="819">
        <v>0</v>
      </c>
      <c r="GL56" s="819">
        <v>15556302</v>
      </c>
      <c r="GM56" s="819">
        <v>0</v>
      </c>
      <c r="GN56" s="450">
        <f t="shared" si="48"/>
        <v>15556.302</v>
      </c>
      <c r="GO56" s="450">
        <f t="shared" si="49"/>
        <v>15556.302</v>
      </c>
      <c r="GP56" s="450">
        <f t="shared" si="50"/>
        <v>0</v>
      </c>
      <c r="GQ56" s="450">
        <f t="shared" si="51"/>
        <v>15556.302</v>
      </c>
      <c r="GR56" s="450">
        <f t="shared" si="52"/>
        <v>0</v>
      </c>
      <c r="GV56" s="841" t="s">
        <v>375</v>
      </c>
      <c r="GW56" s="840">
        <v>103677691</v>
      </c>
      <c r="GX56" s="450">
        <f t="shared" si="53"/>
        <v>103677.69100000001</v>
      </c>
      <c r="HB56" s="843" t="s">
        <v>583</v>
      </c>
      <c r="HC56" s="819">
        <v>56650600</v>
      </c>
      <c r="HD56" s="819">
        <v>54400717</v>
      </c>
      <c r="HE56" s="819">
        <v>2249883</v>
      </c>
      <c r="HF56" s="819">
        <v>54400717</v>
      </c>
      <c r="HG56" s="450">
        <f t="shared" si="54"/>
        <v>56650.6</v>
      </c>
      <c r="HH56" s="450">
        <f t="shared" si="55"/>
        <v>2249.8829999999998</v>
      </c>
      <c r="HI56" s="450">
        <f t="shared" si="56"/>
        <v>54400.716999999997</v>
      </c>
      <c r="HJ56" s="450">
        <f t="shared" si="57"/>
        <v>2249.8829999999998</v>
      </c>
      <c r="HK56" s="450">
        <f t="shared" si="58"/>
        <v>54400.716999999997</v>
      </c>
    </row>
    <row r="57" spans="1:219" ht="15" customHeight="1" x14ac:dyDescent="0.3">
      <c r="A57" s="295" t="s">
        <v>355</v>
      </c>
      <c r="B57" s="296" t="s">
        <v>375</v>
      </c>
      <c r="C57" s="297">
        <v>1202961308</v>
      </c>
      <c r="D57" s="298">
        <f t="shared" si="3"/>
        <v>1278747.8704039999</v>
      </c>
      <c r="E57" s="297">
        <v>106218395</v>
      </c>
      <c r="F57" s="297">
        <f t="shared" si="4"/>
        <v>112910.15388499999</v>
      </c>
      <c r="J57" s="299" t="s">
        <v>553</v>
      </c>
      <c r="K57" s="300" t="s">
        <v>386</v>
      </c>
      <c r="L57" s="301">
        <v>4161</v>
      </c>
      <c r="M57" s="301">
        <f t="shared" si="5"/>
        <v>4.4231429999999996</v>
      </c>
      <c r="Q57" s="299" t="s">
        <v>355</v>
      </c>
      <c r="R57" s="300" t="s">
        <v>375</v>
      </c>
      <c r="S57" s="301">
        <v>1202961308</v>
      </c>
      <c r="T57" s="301">
        <v>210216508</v>
      </c>
      <c r="U57" s="301">
        <f t="shared" si="6"/>
        <v>1278747.8704039999</v>
      </c>
      <c r="V57" s="301">
        <f t="shared" si="7"/>
        <v>223460.14800399999</v>
      </c>
      <c r="Z57" s="296" t="s">
        <v>378</v>
      </c>
      <c r="AA57" s="297">
        <v>149473491</v>
      </c>
      <c r="AB57" s="297">
        <f t="shared" si="8"/>
        <v>158890.32093300001</v>
      </c>
      <c r="AF57" s="296" t="s">
        <v>375</v>
      </c>
      <c r="AG57" s="297">
        <v>1202961308</v>
      </c>
      <c r="AH57" s="297">
        <f t="shared" si="59"/>
        <v>1278747.8704039999</v>
      </c>
      <c r="AI57" s="297">
        <v>316079480</v>
      </c>
      <c r="AL57" s="450"/>
      <c r="AN57" s="447" t="s">
        <v>449</v>
      </c>
      <c r="AO57" s="448" t="s">
        <v>378</v>
      </c>
      <c r="AP57" s="449">
        <v>217903150</v>
      </c>
      <c r="AQ57" s="449">
        <f t="shared" si="9"/>
        <v>231631.04844999997</v>
      </c>
      <c r="AU57" s="447" t="s">
        <v>355</v>
      </c>
      <c r="AV57" s="448" t="s">
        <v>375</v>
      </c>
      <c r="AW57" s="449">
        <v>1202961308</v>
      </c>
      <c r="AX57" s="449">
        <v>400838026</v>
      </c>
      <c r="AY57" s="449">
        <v>802123282</v>
      </c>
      <c r="AZ57" s="450">
        <f t="shared" si="10"/>
        <v>1278747.8704039999</v>
      </c>
      <c r="BA57" s="450">
        <f t="shared" si="11"/>
        <v>426090.82163799996</v>
      </c>
      <c r="BB57" s="450">
        <f t="shared" si="12"/>
        <v>852657.04876599996</v>
      </c>
      <c r="BF57" s="447" t="s">
        <v>553</v>
      </c>
      <c r="BG57" s="448" t="s">
        <v>385</v>
      </c>
      <c r="BH57" s="449">
        <v>626266</v>
      </c>
      <c r="BI57" s="450">
        <f t="shared" si="13"/>
        <v>626.26599999999996</v>
      </c>
      <c r="BM57" s="451" t="s">
        <v>355</v>
      </c>
      <c r="BN57" s="94" t="s">
        <v>375</v>
      </c>
      <c r="BO57" s="95">
        <v>0</v>
      </c>
      <c r="BP57" s="95">
        <v>1202961308</v>
      </c>
      <c r="BQ57" s="95">
        <v>503330029</v>
      </c>
      <c r="BR57" s="95">
        <v>699631279</v>
      </c>
      <c r="BS57" s="95">
        <v>503330029</v>
      </c>
      <c r="BT57" s="450">
        <f t="shared" si="14"/>
        <v>1202961.308</v>
      </c>
      <c r="BU57" s="450">
        <f t="shared" si="15"/>
        <v>503330.02899999998</v>
      </c>
      <c r="BV57" s="450">
        <f t="shared" si="16"/>
        <v>699631.27899999998</v>
      </c>
      <c r="BW57" s="450">
        <f t="shared" si="17"/>
        <v>503330.02899999998</v>
      </c>
      <c r="CA57" s="94" t="s">
        <v>376</v>
      </c>
      <c r="CB57" s="450">
        <v>0</v>
      </c>
      <c r="CC57" s="450">
        <f t="shared" si="18"/>
        <v>0</v>
      </c>
      <c r="CG57" s="448" t="s">
        <v>374</v>
      </c>
      <c r="CH57" s="449">
        <v>0</v>
      </c>
      <c r="CI57" s="449">
        <v>48139093</v>
      </c>
      <c r="CJ57" s="449">
        <v>-48139093</v>
      </c>
      <c r="CK57" s="449">
        <v>19700000</v>
      </c>
      <c r="CL57" s="449">
        <v>28439093</v>
      </c>
      <c r="CM57" s="449">
        <v>19700000</v>
      </c>
      <c r="CN57" s="449">
        <f t="shared" si="19"/>
        <v>48139.093000000001</v>
      </c>
      <c r="CO57" s="449">
        <f t="shared" si="20"/>
        <v>19700</v>
      </c>
      <c r="CP57" s="449">
        <f t="shared" si="21"/>
        <v>28439.093000000001</v>
      </c>
      <c r="CQ57" s="449">
        <f t="shared" si="22"/>
        <v>19700</v>
      </c>
      <c r="CU57" s="448" t="s">
        <v>588</v>
      </c>
      <c r="CV57" s="449">
        <v>0</v>
      </c>
      <c r="CW57" s="449">
        <v>0</v>
      </c>
      <c r="CX57" s="450">
        <f t="shared" si="23"/>
        <v>0</v>
      </c>
      <c r="CY57" s="450">
        <f t="shared" si="24"/>
        <v>0</v>
      </c>
      <c r="DB57" s="602" t="s">
        <v>374</v>
      </c>
      <c r="DC57" s="603">
        <v>48139093</v>
      </c>
      <c r="DD57" s="603">
        <v>19700000</v>
      </c>
      <c r="DE57" s="603">
        <v>28439093</v>
      </c>
      <c r="DF57" s="603">
        <v>19700000</v>
      </c>
      <c r="DG57" s="604">
        <f t="shared" si="25"/>
        <v>48139.093000000001</v>
      </c>
      <c r="DH57" s="604">
        <f t="shared" si="26"/>
        <v>19700</v>
      </c>
      <c r="DI57" s="604">
        <f t="shared" si="27"/>
        <v>28439.093000000001</v>
      </c>
      <c r="DJ57" s="604">
        <f t="shared" si="28"/>
        <v>19700</v>
      </c>
      <c r="DN57" s="94" t="s">
        <v>591</v>
      </c>
      <c r="DO57" s="94">
        <v>10990</v>
      </c>
      <c r="DP57" s="94">
        <v>23960</v>
      </c>
      <c r="DQ57" s="666">
        <f t="shared" si="29"/>
        <v>10.99</v>
      </c>
      <c r="DR57" s="666">
        <f t="shared" si="30"/>
        <v>23.96</v>
      </c>
      <c r="DV57" s="94" t="s">
        <v>374</v>
      </c>
      <c r="DW57" s="95">
        <v>48139093</v>
      </c>
      <c r="DX57" s="95">
        <v>19700000</v>
      </c>
      <c r="DY57" s="95">
        <v>28439093</v>
      </c>
      <c r="DZ57" s="95">
        <v>19700000</v>
      </c>
      <c r="EA57" s="95">
        <f t="shared" si="31"/>
        <v>48139.093000000001</v>
      </c>
      <c r="EB57" s="95">
        <f t="shared" si="32"/>
        <v>19700</v>
      </c>
      <c r="EC57" s="95">
        <f t="shared" si="33"/>
        <v>28439.093000000001</v>
      </c>
      <c r="ED57" s="95">
        <f t="shared" si="34"/>
        <v>19700</v>
      </c>
      <c r="EH57" s="444" t="s">
        <v>588</v>
      </c>
      <c r="EI57" s="444">
        <v>0</v>
      </c>
      <c r="EJ57" s="450">
        <f t="shared" si="35"/>
        <v>0</v>
      </c>
      <c r="EN57" s="444" t="s">
        <v>374</v>
      </c>
      <c r="EO57" s="450">
        <v>48139093</v>
      </c>
      <c r="EP57" s="450">
        <v>19700000</v>
      </c>
      <c r="EQ57" s="450">
        <v>28439093</v>
      </c>
      <c r="ER57" s="450">
        <v>19700000</v>
      </c>
      <c r="ES57" s="746">
        <f t="shared" si="36"/>
        <v>48139.093000000001</v>
      </c>
      <c r="ET57" s="746">
        <f t="shared" si="37"/>
        <v>19700</v>
      </c>
      <c r="EU57" s="746">
        <f t="shared" si="38"/>
        <v>28439.093000000001</v>
      </c>
      <c r="EV57" s="746">
        <f t="shared" si="39"/>
        <v>19700</v>
      </c>
      <c r="EZ57" s="780" t="s">
        <v>355</v>
      </c>
      <c r="FA57" s="781" t="s">
        <v>381</v>
      </c>
      <c r="FB57" s="444">
        <v>4119988</v>
      </c>
      <c r="FC57" s="450">
        <f t="shared" si="40"/>
        <v>4119.9880000000003</v>
      </c>
      <c r="FG57" s="785" t="s">
        <v>554</v>
      </c>
      <c r="FH57" s="784" t="s">
        <v>374</v>
      </c>
      <c r="FI57" s="782">
        <v>48139093</v>
      </c>
      <c r="FJ57" s="783">
        <v>19700000</v>
      </c>
      <c r="FK57" s="783">
        <v>28439093</v>
      </c>
      <c r="FL57" s="783">
        <v>19700000</v>
      </c>
      <c r="FM57" s="450">
        <f t="shared" si="41"/>
        <v>48139.093000000001</v>
      </c>
      <c r="FN57" s="450">
        <f t="shared" si="42"/>
        <v>19700</v>
      </c>
      <c r="FO57" s="450">
        <f t="shared" si="43"/>
        <v>28439.093000000001</v>
      </c>
      <c r="FP57" s="450">
        <f t="shared" si="44"/>
        <v>19700</v>
      </c>
      <c r="FT57" s="451" t="s">
        <v>553</v>
      </c>
      <c r="FU57" s="94" t="s">
        <v>587</v>
      </c>
      <c r="FV57" s="95">
        <v>0</v>
      </c>
      <c r="FW57" s="95">
        <v>0</v>
      </c>
      <c r="FX57" s="95">
        <v>0</v>
      </c>
      <c r="FY57" s="450">
        <f t="shared" si="45"/>
        <v>0</v>
      </c>
      <c r="FZ57" s="450">
        <f t="shared" si="46"/>
        <v>0</v>
      </c>
      <c r="GA57" s="450">
        <f t="shared" si="47"/>
        <v>0</v>
      </c>
      <c r="GG57" s="817" t="s">
        <v>554</v>
      </c>
      <c r="GH57" s="818" t="s">
        <v>374</v>
      </c>
      <c r="GI57" s="819">
        <v>48139093</v>
      </c>
      <c r="GJ57" s="819">
        <v>19700000</v>
      </c>
      <c r="GK57" s="819">
        <v>28439093</v>
      </c>
      <c r="GL57" s="819">
        <v>19700000</v>
      </c>
      <c r="GM57" s="819">
        <v>0</v>
      </c>
      <c r="GN57" s="450">
        <f t="shared" si="48"/>
        <v>48139.093000000001</v>
      </c>
      <c r="GO57" s="450">
        <f t="shared" si="49"/>
        <v>19700</v>
      </c>
      <c r="GP57" s="450">
        <f t="shared" si="50"/>
        <v>28439.093000000001</v>
      </c>
      <c r="GQ57" s="450">
        <f t="shared" si="51"/>
        <v>19700</v>
      </c>
      <c r="GR57" s="450">
        <f t="shared" si="52"/>
        <v>0</v>
      </c>
      <c r="GV57" s="841" t="s">
        <v>584</v>
      </c>
      <c r="GW57" s="840">
        <v>98881233</v>
      </c>
      <c r="GX57" s="450">
        <f t="shared" si="53"/>
        <v>98881.232999999993</v>
      </c>
      <c r="HB57" s="843" t="s">
        <v>624</v>
      </c>
      <c r="HC57" s="819">
        <v>95087000</v>
      </c>
      <c r="HD57" s="819">
        <v>92411445</v>
      </c>
      <c r="HE57" s="819">
        <v>2675555</v>
      </c>
      <c r="HF57" s="819">
        <v>92411445</v>
      </c>
      <c r="HG57" s="450">
        <f t="shared" si="54"/>
        <v>95087</v>
      </c>
      <c r="HH57" s="450">
        <f t="shared" si="55"/>
        <v>2675.5549999999998</v>
      </c>
      <c r="HI57" s="450">
        <f t="shared" si="56"/>
        <v>92411.445000000007</v>
      </c>
      <c r="HJ57" s="450">
        <f t="shared" si="57"/>
        <v>2675.5549999999998</v>
      </c>
      <c r="HK57" s="450">
        <f t="shared" si="58"/>
        <v>92411.445000000007</v>
      </c>
    </row>
    <row r="58" spans="1:219" ht="15" customHeight="1" x14ac:dyDescent="0.3">
      <c r="A58" s="295" t="s">
        <v>553</v>
      </c>
      <c r="B58" s="296" t="s">
        <v>584</v>
      </c>
      <c r="C58" s="297">
        <v>1170434000</v>
      </c>
      <c r="D58" s="298">
        <f t="shared" si="3"/>
        <v>1244171.3419999999</v>
      </c>
      <c r="E58" s="297">
        <v>102151378</v>
      </c>
      <c r="F58" s="297">
        <f t="shared" si="4"/>
        <v>108586.91481399999</v>
      </c>
      <c r="J58" s="299" t="s">
        <v>355</v>
      </c>
      <c r="K58" s="300" t="s">
        <v>387</v>
      </c>
      <c r="L58" s="301">
        <v>10847273</v>
      </c>
      <c r="M58" s="301">
        <f t="shared" si="5"/>
        <v>11530.651198999998</v>
      </c>
      <c r="Q58" s="299" t="s">
        <v>553</v>
      </c>
      <c r="R58" s="300" t="s">
        <v>584</v>
      </c>
      <c r="S58" s="301">
        <v>1170434000</v>
      </c>
      <c r="T58" s="301">
        <v>202949354</v>
      </c>
      <c r="U58" s="301">
        <f t="shared" si="6"/>
        <v>1244171.3419999999</v>
      </c>
      <c r="V58" s="301">
        <f t="shared" si="7"/>
        <v>215735.16330199997</v>
      </c>
      <c r="Z58" s="296" t="s">
        <v>381</v>
      </c>
      <c r="AA58" s="297">
        <v>3896443</v>
      </c>
      <c r="AB58" s="297">
        <f t="shared" si="8"/>
        <v>4141.918909</v>
      </c>
      <c r="AF58" s="296" t="s">
        <v>584</v>
      </c>
      <c r="AG58" s="297">
        <v>1170434000</v>
      </c>
      <c r="AH58" s="297">
        <f t="shared" si="59"/>
        <v>1244171.3419999999</v>
      </c>
      <c r="AI58" s="297">
        <v>304140556</v>
      </c>
      <c r="AL58" s="450"/>
      <c r="AN58" s="447" t="s">
        <v>355</v>
      </c>
      <c r="AO58" s="448" t="s">
        <v>379</v>
      </c>
      <c r="AP58" s="449">
        <v>0</v>
      </c>
      <c r="AQ58" s="449">
        <f t="shared" si="9"/>
        <v>0</v>
      </c>
      <c r="AU58" s="447" t="s">
        <v>553</v>
      </c>
      <c r="AV58" s="448" t="s">
        <v>584</v>
      </c>
      <c r="AW58" s="449">
        <v>1170434000</v>
      </c>
      <c r="AX58" s="449">
        <v>388899102</v>
      </c>
      <c r="AY58" s="449">
        <v>781534898</v>
      </c>
      <c r="AZ58" s="450">
        <f t="shared" si="10"/>
        <v>1244171.3419999999</v>
      </c>
      <c r="BA58" s="450">
        <f t="shared" si="11"/>
        <v>413399.74542599998</v>
      </c>
      <c r="BB58" s="450">
        <f t="shared" si="12"/>
        <v>830771.59657399997</v>
      </c>
      <c r="BF58" s="447" t="s">
        <v>553</v>
      </c>
      <c r="BG58" s="448" t="s">
        <v>386</v>
      </c>
      <c r="BH58" s="449">
        <v>13690</v>
      </c>
      <c r="BI58" s="450">
        <f t="shared" si="13"/>
        <v>13.69</v>
      </c>
      <c r="BM58" s="451" t="s">
        <v>553</v>
      </c>
      <c r="BN58" s="94" t="s">
        <v>584</v>
      </c>
      <c r="BO58" s="95">
        <v>0</v>
      </c>
      <c r="BP58" s="95">
        <v>1170434000</v>
      </c>
      <c r="BQ58" s="95">
        <v>491391105</v>
      </c>
      <c r="BR58" s="95">
        <v>679042895</v>
      </c>
      <c r="BS58" s="95">
        <v>491391105</v>
      </c>
      <c r="BT58" s="450">
        <f t="shared" si="14"/>
        <v>1170434</v>
      </c>
      <c r="BU58" s="450">
        <f t="shared" si="15"/>
        <v>491391.10499999998</v>
      </c>
      <c r="BV58" s="450">
        <f t="shared" si="16"/>
        <v>679042.89500000002</v>
      </c>
      <c r="BW58" s="450">
        <f t="shared" si="17"/>
        <v>491391.10499999998</v>
      </c>
      <c r="CA58" s="94" t="s">
        <v>378</v>
      </c>
      <c r="CB58" s="450">
        <v>162206433</v>
      </c>
      <c r="CC58" s="450">
        <f t="shared" si="18"/>
        <v>162206.43299999999</v>
      </c>
      <c r="CG58" s="448" t="s">
        <v>375</v>
      </c>
      <c r="CH58" s="449">
        <v>0</v>
      </c>
      <c r="CI58" s="449">
        <v>1202961308</v>
      </c>
      <c r="CJ58" s="449">
        <v>-1202961308</v>
      </c>
      <c r="CK58" s="449">
        <v>591378181</v>
      </c>
      <c r="CL58" s="449">
        <v>611583127</v>
      </c>
      <c r="CM58" s="449">
        <v>591378181</v>
      </c>
      <c r="CN58" s="449">
        <f t="shared" si="19"/>
        <v>1202961.308</v>
      </c>
      <c r="CO58" s="449">
        <f t="shared" si="20"/>
        <v>591378.18099999998</v>
      </c>
      <c r="CP58" s="449">
        <f t="shared" si="21"/>
        <v>611583.12699999998</v>
      </c>
      <c r="CQ58" s="449">
        <f t="shared" si="22"/>
        <v>591378.18099999998</v>
      </c>
      <c r="CU58" s="448" t="s">
        <v>380</v>
      </c>
      <c r="CV58" s="449">
        <v>0</v>
      </c>
      <c r="CW58" s="449">
        <v>0</v>
      </c>
      <c r="CX58" s="450">
        <f t="shared" si="23"/>
        <v>0</v>
      </c>
      <c r="CY58" s="450">
        <f t="shared" si="24"/>
        <v>0</v>
      </c>
      <c r="DB58" s="602" t="s">
        <v>375</v>
      </c>
      <c r="DC58" s="603">
        <v>1202961308</v>
      </c>
      <c r="DD58" s="603">
        <v>672682319</v>
      </c>
      <c r="DE58" s="603">
        <v>530278989</v>
      </c>
      <c r="DF58" s="603">
        <v>672682319</v>
      </c>
      <c r="DG58" s="604">
        <f t="shared" si="25"/>
        <v>1202961.308</v>
      </c>
      <c r="DH58" s="604">
        <f t="shared" si="26"/>
        <v>672682.31900000002</v>
      </c>
      <c r="DI58" s="604">
        <f t="shared" si="27"/>
        <v>530278.98899999994</v>
      </c>
      <c r="DJ58" s="604">
        <f t="shared" si="28"/>
        <v>672682.31900000002</v>
      </c>
      <c r="DN58" s="94" t="s">
        <v>592</v>
      </c>
      <c r="DO58" s="94">
        <v>0</v>
      </c>
      <c r="DP58" s="94">
        <v>0</v>
      </c>
      <c r="DQ58" s="666">
        <f t="shared" si="29"/>
        <v>0</v>
      </c>
      <c r="DR58" s="666">
        <f t="shared" si="30"/>
        <v>0</v>
      </c>
      <c r="DV58" s="94" t="s">
        <v>375</v>
      </c>
      <c r="DW58" s="95">
        <v>1202961308</v>
      </c>
      <c r="DX58" s="95">
        <v>749468223</v>
      </c>
      <c r="DY58" s="95">
        <v>453493085</v>
      </c>
      <c r="DZ58" s="95">
        <v>749468223</v>
      </c>
      <c r="EA58" s="95">
        <f t="shared" si="31"/>
        <v>1202961.308</v>
      </c>
      <c r="EB58" s="95">
        <f t="shared" si="32"/>
        <v>749468.223</v>
      </c>
      <c r="EC58" s="95">
        <f t="shared" si="33"/>
        <v>453493.08500000002</v>
      </c>
      <c r="ED58" s="95">
        <f t="shared" si="34"/>
        <v>749468.223</v>
      </c>
      <c r="EH58" s="444" t="s">
        <v>502</v>
      </c>
      <c r="EI58" s="444">
        <v>30000000</v>
      </c>
      <c r="EJ58" s="450">
        <f t="shared" si="35"/>
        <v>30000</v>
      </c>
      <c r="EN58" s="444" t="s">
        <v>375</v>
      </c>
      <c r="EO58" s="450">
        <v>1202961308</v>
      </c>
      <c r="EP58" s="450">
        <v>843025962</v>
      </c>
      <c r="EQ58" s="450">
        <v>359935346</v>
      </c>
      <c r="ER58" s="450">
        <v>843025962</v>
      </c>
      <c r="ES58" s="746">
        <f t="shared" si="36"/>
        <v>1202961.308</v>
      </c>
      <c r="ET58" s="746">
        <f t="shared" si="37"/>
        <v>843025.96200000006</v>
      </c>
      <c r="EU58" s="746">
        <f t="shared" si="38"/>
        <v>359935.34600000002</v>
      </c>
      <c r="EV58" s="746">
        <f t="shared" si="39"/>
        <v>843025.96200000006</v>
      </c>
      <c r="EZ58" s="780" t="s">
        <v>553</v>
      </c>
      <c r="FA58" s="781" t="s">
        <v>382</v>
      </c>
      <c r="FB58" s="444">
        <v>249543</v>
      </c>
      <c r="FC58" s="450">
        <f t="shared" si="40"/>
        <v>249.54300000000001</v>
      </c>
      <c r="FG58" s="785" t="s">
        <v>355</v>
      </c>
      <c r="FH58" s="784" t="s">
        <v>375</v>
      </c>
      <c r="FI58" s="782">
        <v>1202961308</v>
      </c>
      <c r="FJ58" s="783">
        <v>939183759</v>
      </c>
      <c r="FK58" s="783">
        <v>263777549</v>
      </c>
      <c r="FL58" s="783">
        <v>939183759</v>
      </c>
      <c r="FM58" s="450">
        <f t="shared" si="41"/>
        <v>1202961.308</v>
      </c>
      <c r="FN58" s="450">
        <f t="shared" si="42"/>
        <v>939183.75899999996</v>
      </c>
      <c r="FO58" s="450">
        <f t="shared" si="43"/>
        <v>263777.549</v>
      </c>
      <c r="FP58" s="450">
        <f t="shared" si="44"/>
        <v>939183.75899999996</v>
      </c>
      <c r="FT58" s="451" t="s">
        <v>553</v>
      </c>
      <c r="FU58" s="94" t="s">
        <v>588</v>
      </c>
      <c r="FV58" s="95">
        <v>-1216656</v>
      </c>
      <c r="FW58" s="95">
        <v>0</v>
      </c>
      <c r="FX58" s="95">
        <v>0</v>
      </c>
      <c r="FY58" s="450">
        <f t="shared" si="45"/>
        <v>-1216.6559999999999</v>
      </c>
      <c r="FZ58" s="450">
        <f t="shared" si="46"/>
        <v>0</v>
      </c>
      <c r="GA58" s="450">
        <f t="shared" si="47"/>
        <v>0</v>
      </c>
      <c r="GG58" s="817" t="s">
        <v>355</v>
      </c>
      <c r="GH58" s="818" t="s">
        <v>375</v>
      </c>
      <c r="GI58" s="819">
        <v>1222020308</v>
      </c>
      <c r="GJ58" s="819">
        <v>1030495484</v>
      </c>
      <c r="GK58" s="819">
        <v>191524824</v>
      </c>
      <c r="GL58" s="819">
        <v>1030495484</v>
      </c>
      <c r="GM58" s="819">
        <v>0</v>
      </c>
      <c r="GN58" s="450">
        <f t="shared" si="48"/>
        <v>1222020.308</v>
      </c>
      <c r="GO58" s="450">
        <f t="shared" si="49"/>
        <v>1030495.4840000001</v>
      </c>
      <c r="GP58" s="450">
        <f t="shared" si="50"/>
        <v>191524.82399999999</v>
      </c>
      <c r="GQ58" s="450">
        <f t="shared" si="51"/>
        <v>1030495.4840000001</v>
      </c>
      <c r="GR58" s="450">
        <f t="shared" si="52"/>
        <v>0</v>
      </c>
      <c r="GV58" s="841" t="s">
        <v>585</v>
      </c>
      <c r="GW58" s="840">
        <v>97442442</v>
      </c>
      <c r="GX58" s="450">
        <f t="shared" si="53"/>
        <v>97442.441999999995</v>
      </c>
      <c r="HB58" s="843" t="s">
        <v>372</v>
      </c>
      <c r="HC58" s="819">
        <v>142097157</v>
      </c>
      <c r="HD58" s="819">
        <v>135925287</v>
      </c>
      <c r="HE58" s="819">
        <v>6171870</v>
      </c>
      <c r="HF58" s="819">
        <v>135925287</v>
      </c>
      <c r="HG58" s="450">
        <f t="shared" si="54"/>
        <v>142097.15700000001</v>
      </c>
      <c r="HH58" s="450">
        <f t="shared" si="55"/>
        <v>6171.87</v>
      </c>
      <c r="HI58" s="450">
        <f t="shared" si="56"/>
        <v>135925.28700000001</v>
      </c>
      <c r="HJ58" s="450">
        <f t="shared" si="57"/>
        <v>6171.87</v>
      </c>
      <c r="HK58" s="450">
        <f t="shared" si="58"/>
        <v>135925.28700000001</v>
      </c>
    </row>
    <row r="59" spans="1:219" ht="15" customHeight="1" x14ac:dyDescent="0.3">
      <c r="A59" s="295" t="s">
        <v>554</v>
      </c>
      <c r="B59" s="296" t="s">
        <v>585</v>
      </c>
      <c r="C59" s="297">
        <v>1167904000</v>
      </c>
      <c r="D59" s="298">
        <f t="shared" si="3"/>
        <v>1241481.952</v>
      </c>
      <c r="E59" s="297">
        <v>101654445</v>
      </c>
      <c r="F59" s="297">
        <f t="shared" si="4"/>
        <v>108058.67503500001</v>
      </c>
      <c r="J59" s="299" t="s">
        <v>553</v>
      </c>
      <c r="K59" s="300" t="s">
        <v>388</v>
      </c>
      <c r="L59" s="301">
        <v>386100</v>
      </c>
      <c r="M59" s="301">
        <f t="shared" si="5"/>
        <v>410.42430000000002</v>
      </c>
      <c r="Q59" s="299" t="s">
        <v>554</v>
      </c>
      <c r="R59" s="300" t="s">
        <v>585</v>
      </c>
      <c r="S59" s="301">
        <v>1167904000</v>
      </c>
      <c r="T59" s="301">
        <v>202431459</v>
      </c>
      <c r="U59" s="301">
        <f t="shared" si="6"/>
        <v>1241481.952</v>
      </c>
      <c r="V59" s="301">
        <f t="shared" si="7"/>
        <v>215184.64091699998</v>
      </c>
      <c r="Z59" s="296" t="s">
        <v>382</v>
      </c>
      <c r="AA59" s="297">
        <v>236560</v>
      </c>
      <c r="AB59" s="297">
        <f t="shared" si="8"/>
        <v>251.46328</v>
      </c>
      <c r="AF59" s="296" t="s">
        <v>585</v>
      </c>
      <c r="AG59" s="297">
        <v>1168204000</v>
      </c>
      <c r="AH59" s="297">
        <f t="shared" si="59"/>
        <v>1241800.852</v>
      </c>
      <c r="AI59" s="297">
        <v>303577163</v>
      </c>
      <c r="AL59" s="450"/>
      <c r="AN59" s="447" t="s">
        <v>553</v>
      </c>
      <c r="AO59" s="448" t="s">
        <v>588</v>
      </c>
      <c r="AP59" s="449">
        <v>0</v>
      </c>
      <c r="AQ59" s="449">
        <f t="shared" si="9"/>
        <v>0</v>
      </c>
      <c r="AU59" s="447" t="s">
        <v>554</v>
      </c>
      <c r="AV59" s="448" t="s">
        <v>585</v>
      </c>
      <c r="AW59" s="449">
        <v>1165434000</v>
      </c>
      <c r="AX59" s="449">
        <v>387536109</v>
      </c>
      <c r="AY59" s="449">
        <v>777897891</v>
      </c>
      <c r="AZ59" s="450">
        <f t="shared" si="10"/>
        <v>1238856.3419999999</v>
      </c>
      <c r="BA59" s="450">
        <f t="shared" si="11"/>
        <v>411950.883867</v>
      </c>
      <c r="BB59" s="450">
        <f t="shared" si="12"/>
        <v>826905.45813299995</v>
      </c>
      <c r="BF59" s="447" t="s">
        <v>355</v>
      </c>
      <c r="BG59" s="448" t="s">
        <v>387</v>
      </c>
      <c r="BH59" s="449">
        <v>11031621</v>
      </c>
      <c r="BI59" s="450">
        <f t="shared" si="13"/>
        <v>11031.620999999999</v>
      </c>
      <c r="BM59" s="451" t="s">
        <v>554</v>
      </c>
      <c r="BN59" s="94" t="s">
        <v>585</v>
      </c>
      <c r="BO59" s="95">
        <v>0</v>
      </c>
      <c r="BP59" s="95">
        <v>1164820000</v>
      </c>
      <c r="BQ59" s="95">
        <v>488496291</v>
      </c>
      <c r="BR59" s="95">
        <v>676323709</v>
      </c>
      <c r="BS59" s="95">
        <v>488496291</v>
      </c>
      <c r="BT59" s="450">
        <f t="shared" si="14"/>
        <v>1164820</v>
      </c>
      <c r="BU59" s="450">
        <f t="shared" si="15"/>
        <v>488496.29100000003</v>
      </c>
      <c r="BV59" s="450">
        <f t="shared" si="16"/>
        <v>676323.70900000003</v>
      </c>
      <c r="BW59" s="450">
        <f t="shared" si="17"/>
        <v>488496.29100000003</v>
      </c>
      <c r="CA59" s="94" t="s">
        <v>379</v>
      </c>
      <c r="CB59" s="450">
        <v>8504892</v>
      </c>
      <c r="CC59" s="450">
        <f t="shared" si="18"/>
        <v>8504.8919999999998</v>
      </c>
      <c r="CG59" s="448" t="s">
        <v>584</v>
      </c>
      <c r="CH59" s="449">
        <v>0</v>
      </c>
      <c r="CI59" s="449">
        <v>1170434000</v>
      </c>
      <c r="CJ59" s="449">
        <v>-1170434000</v>
      </c>
      <c r="CK59" s="449">
        <v>579439257</v>
      </c>
      <c r="CL59" s="449">
        <v>590994743</v>
      </c>
      <c r="CM59" s="449">
        <v>579439257</v>
      </c>
      <c r="CN59" s="449">
        <f t="shared" si="19"/>
        <v>1170434</v>
      </c>
      <c r="CO59" s="449">
        <f t="shared" si="20"/>
        <v>579439.25699999998</v>
      </c>
      <c r="CP59" s="449">
        <f t="shared" si="21"/>
        <v>590994.74300000002</v>
      </c>
      <c r="CQ59" s="449">
        <f t="shared" si="22"/>
        <v>579439.25699999998</v>
      </c>
      <c r="CU59" s="448" t="s">
        <v>381</v>
      </c>
      <c r="CV59" s="449">
        <v>12512160</v>
      </c>
      <c r="CW59" s="449">
        <v>1318523</v>
      </c>
      <c r="CX59" s="450">
        <f t="shared" si="23"/>
        <v>12512.16</v>
      </c>
      <c r="CY59" s="450">
        <f t="shared" si="24"/>
        <v>1318.5229999999999</v>
      </c>
      <c r="DB59" s="602" t="s">
        <v>584</v>
      </c>
      <c r="DC59" s="603">
        <v>1170434000</v>
      </c>
      <c r="DD59" s="603">
        <v>660743395</v>
      </c>
      <c r="DE59" s="603">
        <v>509690605</v>
      </c>
      <c r="DF59" s="603">
        <v>660743395</v>
      </c>
      <c r="DG59" s="604">
        <f t="shared" si="25"/>
        <v>1170434</v>
      </c>
      <c r="DH59" s="604">
        <f t="shared" si="26"/>
        <v>660743.39500000002</v>
      </c>
      <c r="DI59" s="604">
        <f t="shared" si="27"/>
        <v>509690.60499999998</v>
      </c>
      <c r="DJ59" s="604">
        <f t="shared" si="28"/>
        <v>660743.39500000002</v>
      </c>
      <c r="DN59" s="94" t="s">
        <v>593</v>
      </c>
      <c r="DO59" s="94">
        <v>0</v>
      </c>
      <c r="DP59" s="94">
        <v>0</v>
      </c>
      <c r="DQ59" s="666">
        <f t="shared" si="29"/>
        <v>0</v>
      </c>
      <c r="DR59" s="666">
        <f t="shared" si="30"/>
        <v>0</v>
      </c>
      <c r="DV59" s="94" t="s">
        <v>584</v>
      </c>
      <c r="DW59" s="95">
        <v>1169858000</v>
      </c>
      <c r="DX59" s="95">
        <v>737529299</v>
      </c>
      <c r="DY59" s="95">
        <v>432328701</v>
      </c>
      <c r="DZ59" s="95">
        <v>737529299</v>
      </c>
      <c r="EA59" s="95">
        <f t="shared" si="31"/>
        <v>1169858</v>
      </c>
      <c r="EB59" s="95">
        <f t="shared" si="32"/>
        <v>737529.299</v>
      </c>
      <c r="EC59" s="95">
        <f t="shared" si="33"/>
        <v>432328.701</v>
      </c>
      <c r="ED59" s="95">
        <f t="shared" si="34"/>
        <v>737529.299</v>
      </c>
      <c r="EH59" s="444" t="s">
        <v>503</v>
      </c>
      <c r="EI59" s="444">
        <v>30000000</v>
      </c>
      <c r="EJ59" s="450">
        <f t="shared" si="35"/>
        <v>30000</v>
      </c>
      <c r="EN59" s="444" t="s">
        <v>584</v>
      </c>
      <c r="EO59" s="450">
        <v>1169858000</v>
      </c>
      <c r="EP59" s="450">
        <v>826300780</v>
      </c>
      <c r="EQ59" s="450">
        <v>343557220</v>
      </c>
      <c r="ER59" s="450">
        <v>826300780</v>
      </c>
      <c r="ES59" s="746">
        <f t="shared" si="36"/>
        <v>1169858</v>
      </c>
      <c r="ET59" s="746">
        <f t="shared" si="37"/>
        <v>826300.78</v>
      </c>
      <c r="EU59" s="746">
        <f t="shared" si="38"/>
        <v>343557.22</v>
      </c>
      <c r="EV59" s="746">
        <f t="shared" si="39"/>
        <v>826300.78</v>
      </c>
      <c r="EZ59" s="780" t="s">
        <v>553</v>
      </c>
      <c r="FA59" s="781" t="s">
        <v>882</v>
      </c>
      <c r="FB59" s="444">
        <v>0</v>
      </c>
      <c r="FC59" s="450">
        <f t="shared" si="40"/>
        <v>0</v>
      </c>
      <c r="FG59" s="785" t="s">
        <v>553</v>
      </c>
      <c r="FH59" s="784" t="s">
        <v>584</v>
      </c>
      <c r="FI59" s="782">
        <v>1169858000</v>
      </c>
      <c r="FJ59" s="783">
        <v>919456795</v>
      </c>
      <c r="FK59" s="783">
        <v>250401205</v>
      </c>
      <c r="FL59" s="783">
        <v>919456795</v>
      </c>
      <c r="FM59" s="450">
        <f t="shared" si="41"/>
        <v>1169858</v>
      </c>
      <c r="FN59" s="450">
        <f t="shared" si="42"/>
        <v>919456.79500000004</v>
      </c>
      <c r="FO59" s="450">
        <f t="shared" si="43"/>
        <v>250401.20499999999</v>
      </c>
      <c r="FP59" s="450">
        <f t="shared" si="44"/>
        <v>919456.79500000004</v>
      </c>
      <c r="FT59" s="451" t="s">
        <v>553</v>
      </c>
      <c r="FU59" s="94" t="s">
        <v>380</v>
      </c>
      <c r="FV59" s="95">
        <v>1319736</v>
      </c>
      <c r="FW59" s="95">
        <v>1319736</v>
      </c>
      <c r="FX59" s="95">
        <v>1319730</v>
      </c>
      <c r="FY59" s="450">
        <f t="shared" si="45"/>
        <v>1319.7360000000001</v>
      </c>
      <c r="FZ59" s="450">
        <f t="shared" si="46"/>
        <v>1319.7360000000001</v>
      </c>
      <c r="GA59" s="450">
        <f t="shared" si="47"/>
        <v>1319.73</v>
      </c>
      <c r="GG59" s="817" t="s">
        <v>553</v>
      </c>
      <c r="GH59" s="818" t="s">
        <v>584</v>
      </c>
      <c r="GI59" s="819">
        <v>1188917000</v>
      </c>
      <c r="GJ59" s="819">
        <v>1008484489</v>
      </c>
      <c r="GK59" s="819">
        <v>180432511</v>
      </c>
      <c r="GL59" s="819">
        <v>1008484489</v>
      </c>
      <c r="GM59" s="819">
        <v>0</v>
      </c>
      <c r="GN59" s="450">
        <f t="shared" si="48"/>
        <v>1188917</v>
      </c>
      <c r="GO59" s="450">
        <f t="shared" si="49"/>
        <v>1008484.4889999999</v>
      </c>
      <c r="GP59" s="450">
        <f t="shared" si="50"/>
        <v>180432.511</v>
      </c>
      <c r="GQ59" s="450">
        <f t="shared" si="51"/>
        <v>1008484.4889999999</v>
      </c>
      <c r="GR59" s="450">
        <f t="shared" si="52"/>
        <v>0</v>
      </c>
      <c r="GV59" s="841" t="s">
        <v>586</v>
      </c>
      <c r="GW59" s="840">
        <v>1438791</v>
      </c>
      <c r="GX59" s="450">
        <f t="shared" si="53"/>
        <v>1438.7909999999999</v>
      </c>
      <c r="HB59" s="843" t="s">
        <v>373</v>
      </c>
      <c r="HC59" s="819">
        <v>41401762</v>
      </c>
      <c r="HD59" s="819">
        <v>35558985</v>
      </c>
      <c r="HE59" s="819">
        <v>5842777</v>
      </c>
      <c r="HF59" s="819">
        <v>35558985</v>
      </c>
      <c r="HG59" s="450">
        <f t="shared" si="54"/>
        <v>41401.762000000002</v>
      </c>
      <c r="HH59" s="450">
        <f t="shared" si="55"/>
        <v>5842.777</v>
      </c>
      <c r="HI59" s="450">
        <f t="shared" si="56"/>
        <v>35558.985000000001</v>
      </c>
      <c r="HJ59" s="450">
        <f t="shared" si="57"/>
        <v>5842.777</v>
      </c>
      <c r="HK59" s="450">
        <f t="shared" si="58"/>
        <v>35558.985000000001</v>
      </c>
    </row>
    <row r="60" spans="1:219" ht="15" customHeight="1" x14ac:dyDescent="0.3">
      <c r="A60" s="295" t="s">
        <v>554</v>
      </c>
      <c r="B60" s="296" t="s">
        <v>586</v>
      </c>
      <c r="C60" s="297">
        <v>2530000</v>
      </c>
      <c r="D60" s="298">
        <f t="shared" si="3"/>
        <v>2689.39</v>
      </c>
      <c r="E60" s="297">
        <v>496933</v>
      </c>
      <c r="F60" s="297">
        <f t="shared" si="4"/>
        <v>528.239779</v>
      </c>
      <c r="J60" s="299" t="s">
        <v>553</v>
      </c>
      <c r="K60" s="300" t="s">
        <v>389</v>
      </c>
      <c r="L60" s="301">
        <v>570228</v>
      </c>
      <c r="M60" s="301">
        <f t="shared" si="5"/>
        <v>606.15236399999992</v>
      </c>
      <c r="Q60" s="299" t="s">
        <v>554</v>
      </c>
      <c r="R60" s="300" t="s">
        <v>586</v>
      </c>
      <c r="S60" s="301">
        <v>2530000</v>
      </c>
      <c r="T60" s="301">
        <v>517895</v>
      </c>
      <c r="U60" s="301">
        <f t="shared" si="6"/>
        <v>2689.39</v>
      </c>
      <c r="V60" s="301">
        <f t="shared" si="7"/>
        <v>550.52238499999999</v>
      </c>
      <c r="Z60" s="296" t="s">
        <v>383</v>
      </c>
      <c r="AA60" s="297">
        <v>0</v>
      </c>
      <c r="AB60" s="297">
        <f t="shared" si="8"/>
        <v>0</v>
      </c>
      <c r="AF60" s="296" t="s">
        <v>586</v>
      </c>
      <c r="AG60" s="297">
        <v>2230000</v>
      </c>
      <c r="AH60" s="297">
        <f t="shared" si="59"/>
        <v>2370.4899999999998</v>
      </c>
      <c r="AI60" s="297">
        <v>563393</v>
      </c>
      <c r="AL60" s="450"/>
      <c r="AN60" s="447" t="s">
        <v>355</v>
      </c>
      <c r="AO60" s="448" t="s">
        <v>381</v>
      </c>
      <c r="AP60" s="449">
        <v>5876643</v>
      </c>
      <c r="AQ60" s="449">
        <f t="shared" si="9"/>
        <v>6246.8715089999996</v>
      </c>
      <c r="AU60" s="447" t="s">
        <v>554</v>
      </c>
      <c r="AV60" s="448" t="s">
        <v>586</v>
      </c>
      <c r="AW60" s="449">
        <v>5000000</v>
      </c>
      <c r="AX60" s="449">
        <v>1362993</v>
      </c>
      <c r="AY60" s="449">
        <v>3637007</v>
      </c>
      <c r="AZ60" s="450">
        <f t="shared" si="10"/>
        <v>5315</v>
      </c>
      <c r="BA60" s="450">
        <f t="shared" si="11"/>
        <v>1448.8615589999999</v>
      </c>
      <c r="BB60" s="450">
        <f t="shared" si="12"/>
        <v>3866.1384410000001</v>
      </c>
      <c r="BF60" s="447" t="s">
        <v>553</v>
      </c>
      <c r="BG60" s="448" t="s">
        <v>388</v>
      </c>
      <c r="BH60" s="449">
        <v>495800</v>
      </c>
      <c r="BI60" s="450">
        <f t="shared" si="13"/>
        <v>495.8</v>
      </c>
      <c r="BM60" s="451" t="s">
        <v>554</v>
      </c>
      <c r="BN60" s="94" t="s">
        <v>586</v>
      </c>
      <c r="BO60" s="95">
        <v>0</v>
      </c>
      <c r="BP60" s="95">
        <v>5614000</v>
      </c>
      <c r="BQ60" s="95">
        <v>2894814</v>
      </c>
      <c r="BR60" s="95">
        <v>2719186</v>
      </c>
      <c r="BS60" s="95">
        <v>2894814</v>
      </c>
      <c r="BT60" s="450">
        <f t="shared" si="14"/>
        <v>5614</v>
      </c>
      <c r="BU60" s="450">
        <f t="shared" si="15"/>
        <v>2894.8139999999999</v>
      </c>
      <c r="BV60" s="450">
        <f t="shared" si="16"/>
        <v>2719.1860000000001</v>
      </c>
      <c r="BW60" s="450">
        <f t="shared" si="17"/>
        <v>2894.8139999999999</v>
      </c>
      <c r="CA60" s="94" t="s">
        <v>588</v>
      </c>
      <c r="CB60" s="450">
        <v>6960492</v>
      </c>
      <c r="CC60" s="450">
        <f t="shared" si="18"/>
        <v>6960.4920000000002</v>
      </c>
      <c r="CG60" s="448" t="s">
        <v>585</v>
      </c>
      <c r="CH60" s="449">
        <v>0</v>
      </c>
      <c r="CI60" s="449">
        <v>1163320000</v>
      </c>
      <c r="CJ60" s="449">
        <v>-1163320000</v>
      </c>
      <c r="CK60" s="449">
        <v>575348930</v>
      </c>
      <c r="CL60" s="449">
        <v>587971070</v>
      </c>
      <c r="CM60" s="449">
        <v>575348930</v>
      </c>
      <c r="CN60" s="449">
        <f t="shared" si="19"/>
        <v>1163320</v>
      </c>
      <c r="CO60" s="449">
        <f t="shared" si="20"/>
        <v>575348.93000000005</v>
      </c>
      <c r="CP60" s="449">
        <f t="shared" si="21"/>
        <v>587971.06999999995</v>
      </c>
      <c r="CQ60" s="449">
        <f t="shared" si="22"/>
        <v>575348.93000000005</v>
      </c>
      <c r="CU60" s="448" t="s">
        <v>382</v>
      </c>
      <c r="CV60" s="449">
        <v>0</v>
      </c>
      <c r="CW60" s="449">
        <v>149250</v>
      </c>
      <c r="CX60" s="450">
        <f t="shared" si="23"/>
        <v>0</v>
      </c>
      <c r="CY60" s="450">
        <f t="shared" si="24"/>
        <v>149.25</v>
      </c>
      <c r="DB60" s="602" t="s">
        <v>585</v>
      </c>
      <c r="DC60" s="603">
        <v>1160434000</v>
      </c>
      <c r="DD60" s="603">
        <v>654776177</v>
      </c>
      <c r="DE60" s="603">
        <v>505657823</v>
      </c>
      <c r="DF60" s="603">
        <v>654776177</v>
      </c>
      <c r="DG60" s="604">
        <f t="shared" si="25"/>
        <v>1160434</v>
      </c>
      <c r="DH60" s="604">
        <f t="shared" si="26"/>
        <v>654776.17700000003</v>
      </c>
      <c r="DI60" s="604">
        <f t="shared" si="27"/>
        <v>505657.82299999997</v>
      </c>
      <c r="DJ60" s="604">
        <f t="shared" si="28"/>
        <v>654776.17700000003</v>
      </c>
      <c r="DN60" s="94" t="s">
        <v>594</v>
      </c>
      <c r="DO60" s="94">
        <v>553350</v>
      </c>
      <c r="DP60" s="94">
        <v>1501245</v>
      </c>
      <c r="DQ60" s="666">
        <f t="shared" si="29"/>
        <v>553.35</v>
      </c>
      <c r="DR60" s="666">
        <f t="shared" si="30"/>
        <v>1501.2449999999999</v>
      </c>
      <c r="DV60" s="94" t="s">
        <v>585</v>
      </c>
      <c r="DW60" s="95">
        <v>1158358000</v>
      </c>
      <c r="DX60" s="95">
        <v>729573286</v>
      </c>
      <c r="DY60" s="95">
        <v>428784714</v>
      </c>
      <c r="DZ60" s="95">
        <v>729573286</v>
      </c>
      <c r="EA60" s="95">
        <f t="shared" si="31"/>
        <v>1158358</v>
      </c>
      <c r="EB60" s="95">
        <f t="shared" si="32"/>
        <v>729573.28599999996</v>
      </c>
      <c r="EC60" s="95">
        <f t="shared" si="33"/>
        <v>428784.71399999998</v>
      </c>
      <c r="ED60" s="95">
        <f t="shared" si="34"/>
        <v>729573.28599999996</v>
      </c>
      <c r="EH60" s="444" t="s">
        <v>381</v>
      </c>
      <c r="EI60" s="444">
        <v>12020491</v>
      </c>
      <c r="EJ60" s="450">
        <f t="shared" si="35"/>
        <v>12020.491</v>
      </c>
      <c r="EN60" s="444" t="s">
        <v>585</v>
      </c>
      <c r="EO60" s="450">
        <v>1157808000</v>
      </c>
      <c r="EP60" s="450">
        <v>817319973</v>
      </c>
      <c r="EQ60" s="450">
        <v>340488027</v>
      </c>
      <c r="ER60" s="450">
        <v>817319973</v>
      </c>
      <c r="ES60" s="746">
        <f t="shared" si="36"/>
        <v>1157808</v>
      </c>
      <c r="ET60" s="746">
        <f t="shared" si="37"/>
        <v>817319.973</v>
      </c>
      <c r="EU60" s="746">
        <f t="shared" si="38"/>
        <v>340488.027</v>
      </c>
      <c r="EV60" s="746">
        <f t="shared" si="39"/>
        <v>817319.973</v>
      </c>
      <c r="EZ60" s="780" t="s">
        <v>553</v>
      </c>
      <c r="FA60" s="781" t="s">
        <v>589</v>
      </c>
      <c r="FB60" s="444">
        <v>0</v>
      </c>
      <c r="FC60" s="450">
        <f t="shared" si="40"/>
        <v>0</v>
      </c>
      <c r="FG60" s="785" t="s">
        <v>554</v>
      </c>
      <c r="FH60" s="784" t="s">
        <v>585</v>
      </c>
      <c r="FI60" s="782">
        <v>1156619310</v>
      </c>
      <c r="FJ60" s="783">
        <v>909414515</v>
      </c>
      <c r="FK60" s="783">
        <v>247204795</v>
      </c>
      <c r="FL60" s="783">
        <v>909414515</v>
      </c>
      <c r="FM60" s="450">
        <f t="shared" si="41"/>
        <v>1156619.31</v>
      </c>
      <c r="FN60" s="450">
        <f t="shared" si="42"/>
        <v>909414.51500000001</v>
      </c>
      <c r="FO60" s="450">
        <f t="shared" si="43"/>
        <v>247204.79500000001</v>
      </c>
      <c r="FP60" s="450">
        <f t="shared" si="44"/>
        <v>909414.51500000001</v>
      </c>
      <c r="FT60" s="451" t="s">
        <v>355</v>
      </c>
      <c r="FU60" s="94" t="s">
        <v>502</v>
      </c>
      <c r="FV60" s="95">
        <v>30000000</v>
      </c>
      <c r="FW60" s="95">
        <v>30000000</v>
      </c>
      <c r="FX60" s="95">
        <v>30000000</v>
      </c>
      <c r="FY60" s="450">
        <f t="shared" si="45"/>
        <v>30000</v>
      </c>
      <c r="FZ60" s="450">
        <f t="shared" si="46"/>
        <v>30000</v>
      </c>
      <c r="GA60" s="450">
        <f t="shared" si="47"/>
        <v>30000</v>
      </c>
      <c r="GG60" s="817" t="s">
        <v>554</v>
      </c>
      <c r="GH60" s="818" t="s">
        <v>585</v>
      </c>
      <c r="GI60" s="819">
        <v>1174410999</v>
      </c>
      <c r="GJ60" s="819">
        <v>997025149</v>
      </c>
      <c r="GK60" s="819">
        <v>177385850</v>
      </c>
      <c r="GL60" s="819">
        <v>997025149</v>
      </c>
      <c r="GM60" s="819">
        <v>0</v>
      </c>
      <c r="GN60" s="450">
        <f t="shared" si="48"/>
        <v>1174410.9990000001</v>
      </c>
      <c r="GO60" s="450">
        <f t="shared" si="49"/>
        <v>997025.14899999998</v>
      </c>
      <c r="GP60" s="450">
        <f t="shared" si="50"/>
        <v>177385.85</v>
      </c>
      <c r="GQ60" s="450">
        <f t="shared" si="51"/>
        <v>997025.14899999998</v>
      </c>
      <c r="GR60" s="450">
        <f t="shared" si="52"/>
        <v>0</v>
      </c>
      <c r="GV60" s="841" t="s">
        <v>376</v>
      </c>
      <c r="GW60" s="840">
        <v>4796458</v>
      </c>
      <c r="GX60" s="450">
        <f t="shared" si="53"/>
        <v>4796.4579999999996</v>
      </c>
      <c r="HB60" s="843" t="s">
        <v>482</v>
      </c>
      <c r="HC60" s="819">
        <v>15556302</v>
      </c>
      <c r="HD60" s="819">
        <v>15556302</v>
      </c>
      <c r="HE60" s="819">
        <v>0</v>
      </c>
      <c r="HF60" s="819">
        <v>15556302</v>
      </c>
      <c r="HG60" s="450">
        <f t="shared" si="54"/>
        <v>15556.302</v>
      </c>
      <c r="HH60" s="450">
        <f t="shared" si="55"/>
        <v>0</v>
      </c>
      <c r="HI60" s="450">
        <f t="shared" si="56"/>
        <v>15556.302</v>
      </c>
      <c r="HJ60" s="450">
        <f t="shared" si="57"/>
        <v>0</v>
      </c>
      <c r="HK60" s="450">
        <f t="shared" si="58"/>
        <v>15556.302</v>
      </c>
    </row>
    <row r="61" spans="1:219" ht="15" customHeight="1" x14ac:dyDescent="0.3">
      <c r="A61" s="295" t="s">
        <v>553</v>
      </c>
      <c r="B61" s="296" t="s">
        <v>376</v>
      </c>
      <c r="C61" s="297">
        <v>32527308</v>
      </c>
      <c r="D61" s="298">
        <f t="shared" si="3"/>
        <v>34576.528403999997</v>
      </c>
      <c r="E61" s="297">
        <v>4067017</v>
      </c>
      <c r="F61" s="297">
        <f t="shared" si="4"/>
        <v>4323.239071</v>
      </c>
      <c r="J61" s="299" t="s">
        <v>553</v>
      </c>
      <c r="K61" s="300" t="s">
        <v>390</v>
      </c>
      <c r="L61" s="301">
        <v>158350</v>
      </c>
      <c r="M61" s="301">
        <f t="shared" si="5"/>
        <v>168.32604999999998</v>
      </c>
      <c r="Q61" s="299" t="s">
        <v>553</v>
      </c>
      <c r="R61" s="300" t="s">
        <v>376</v>
      </c>
      <c r="S61" s="301">
        <v>32527308</v>
      </c>
      <c r="T61" s="301">
        <v>7267154</v>
      </c>
      <c r="U61" s="301">
        <f t="shared" si="6"/>
        <v>34576.528403999997</v>
      </c>
      <c r="V61" s="301">
        <f t="shared" si="7"/>
        <v>7724.9847019999997</v>
      </c>
      <c r="Z61" s="296" t="s">
        <v>589</v>
      </c>
      <c r="AA61" s="297">
        <v>468158</v>
      </c>
      <c r="AB61" s="297">
        <f t="shared" si="8"/>
        <v>497.65195399999999</v>
      </c>
      <c r="AF61" s="296" t="s">
        <v>376</v>
      </c>
      <c r="AG61" s="297">
        <v>32527308</v>
      </c>
      <c r="AH61" s="297">
        <f t="shared" si="59"/>
        <v>34576.528403999997</v>
      </c>
      <c r="AI61" s="297">
        <v>11938924</v>
      </c>
      <c r="AL61" s="450"/>
      <c r="AN61" s="447" t="s">
        <v>553</v>
      </c>
      <c r="AO61" s="448" t="s">
        <v>382</v>
      </c>
      <c r="AP61" s="449">
        <v>157941</v>
      </c>
      <c r="AQ61" s="449">
        <f t="shared" si="9"/>
        <v>167.89128299999999</v>
      </c>
      <c r="AU61" s="447" t="s">
        <v>553</v>
      </c>
      <c r="AV61" s="448" t="s">
        <v>376</v>
      </c>
      <c r="AW61" s="449">
        <v>32527308</v>
      </c>
      <c r="AX61" s="449">
        <v>11938924</v>
      </c>
      <c r="AY61" s="449">
        <v>20588384</v>
      </c>
      <c r="AZ61" s="450">
        <f t="shared" si="10"/>
        <v>34576.528403999997</v>
      </c>
      <c r="BA61" s="450">
        <f t="shared" si="11"/>
        <v>12691.076212</v>
      </c>
      <c r="BB61" s="450">
        <f t="shared" si="12"/>
        <v>21885.452191999997</v>
      </c>
      <c r="BF61" s="447" t="s">
        <v>553</v>
      </c>
      <c r="BG61" s="448" t="s">
        <v>389</v>
      </c>
      <c r="BH61" s="449">
        <v>865868</v>
      </c>
      <c r="BI61" s="450">
        <f t="shared" si="13"/>
        <v>865.86800000000005</v>
      </c>
      <c r="BM61" s="451" t="s">
        <v>553</v>
      </c>
      <c r="BN61" s="94" t="s">
        <v>376</v>
      </c>
      <c r="BO61" s="95">
        <v>0</v>
      </c>
      <c r="BP61" s="95">
        <v>32527308</v>
      </c>
      <c r="BQ61" s="95">
        <v>11938924</v>
      </c>
      <c r="BR61" s="95">
        <v>20588384</v>
      </c>
      <c r="BS61" s="95">
        <v>11938924</v>
      </c>
      <c r="BT61" s="450">
        <f t="shared" si="14"/>
        <v>32527.308000000001</v>
      </c>
      <c r="BU61" s="450">
        <f t="shared" si="15"/>
        <v>11938.924000000001</v>
      </c>
      <c r="BV61" s="450">
        <f t="shared" si="16"/>
        <v>20588.383999999998</v>
      </c>
      <c r="BW61" s="450">
        <f t="shared" si="17"/>
        <v>11938.924000000001</v>
      </c>
      <c r="CA61" s="94" t="s">
        <v>380</v>
      </c>
      <c r="CB61" s="450">
        <v>1544400</v>
      </c>
      <c r="CC61" s="450">
        <f t="shared" si="18"/>
        <v>1544.4</v>
      </c>
      <c r="CG61" s="448" t="s">
        <v>586</v>
      </c>
      <c r="CH61" s="449">
        <v>0</v>
      </c>
      <c r="CI61" s="449">
        <v>7114000</v>
      </c>
      <c r="CJ61" s="449">
        <v>-7114000</v>
      </c>
      <c r="CK61" s="449">
        <v>4090327</v>
      </c>
      <c r="CL61" s="449">
        <v>3023673</v>
      </c>
      <c r="CM61" s="449">
        <v>4090327</v>
      </c>
      <c r="CN61" s="449">
        <f t="shared" si="19"/>
        <v>7114</v>
      </c>
      <c r="CO61" s="449">
        <f t="shared" si="20"/>
        <v>4090.3270000000002</v>
      </c>
      <c r="CP61" s="449">
        <f t="shared" si="21"/>
        <v>3023.6729999999998</v>
      </c>
      <c r="CQ61" s="449">
        <f t="shared" si="22"/>
        <v>4090.3270000000002</v>
      </c>
      <c r="CU61" s="448" t="s">
        <v>383</v>
      </c>
      <c r="CV61" s="449">
        <v>0</v>
      </c>
      <c r="CW61" s="449">
        <v>0</v>
      </c>
      <c r="CX61" s="450">
        <f t="shared" si="23"/>
        <v>0</v>
      </c>
      <c r="CY61" s="450">
        <f t="shared" si="24"/>
        <v>0</v>
      </c>
      <c r="DB61" s="602" t="s">
        <v>586</v>
      </c>
      <c r="DC61" s="603">
        <v>10000000</v>
      </c>
      <c r="DD61" s="603">
        <v>5967218</v>
      </c>
      <c r="DE61" s="603">
        <v>4032782</v>
      </c>
      <c r="DF61" s="603">
        <v>5967218</v>
      </c>
      <c r="DG61" s="604">
        <f t="shared" si="25"/>
        <v>10000</v>
      </c>
      <c r="DH61" s="604">
        <f t="shared" si="26"/>
        <v>5967.2179999999998</v>
      </c>
      <c r="DI61" s="604">
        <f t="shared" si="27"/>
        <v>4032.7820000000002</v>
      </c>
      <c r="DJ61" s="604">
        <f t="shared" si="28"/>
        <v>5967.2179999999998</v>
      </c>
      <c r="DN61" s="94" t="s">
        <v>385</v>
      </c>
      <c r="DO61" s="94">
        <v>320504</v>
      </c>
      <c r="DP61" s="94">
        <v>894002</v>
      </c>
      <c r="DQ61" s="666">
        <f t="shared" si="29"/>
        <v>320.50400000000002</v>
      </c>
      <c r="DR61" s="666">
        <f t="shared" si="30"/>
        <v>894.00199999999995</v>
      </c>
      <c r="DV61" s="94" t="s">
        <v>586</v>
      </c>
      <c r="DW61" s="95">
        <v>11500000</v>
      </c>
      <c r="DX61" s="95">
        <v>7956013</v>
      </c>
      <c r="DY61" s="95">
        <v>3543987</v>
      </c>
      <c r="DZ61" s="95">
        <v>7956013</v>
      </c>
      <c r="EA61" s="95">
        <f t="shared" si="31"/>
        <v>11500</v>
      </c>
      <c r="EB61" s="95">
        <f t="shared" si="32"/>
        <v>7956.0129999999999</v>
      </c>
      <c r="EC61" s="95">
        <f t="shared" si="33"/>
        <v>3543.9870000000001</v>
      </c>
      <c r="ED61" s="95">
        <f t="shared" si="34"/>
        <v>7956.0129999999999</v>
      </c>
      <c r="EH61" s="444" t="s">
        <v>382</v>
      </c>
      <c r="EI61" s="444">
        <v>0</v>
      </c>
      <c r="EJ61" s="450">
        <f t="shared" si="35"/>
        <v>0</v>
      </c>
      <c r="EN61" s="444" t="s">
        <v>586</v>
      </c>
      <c r="EO61" s="450">
        <v>12050000</v>
      </c>
      <c r="EP61" s="450">
        <v>8980807</v>
      </c>
      <c r="EQ61" s="450">
        <v>3069193</v>
      </c>
      <c r="ER61" s="450">
        <v>8980807</v>
      </c>
      <c r="ES61" s="746">
        <f t="shared" si="36"/>
        <v>12050</v>
      </c>
      <c r="ET61" s="746">
        <f t="shared" si="37"/>
        <v>8980.8070000000007</v>
      </c>
      <c r="EU61" s="746">
        <f t="shared" si="38"/>
        <v>3069.1930000000002</v>
      </c>
      <c r="EV61" s="746">
        <f t="shared" si="39"/>
        <v>8980.8070000000007</v>
      </c>
      <c r="EZ61" s="780" t="s">
        <v>553</v>
      </c>
      <c r="FA61" s="781" t="s">
        <v>384</v>
      </c>
      <c r="FB61" s="444">
        <v>1795568</v>
      </c>
      <c r="FC61" s="450">
        <f t="shared" si="40"/>
        <v>1795.568</v>
      </c>
      <c r="FG61" s="785" t="s">
        <v>554</v>
      </c>
      <c r="FH61" s="784" t="s">
        <v>586</v>
      </c>
      <c r="FI61" s="782">
        <v>13238690</v>
      </c>
      <c r="FJ61" s="783">
        <v>10042280</v>
      </c>
      <c r="FK61" s="783">
        <v>3196410</v>
      </c>
      <c r="FL61" s="783">
        <v>10042280</v>
      </c>
      <c r="FM61" s="450">
        <f t="shared" si="41"/>
        <v>13238.69</v>
      </c>
      <c r="FN61" s="450">
        <f t="shared" si="42"/>
        <v>10042.280000000001</v>
      </c>
      <c r="FO61" s="450">
        <f t="shared" si="43"/>
        <v>3196.41</v>
      </c>
      <c r="FP61" s="450">
        <f t="shared" si="44"/>
        <v>10042.280000000001</v>
      </c>
      <c r="FT61" s="451" t="s">
        <v>553</v>
      </c>
      <c r="FU61" s="94" t="s">
        <v>503</v>
      </c>
      <c r="FV61" s="95">
        <v>30000000</v>
      </c>
      <c r="FW61" s="95">
        <v>30000000</v>
      </c>
      <c r="FX61" s="95">
        <v>30000000</v>
      </c>
      <c r="FY61" s="450">
        <f t="shared" si="45"/>
        <v>30000</v>
      </c>
      <c r="FZ61" s="450">
        <f t="shared" si="46"/>
        <v>30000</v>
      </c>
      <c r="GA61" s="450">
        <f t="shared" si="47"/>
        <v>30000</v>
      </c>
      <c r="GG61" s="817" t="s">
        <v>554</v>
      </c>
      <c r="GH61" s="818" t="s">
        <v>586</v>
      </c>
      <c r="GI61" s="819">
        <v>14506001</v>
      </c>
      <c r="GJ61" s="819">
        <v>11459340</v>
      </c>
      <c r="GK61" s="819">
        <v>3046661</v>
      </c>
      <c r="GL61" s="819">
        <v>11459340</v>
      </c>
      <c r="GM61" s="819">
        <v>0</v>
      </c>
      <c r="GN61" s="450">
        <f t="shared" si="48"/>
        <v>14506.001</v>
      </c>
      <c r="GO61" s="450">
        <f t="shared" si="49"/>
        <v>11459.34</v>
      </c>
      <c r="GP61" s="450">
        <f t="shared" si="50"/>
        <v>3046.6610000000001</v>
      </c>
      <c r="GQ61" s="450">
        <f t="shared" si="51"/>
        <v>11459.34</v>
      </c>
      <c r="GR61" s="450">
        <f t="shared" si="52"/>
        <v>0</v>
      </c>
      <c r="GV61" s="841" t="s">
        <v>378</v>
      </c>
      <c r="GW61" s="840">
        <v>539148867</v>
      </c>
      <c r="GX61" s="450">
        <f t="shared" si="53"/>
        <v>539148.86699999997</v>
      </c>
      <c r="HB61" s="843" t="s">
        <v>374</v>
      </c>
      <c r="HC61" s="819">
        <v>85139093</v>
      </c>
      <c r="HD61" s="819">
        <v>84810000</v>
      </c>
      <c r="HE61" s="819">
        <v>329093</v>
      </c>
      <c r="HF61" s="819">
        <v>84810000</v>
      </c>
      <c r="HG61" s="450">
        <f t="shared" si="54"/>
        <v>85139.092999999993</v>
      </c>
      <c r="HH61" s="450">
        <f t="shared" si="55"/>
        <v>329.09300000000002</v>
      </c>
      <c r="HI61" s="450">
        <f t="shared" si="56"/>
        <v>84810</v>
      </c>
      <c r="HJ61" s="450">
        <f t="shared" si="57"/>
        <v>329.09300000000002</v>
      </c>
      <c r="HK61" s="450">
        <f t="shared" si="58"/>
        <v>84810</v>
      </c>
    </row>
    <row r="62" spans="1:219" ht="15" customHeight="1" x14ac:dyDescent="0.3">
      <c r="A62" s="295" t="s">
        <v>449</v>
      </c>
      <c r="B62" s="296" t="s">
        <v>378</v>
      </c>
      <c r="C62" s="297">
        <v>2127733000</v>
      </c>
      <c r="D62" s="298">
        <f t="shared" si="3"/>
        <v>2261780.179</v>
      </c>
      <c r="E62" s="297">
        <v>39739663</v>
      </c>
      <c r="F62" s="297">
        <f t="shared" si="4"/>
        <v>42243.261768999997</v>
      </c>
      <c r="J62" s="299" t="s">
        <v>553</v>
      </c>
      <c r="K62" s="300" t="s">
        <v>391</v>
      </c>
      <c r="L62" s="301">
        <v>901712</v>
      </c>
      <c r="M62" s="301">
        <f t="shared" si="5"/>
        <v>958.51985599999989</v>
      </c>
      <c r="Q62" s="299" t="s">
        <v>449</v>
      </c>
      <c r="R62" s="300" t="s">
        <v>378</v>
      </c>
      <c r="S62" s="301">
        <v>2127733000</v>
      </c>
      <c r="T62" s="301">
        <v>93149049</v>
      </c>
      <c r="U62" s="301">
        <f t="shared" si="6"/>
        <v>2261780.179</v>
      </c>
      <c r="V62" s="301">
        <f t="shared" si="7"/>
        <v>99017.439086999992</v>
      </c>
      <c r="Z62" s="296" t="s">
        <v>384</v>
      </c>
      <c r="AA62" s="297">
        <v>2196519</v>
      </c>
      <c r="AB62" s="297">
        <f t="shared" si="8"/>
        <v>2334.8996969999998</v>
      </c>
      <c r="AF62" s="452" t="s">
        <v>378</v>
      </c>
      <c r="AG62" s="453">
        <v>2119283000</v>
      </c>
      <c r="AH62" s="453">
        <f t="shared" si="59"/>
        <v>2252797.8289999999</v>
      </c>
      <c r="AI62" s="297">
        <v>242622540</v>
      </c>
      <c r="AL62" s="450"/>
      <c r="AN62" s="447" t="s">
        <v>553</v>
      </c>
      <c r="AO62" s="448" t="s">
        <v>383</v>
      </c>
      <c r="AP62" s="449">
        <v>114240</v>
      </c>
      <c r="AQ62" s="449">
        <f t="shared" si="9"/>
        <v>121.43711999999999</v>
      </c>
      <c r="AU62" s="447" t="s">
        <v>449</v>
      </c>
      <c r="AV62" s="448" t="s">
        <v>378</v>
      </c>
      <c r="AW62" s="449">
        <v>2119283000</v>
      </c>
      <c r="AX62" s="449">
        <v>1814083255</v>
      </c>
      <c r="AY62" s="449">
        <v>305199745</v>
      </c>
      <c r="AZ62" s="450">
        <f t="shared" si="10"/>
        <v>2252797.8289999999</v>
      </c>
      <c r="BA62" s="450">
        <f t="shared" si="11"/>
        <v>1928370.5000649998</v>
      </c>
      <c r="BB62" s="450">
        <f t="shared" si="12"/>
        <v>324427.328935</v>
      </c>
      <c r="BF62" s="447" t="s">
        <v>553</v>
      </c>
      <c r="BG62" s="448" t="s">
        <v>390</v>
      </c>
      <c r="BH62" s="449">
        <v>116400</v>
      </c>
      <c r="BI62" s="450">
        <f t="shared" si="13"/>
        <v>116.4</v>
      </c>
      <c r="BM62" s="451" t="s">
        <v>449</v>
      </c>
      <c r="BN62" s="94" t="s">
        <v>378</v>
      </c>
      <c r="BO62" s="95">
        <v>2119283000</v>
      </c>
      <c r="BP62" s="95">
        <v>2119282900</v>
      </c>
      <c r="BQ62" s="95">
        <v>1913270153</v>
      </c>
      <c r="BR62" s="95">
        <v>206012747</v>
      </c>
      <c r="BS62" s="95">
        <v>685373611</v>
      </c>
      <c r="BT62" s="450">
        <f t="shared" si="14"/>
        <v>2119282.9</v>
      </c>
      <c r="BU62" s="450">
        <f t="shared" si="15"/>
        <v>1913270.1529999999</v>
      </c>
      <c r="BV62" s="450">
        <f t="shared" si="16"/>
        <v>206012.747</v>
      </c>
      <c r="BW62" s="450">
        <f t="shared" si="17"/>
        <v>685373.61100000003</v>
      </c>
      <c r="CA62" s="94" t="s">
        <v>381</v>
      </c>
      <c r="CB62" s="450">
        <v>5848646</v>
      </c>
      <c r="CC62" s="450">
        <f t="shared" si="18"/>
        <v>5848.6459999999997</v>
      </c>
      <c r="CG62" s="448" t="s">
        <v>376</v>
      </c>
      <c r="CH62" s="449">
        <v>0</v>
      </c>
      <c r="CI62" s="449">
        <v>32527308</v>
      </c>
      <c r="CJ62" s="449">
        <v>-32527308</v>
      </c>
      <c r="CK62" s="449">
        <v>11938924</v>
      </c>
      <c r="CL62" s="449">
        <v>20588384</v>
      </c>
      <c r="CM62" s="449">
        <v>11938924</v>
      </c>
      <c r="CN62" s="449">
        <f t="shared" si="19"/>
        <v>32527.308000000001</v>
      </c>
      <c r="CO62" s="449">
        <f t="shared" si="20"/>
        <v>11938.924000000001</v>
      </c>
      <c r="CP62" s="449">
        <f t="shared" si="21"/>
        <v>20588.383999999998</v>
      </c>
      <c r="CQ62" s="449">
        <f t="shared" si="22"/>
        <v>11938.924000000001</v>
      </c>
      <c r="CU62" s="448" t="s">
        <v>589</v>
      </c>
      <c r="CV62" s="449">
        <v>0</v>
      </c>
      <c r="CW62" s="449">
        <v>0</v>
      </c>
      <c r="CX62" s="450">
        <f t="shared" si="23"/>
        <v>0</v>
      </c>
      <c r="CY62" s="450">
        <f t="shared" si="24"/>
        <v>0</v>
      </c>
      <c r="DB62" s="602" t="s">
        <v>376</v>
      </c>
      <c r="DC62" s="603">
        <v>32527308</v>
      </c>
      <c r="DD62" s="603">
        <v>11938924</v>
      </c>
      <c r="DE62" s="603">
        <v>20588384</v>
      </c>
      <c r="DF62" s="603">
        <v>11938924</v>
      </c>
      <c r="DG62" s="604">
        <f t="shared" si="25"/>
        <v>32527.308000000001</v>
      </c>
      <c r="DH62" s="604">
        <f t="shared" si="26"/>
        <v>11938.924000000001</v>
      </c>
      <c r="DI62" s="604">
        <f t="shared" si="27"/>
        <v>20588.383999999998</v>
      </c>
      <c r="DJ62" s="604">
        <f t="shared" si="28"/>
        <v>11938.924000000001</v>
      </c>
      <c r="DN62" s="94" t="s">
        <v>386</v>
      </c>
      <c r="DO62" s="94">
        <v>0</v>
      </c>
      <c r="DP62" s="94">
        <v>0</v>
      </c>
      <c r="DQ62" s="666">
        <f t="shared" si="29"/>
        <v>0</v>
      </c>
      <c r="DR62" s="666">
        <f t="shared" si="30"/>
        <v>0</v>
      </c>
      <c r="DV62" s="94" t="s">
        <v>376</v>
      </c>
      <c r="DW62" s="95">
        <v>32527308</v>
      </c>
      <c r="DX62" s="95">
        <v>11938924</v>
      </c>
      <c r="DY62" s="95">
        <v>20588384</v>
      </c>
      <c r="DZ62" s="95">
        <v>11938924</v>
      </c>
      <c r="EA62" s="95">
        <f t="shared" si="31"/>
        <v>32527.308000000001</v>
      </c>
      <c r="EB62" s="95">
        <f t="shared" si="32"/>
        <v>11938.924000000001</v>
      </c>
      <c r="EC62" s="95">
        <f t="shared" si="33"/>
        <v>20588.383999999998</v>
      </c>
      <c r="ED62" s="95">
        <f t="shared" si="34"/>
        <v>11938.924000000001</v>
      </c>
      <c r="EH62" s="444" t="s">
        <v>383</v>
      </c>
      <c r="EI62" s="444">
        <v>89840</v>
      </c>
      <c r="EJ62" s="450">
        <f t="shared" si="35"/>
        <v>89.84</v>
      </c>
      <c r="EN62" s="444" t="s">
        <v>376</v>
      </c>
      <c r="EO62" s="450">
        <v>32527308</v>
      </c>
      <c r="EP62" s="450">
        <v>16329182</v>
      </c>
      <c r="EQ62" s="450">
        <v>16198126</v>
      </c>
      <c r="ER62" s="450">
        <v>16329182</v>
      </c>
      <c r="ES62" s="746">
        <f t="shared" si="36"/>
        <v>32527.308000000001</v>
      </c>
      <c r="ET62" s="746">
        <f t="shared" si="37"/>
        <v>16329.182000000001</v>
      </c>
      <c r="EU62" s="746">
        <f t="shared" si="38"/>
        <v>16198.126</v>
      </c>
      <c r="EV62" s="746">
        <f t="shared" si="39"/>
        <v>16329.182000000001</v>
      </c>
      <c r="EZ62" s="780" t="s">
        <v>553</v>
      </c>
      <c r="FA62" s="781" t="s">
        <v>591</v>
      </c>
      <c r="FB62" s="444">
        <v>1906730</v>
      </c>
      <c r="FC62" s="450">
        <f t="shared" si="40"/>
        <v>1906.73</v>
      </c>
      <c r="FG62" s="785" t="s">
        <v>553</v>
      </c>
      <c r="FH62" s="784" t="s">
        <v>376</v>
      </c>
      <c r="FI62" s="782">
        <v>32527308</v>
      </c>
      <c r="FJ62" s="783">
        <v>19330964</v>
      </c>
      <c r="FK62" s="783">
        <v>13196344</v>
      </c>
      <c r="FL62" s="783">
        <v>19330964</v>
      </c>
      <c r="FM62" s="450">
        <f t="shared" si="41"/>
        <v>32527.308000000001</v>
      </c>
      <c r="FN62" s="450">
        <f t="shared" si="42"/>
        <v>19330.964</v>
      </c>
      <c r="FO62" s="450">
        <f t="shared" si="43"/>
        <v>13196.343999999999</v>
      </c>
      <c r="FP62" s="450">
        <f t="shared" si="44"/>
        <v>19330.964</v>
      </c>
      <c r="FT62" s="451" t="s">
        <v>355</v>
      </c>
      <c r="FU62" s="94" t="s">
        <v>381</v>
      </c>
      <c r="FV62" s="95">
        <v>12071822</v>
      </c>
      <c r="FW62" s="95">
        <v>1380068</v>
      </c>
      <c r="FX62" s="95">
        <v>2792737</v>
      </c>
      <c r="FY62" s="450">
        <f t="shared" si="45"/>
        <v>12071.822</v>
      </c>
      <c r="FZ62" s="450">
        <f t="shared" si="46"/>
        <v>1380.068</v>
      </c>
      <c r="GA62" s="450">
        <f t="shared" si="47"/>
        <v>2792.7370000000001</v>
      </c>
      <c r="GG62" s="817" t="s">
        <v>553</v>
      </c>
      <c r="GH62" s="818" t="s">
        <v>376</v>
      </c>
      <c r="GI62" s="819">
        <v>32527308</v>
      </c>
      <c r="GJ62" s="819">
        <v>21614995</v>
      </c>
      <c r="GK62" s="819">
        <v>10912313</v>
      </c>
      <c r="GL62" s="819">
        <v>21614995</v>
      </c>
      <c r="GM62" s="819">
        <v>0</v>
      </c>
      <c r="GN62" s="450">
        <f t="shared" si="48"/>
        <v>32527.308000000001</v>
      </c>
      <c r="GO62" s="450">
        <f t="shared" si="49"/>
        <v>21614.994999999999</v>
      </c>
      <c r="GP62" s="450">
        <f t="shared" si="50"/>
        <v>10912.313</v>
      </c>
      <c r="GQ62" s="450">
        <f t="shared" si="51"/>
        <v>21614.994999999999</v>
      </c>
      <c r="GR62" s="450">
        <f t="shared" si="52"/>
        <v>0</v>
      </c>
      <c r="GV62" s="841" t="s">
        <v>379</v>
      </c>
      <c r="GW62" s="840">
        <v>8922144</v>
      </c>
      <c r="GX62" s="450">
        <f t="shared" si="53"/>
        <v>8922.1440000000002</v>
      </c>
      <c r="HB62" s="843" t="s">
        <v>375</v>
      </c>
      <c r="HC62" s="819">
        <v>1222020308</v>
      </c>
      <c r="HD62" s="819">
        <v>1134173175</v>
      </c>
      <c r="HE62" s="819">
        <v>87847133</v>
      </c>
      <c r="HF62" s="819">
        <v>1134173175</v>
      </c>
      <c r="HG62" s="450">
        <f t="shared" si="54"/>
        <v>1222020.308</v>
      </c>
      <c r="HH62" s="450">
        <f t="shared" si="55"/>
        <v>87847.133000000002</v>
      </c>
      <c r="HI62" s="450">
        <f t="shared" si="56"/>
        <v>1134173.175</v>
      </c>
      <c r="HJ62" s="450">
        <f t="shared" si="57"/>
        <v>87847.133000000002</v>
      </c>
      <c r="HK62" s="450">
        <f t="shared" si="58"/>
        <v>1134173.175</v>
      </c>
    </row>
    <row r="63" spans="1:219" ht="15" customHeight="1" x14ac:dyDescent="0.3">
      <c r="A63" s="295" t="s">
        <v>355</v>
      </c>
      <c r="B63" s="296" t="s">
        <v>379</v>
      </c>
      <c r="C63" s="297">
        <v>18829000</v>
      </c>
      <c r="D63" s="298">
        <f t="shared" si="3"/>
        <v>20015.226999999999</v>
      </c>
      <c r="E63" s="297">
        <v>0</v>
      </c>
      <c r="F63" s="297">
        <f t="shared" si="4"/>
        <v>0</v>
      </c>
      <c r="J63" s="299" t="s">
        <v>553</v>
      </c>
      <c r="K63" s="300" t="s">
        <v>392</v>
      </c>
      <c r="L63" s="301">
        <v>5465146</v>
      </c>
      <c r="M63" s="301">
        <f t="shared" si="5"/>
        <v>5809.4501979999995</v>
      </c>
      <c r="Q63" s="299" t="s">
        <v>355</v>
      </c>
      <c r="R63" s="300" t="s">
        <v>379</v>
      </c>
      <c r="S63" s="301">
        <v>18829000</v>
      </c>
      <c r="T63" s="301">
        <v>0</v>
      </c>
      <c r="U63" s="301">
        <f t="shared" si="6"/>
        <v>20015.226999999999</v>
      </c>
      <c r="V63" s="301">
        <f t="shared" si="7"/>
        <v>0</v>
      </c>
      <c r="Z63" s="296" t="s">
        <v>591</v>
      </c>
      <c r="AA63" s="297">
        <v>0</v>
      </c>
      <c r="AB63" s="297">
        <f t="shared" si="8"/>
        <v>0</v>
      </c>
      <c r="AF63" s="452" t="s">
        <v>379</v>
      </c>
      <c r="AG63" s="453">
        <v>18829000</v>
      </c>
      <c r="AH63" s="453">
        <f t="shared" si="59"/>
        <v>20015.226999999999</v>
      </c>
      <c r="AI63" s="297">
        <v>0</v>
      </c>
      <c r="AL63" s="450"/>
      <c r="AN63" s="447" t="s">
        <v>553</v>
      </c>
      <c r="AO63" s="448" t="s">
        <v>589</v>
      </c>
      <c r="AP63" s="449">
        <v>11600</v>
      </c>
      <c r="AQ63" s="449">
        <f t="shared" si="9"/>
        <v>12.330799999999998</v>
      </c>
      <c r="AU63" s="447" t="s">
        <v>355</v>
      </c>
      <c r="AV63" s="448" t="s">
        <v>379</v>
      </c>
      <c r="AW63" s="449">
        <v>10130061</v>
      </c>
      <c r="AX63" s="449">
        <v>0</v>
      </c>
      <c r="AY63" s="449">
        <v>10130061</v>
      </c>
      <c r="AZ63" s="450">
        <f t="shared" si="10"/>
        <v>10768.254842999999</v>
      </c>
      <c r="BA63" s="450">
        <f t="shared" si="11"/>
        <v>0</v>
      </c>
      <c r="BB63" s="450">
        <f t="shared" si="12"/>
        <v>10768.254842999999</v>
      </c>
      <c r="BF63" s="447" t="s">
        <v>553</v>
      </c>
      <c r="BG63" s="448" t="s">
        <v>391</v>
      </c>
      <c r="BH63" s="449">
        <v>722670</v>
      </c>
      <c r="BI63" s="450">
        <f t="shared" si="13"/>
        <v>722.67</v>
      </c>
      <c r="BM63" s="451" t="s">
        <v>355</v>
      </c>
      <c r="BN63" s="94" t="s">
        <v>379</v>
      </c>
      <c r="BO63" s="95">
        <v>0</v>
      </c>
      <c r="BP63" s="95">
        <v>11545030</v>
      </c>
      <c r="BQ63" s="95">
        <v>359380</v>
      </c>
      <c r="BR63" s="95">
        <v>11185650</v>
      </c>
      <c r="BS63" s="95">
        <v>0</v>
      </c>
      <c r="BT63" s="450">
        <f t="shared" si="14"/>
        <v>11545.03</v>
      </c>
      <c r="BU63" s="450">
        <f t="shared" si="15"/>
        <v>359.38</v>
      </c>
      <c r="BV63" s="450">
        <f t="shared" si="16"/>
        <v>11185.65</v>
      </c>
      <c r="BW63" s="450">
        <f t="shared" si="17"/>
        <v>0</v>
      </c>
      <c r="CA63" s="94" t="s">
        <v>382</v>
      </c>
      <c r="CB63" s="450">
        <v>1197487</v>
      </c>
      <c r="CC63" s="450">
        <f t="shared" si="18"/>
        <v>1197.4870000000001</v>
      </c>
      <c r="CG63" s="448" t="s">
        <v>378</v>
      </c>
      <c r="CH63" s="449">
        <v>2169283000</v>
      </c>
      <c r="CI63" s="449">
        <v>2169283000</v>
      </c>
      <c r="CJ63" s="449">
        <v>0</v>
      </c>
      <c r="CK63" s="449">
        <v>2014297980</v>
      </c>
      <c r="CL63" s="449">
        <v>154985020</v>
      </c>
      <c r="CM63" s="449">
        <v>847580044</v>
      </c>
      <c r="CN63" s="449">
        <f t="shared" si="19"/>
        <v>2169283</v>
      </c>
      <c r="CO63" s="449">
        <f t="shared" si="20"/>
        <v>2014297.98</v>
      </c>
      <c r="CP63" s="449">
        <f t="shared" si="21"/>
        <v>154985.01999999999</v>
      </c>
      <c r="CQ63" s="449">
        <f t="shared" si="22"/>
        <v>847580.04399999999</v>
      </c>
      <c r="CU63" s="448" t="s">
        <v>384</v>
      </c>
      <c r="CV63" s="449">
        <v>6907078</v>
      </c>
      <c r="CW63" s="449">
        <v>18730</v>
      </c>
      <c r="CX63" s="450">
        <f t="shared" si="23"/>
        <v>6907.0780000000004</v>
      </c>
      <c r="CY63" s="450">
        <f t="shared" si="24"/>
        <v>18.73</v>
      </c>
      <c r="DB63" s="602" t="s">
        <v>378</v>
      </c>
      <c r="DC63" s="603">
        <v>2169283000</v>
      </c>
      <c r="DD63" s="603">
        <v>2021523711</v>
      </c>
      <c r="DE63" s="603">
        <v>147759289</v>
      </c>
      <c r="DF63" s="603">
        <v>1176941882</v>
      </c>
      <c r="DG63" s="604">
        <f t="shared" si="25"/>
        <v>2169283</v>
      </c>
      <c r="DH63" s="604">
        <f t="shared" si="26"/>
        <v>2021523.7109999999</v>
      </c>
      <c r="DI63" s="604">
        <f t="shared" si="27"/>
        <v>147759.28899999999</v>
      </c>
      <c r="DJ63" s="604">
        <f t="shared" si="28"/>
        <v>1176941.882</v>
      </c>
      <c r="DN63" s="94" t="s">
        <v>387</v>
      </c>
      <c r="DO63" s="94">
        <v>12804528</v>
      </c>
      <c r="DP63" s="94">
        <v>11562902</v>
      </c>
      <c r="DQ63" s="666">
        <f t="shared" si="29"/>
        <v>12804.528</v>
      </c>
      <c r="DR63" s="666">
        <f t="shared" si="30"/>
        <v>11562.902</v>
      </c>
      <c r="DV63" s="94" t="s">
        <v>377</v>
      </c>
      <c r="DW63" s="95">
        <v>576000</v>
      </c>
      <c r="DX63" s="95">
        <v>0</v>
      </c>
      <c r="DY63" s="95">
        <v>576000</v>
      </c>
      <c r="DZ63" s="95">
        <v>0</v>
      </c>
      <c r="EA63" s="95">
        <f t="shared" si="31"/>
        <v>576</v>
      </c>
      <c r="EB63" s="95">
        <f t="shared" si="32"/>
        <v>0</v>
      </c>
      <c r="EC63" s="95">
        <f t="shared" si="33"/>
        <v>576</v>
      </c>
      <c r="ED63" s="95">
        <f t="shared" si="34"/>
        <v>0</v>
      </c>
      <c r="EH63" s="444" t="s">
        <v>882</v>
      </c>
      <c r="EI63" s="444">
        <v>9350</v>
      </c>
      <c r="EJ63" s="450">
        <f t="shared" si="35"/>
        <v>9.35</v>
      </c>
      <c r="EN63" s="444" t="s">
        <v>377</v>
      </c>
      <c r="EO63" s="450">
        <v>576000</v>
      </c>
      <c r="EP63" s="450">
        <v>396000</v>
      </c>
      <c r="EQ63" s="450">
        <v>180000</v>
      </c>
      <c r="ER63" s="450">
        <v>396000</v>
      </c>
      <c r="ES63" s="746">
        <f t="shared" si="36"/>
        <v>576</v>
      </c>
      <c r="ET63" s="746">
        <f t="shared" si="37"/>
        <v>396</v>
      </c>
      <c r="EU63" s="746">
        <f t="shared" si="38"/>
        <v>180</v>
      </c>
      <c r="EV63" s="746">
        <f t="shared" si="39"/>
        <v>396</v>
      </c>
      <c r="EZ63" s="780" t="s">
        <v>553</v>
      </c>
      <c r="FA63" s="781" t="s">
        <v>593</v>
      </c>
      <c r="FB63" s="444">
        <v>0</v>
      </c>
      <c r="FC63" s="450">
        <f t="shared" si="40"/>
        <v>0</v>
      </c>
      <c r="FG63" s="785" t="s">
        <v>553</v>
      </c>
      <c r="FH63" s="784" t="s">
        <v>377</v>
      </c>
      <c r="FI63" s="782">
        <v>576000</v>
      </c>
      <c r="FJ63" s="783">
        <v>396000</v>
      </c>
      <c r="FK63" s="783">
        <v>180000</v>
      </c>
      <c r="FL63" s="783">
        <v>396000</v>
      </c>
      <c r="FM63" s="450">
        <f t="shared" si="41"/>
        <v>576</v>
      </c>
      <c r="FN63" s="450">
        <f t="shared" si="42"/>
        <v>396</v>
      </c>
      <c r="FO63" s="450">
        <f t="shared" si="43"/>
        <v>180</v>
      </c>
      <c r="FP63" s="450">
        <f t="shared" si="44"/>
        <v>396</v>
      </c>
      <c r="FT63" s="451" t="s">
        <v>553</v>
      </c>
      <c r="FU63" s="94" t="s">
        <v>382</v>
      </c>
      <c r="FV63" s="95">
        <v>9800</v>
      </c>
      <c r="FW63" s="95">
        <v>9800</v>
      </c>
      <c r="FX63" s="95">
        <v>680960</v>
      </c>
      <c r="FY63" s="450">
        <f t="shared" si="45"/>
        <v>9.8000000000000007</v>
      </c>
      <c r="FZ63" s="450">
        <f t="shared" si="46"/>
        <v>9.8000000000000007</v>
      </c>
      <c r="GA63" s="450">
        <f t="shared" si="47"/>
        <v>680.96</v>
      </c>
      <c r="GG63" s="817" t="s">
        <v>553</v>
      </c>
      <c r="GH63" s="818" t="s">
        <v>377</v>
      </c>
      <c r="GI63" s="819">
        <v>576000</v>
      </c>
      <c r="GJ63" s="819">
        <v>396000</v>
      </c>
      <c r="GK63" s="819">
        <v>180000</v>
      </c>
      <c r="GL63" s="819">
        <v>396000</v>
      </c>
      <c r="GM63" s="819">
        <v>0</v>
      </c>
      <c r="GN63" s="450">
        <f t="shared" si="48"/>
        <v>576</v>
      </c>
      <c r="GO63" s="450">
        <f t="shared" si="49"/>
        <v>396</v>
      </c>
      <c r="GP63" s="450">
        <f t="shared" si="50"/>
        <v>180</v>
      </c>
      <c r="GQ63" s="450">
        <f t="shared" si="51"/>
        <v>396</v>
      </c>
      <c r="GR63" s="450">
        <f t="shared" si="52"/>
        <v>0</v>
      </c>
      <c r="GV63" s="841" t="s">
        <v>588</v>
      </c>
      <c r="GW63" s="840">
        <v>8922144</v>
      </c>
      <c r="GX63" s="450">
        <f t="shared" si="53"/>
        <v>8922.1440000000002</v>
      </c>
      <c r="HB63" s="843" t="s">
        <v>584</v>
      </c>
      <c r="HC63" s="819">
        <v>1188917000</v>
      </c>
      <c r="HD63" s="819">
        <v>1107365722</v>
      </c>
      <c r="HE63" s="819">
        <v>81551278</v>
      </c>
      <c r="HF63" s="819">
        <v>1107365722</v>
      </c>
      <c r="HG63" s="450">
        <f t="shared" si="54"/>
        <v>1188917</v>
      </c>
      <c r="HH63" s="450">
        <f t="shared" si="55"/>
        <v>81551.278000000006</v>
      </c>
      <c r="HI63" s="450">
        <f t="shared" si="56"/>
        <v>1107365.7220000001</v>
      </c>
      <c r="HJ63" s="450">
        <f t="shared" si="57"/>
        <v>81551.278000000006</v>
      </c>
      <c r="HK63" s="450">
        <f t="shared" si="58"/>
        <v>1107365.7220000001</v>
      </c>
    </row>
    <row r="64" spans="1:219" ht="15" customHeight="1" x14ac:dyDescent="0.3">
      <c r="A64" s="295" t="s">
        <v>553</v>
      </c>
      <c r="B64" s="296" t="s">
        <v>588</v>
      </c>
      <c r="C64" s="297">
        <v>15553000</v>
      </c>
      <c r="D64" s="298">
        <f t="shared" si="3"/>
        <v>16532.839</v>
      </c>
      <c r="E64" s="297">
        <v>0</v>
      </c>
      <c r="F64" s="297">
        <f t="shared" si="4"/>
        <v>0</v>
      </c>
      <c r="J64" s="299" t="s">
        <v>553</v>
      </c>
      <c r="K64" s="300" t="s">
        <v>393</v>
      </c>
      <c r="L64" s="301">
        <v>0</v>
      </c>
      <c r="M64" s="301">
        <f t="shared" si="5"/>
        <v>0</v>
      </c>
      <c r="Q64" s="299" t="s">
        <v>553</v>
      </c>
      <c r="R64" s="300" t="s">
        <v>588</v>
      </c>
      <c r="S64" s="301">
        <v>15553000</v>
      </c>
      <c r="T64" s="301">
        <v>0</v>
      </c>
      <c r="U64" s="301">
        <f t="shared" si="6"/>
        <v>16532.839</v>
      </c>
      <c r="V64" s="301">
        <f t="shared" si="7"/>
        <v>0</v>
      </c>
      <c r="Z64" s="296" t="s">
        <v>593</v>
      </c>
      <c r="AA64" s="297">
        <v>548956</v>
      </c>
      <c r="AB64" s="297">
        <f t="shared" si="8"/>
        <v>583.54022799999996</v>
      </c>
      <c r="AF64" s="452" t="s">
        <v>588</v>
      </c>
      <c r="AG64" s="453">
        <v>15553000</v>
      </c>
      <c r="AH64" s="453">
        <f t="shared" si="59"/>
        <v>16532.839</v>
      </c>
      <c r="AI64" s="297">
        <v>0</v>
      </c>
      <c r="AL64" s="450"/>
      <c r="AN64" s="447" t="s">
        <v>553</v>
      </c>
      <c r="AO64" s="448" t="s">
        <v>384</v>
      </c>
      <c r="AP64" s="449">
        <v>130874</v>
      </c>
      <c r="AQ64" s="449">
        <f t="shared" si="9"/>
        <v>139.11906199999999</v>
      </c>
      <c r="AU64" s="447" t="s">
        <v>553</v>
      </c>
      <c r="AV64" s="448" t="s">
        <v>588</v>
      </c>
      <c r="AW64" s="449">
        <v>6854061</v>
      </c>
      <c r="AX64" s="449">
        <v>0</v>
      </c>
      <c r="AY64" s="449">
        <v>6854061</v>
      </c>
      <c r="AZ64" s="450">
        <f t="shared" si="10"/>
        <v>7285.8668429999989</v>
      </c>
      <c r="BA64" s="450">
        <f t="shared" si="11"/>
        <v>0</v>
      </c>
      <c r="BB64" s="450">
        <f t="shared" si="12"/>
        <v>7285.8668429999989</v>
      </c>
      <c r="BF64" s="447" t="s">
        <v>553</v>
      </c>
      <c r="BG64" s="448" t="s">
        <v>392</v>
      </c>
      <c r="BH64" s="449">
        <v>5465146</v>
      </c>
      <c r="BI64" s="450">
        <f t="shared" si="13"/>
        <v>5465.1459999999997</v>
      </c>
      <c r="BM64" s="451" t="s">
        <v>553</v>
      </c>
      <c r="BN64" s="94" t="s">
        <v>587</v>
      </c>
      <c r="BO64" s="95">
        <v>0</v>
      </c>
      <c r="BP64" s="95">
        <v>359380</v>
      </c>
      <c r="BQ64" s="95">
        <v>359380</v>
      </c>
      <c r="BR64" s="95">
        <v>0</v>
      </c>
      <c r="BS64" s="95">
        <v>0</v>
      </c>
      <c r="BT64" s="450">
        <f t="shared" si="14"/>
        <v>359.38</v>
      </c>
      <c r="BU64" s="450">
        <f t="shared" si="15"/>
        <v>359.38</v>
      </c>
      <c r="BV64" s="450">
        <f t="shared" si="16"/>
        <v>0</v>
      </c>
      <c r="BW64" s="450">
        <f t="shared" si="17"/>
        <v>0</v>
      </c>
      <c r="CA64" s="94" t="s">
        <v>589</v>
      </c>
      <c r="CB64" s="450">
        <v>0</v>
      </c>
      <c r="CC64" s="450">
        <f t="shared" si="18"/>
        <v>0</v>
      </c>
      <c r="CG64" s="448" t="s">
        <v>379</v>
      </c>
      <c r="CH64" s="449">
        <v>0</v>
      </c>
      <c r="CI64" s="449">
        <v>11545030</v>
      </c>
      <c r="CJ64" s="449">
        <v>-11545030</v>
      </c>
      <c r="CK64" s="449">
        <v>8864272</v>
      </c>
      <c r="CL64" s="449">
        <v>2680758</v>
      </c>
      <c r="CM64" s="449">
        <v>8504892</v>
      </c>
      <c r="CN64" s="449">
        <f t="shared" si="19"/>
        <v>11545.03</v>
      </c>
      <c r="CO64" s="449">
        <f t="shared" si="20"/>
        <v>8864.2720000000008</v>
      </c>
      <c r="CP64" s="449">
        <f t="shared" si="21"/>
        <v>2680.7579999999998</v>
      </c>
      <c r="CQ64" s="449">
        <f t="shared" si="22"/>
        <v>8504.8919999999998</v>
      </c>
      <c r="CU64" s="448" t="s">
        <v>592</v>
      </c>
      <c r="CV64" s="449">
        <v>0</v>
      </c>
      <c r="CW64" s="449">
        <v>310564</v>
      </c>
      <c r="CX64" s="450">
        <f t="shared" si="23"/>
        <v>0</v>
      </c>
      <c r="CY64" s="450">
        <f t="shared" si="24"/>
        <v>310.56400000000002</v>
      </c>
      <c r="DB64" s="602" t="s">
        <v>379</v>
      </c>
      <c r="DC64" s="603">
        <v>11545030</v>
      </c>
      <c r="DD64" s="603">
        <v>8864272</v>
      </c>
      <c r="DE64" s="603">
        <v>2680758</v>
      </c>
      <c r="DF64" s="603">
        <v>8504892</v>
      </c>
      <c r="DG64" s="604">
        <f t="shared" si="25"/>
        <v>11545.03</v>
      </c>
      <c r="DH64" s="604">
        <f t="shared" si="26"/>
        <v>8864.2720000000008</v>
      </c>
      <c r="DI64" s="604">
        <f t="shared" si="27"/>
        <v>2680.7579999999998</v>
      </c>
      <c r="DJ64" s="604">
        <f t="shared" si="28"/>
        <v>8504.8919999999998</v>
      </c>
      <c r="DN64" s="94" t="s">
        <v>388</v>
      </c>
      <c r="DO64" s="94">
        <v>2100000</v>
      </c>
      <c r="DP64" s="94">
        <v>1259100</v>
      </c>
      <c r="DQ64" s="666">
        <f t="shared" si="29"/>
        <v>2100</v>
      </c>
      <c r="DR64" s="666">
        <f t="shared" si="30"/>
        <v>1259.0999999999999</v>
      </c>
      <c r="DV64" s="94" t="s">
        <v>378</v>
      </c>
      <c r="DW64" s="95">
        <v>2169280700</v>
      </c>
      <c r="DX64" s="95">
        <v>2081805942</v>
      </c>
      <c r="DY64" s="95">
        <v>87474758</v>
      </c>
      <c r="DZ64" s="95">
        <v>1380204317</v>
      </c>
      <c r="EA64" s="95">
        <f t="shared" si="31"/>
        <v>2169280.7000000002</v>
      </c>
      <c r="EB64" s="95">
        <f t="shared" si="32"/>
        <v>2081805.942</v>
      </c>
      <c r="EC64" s="95">
        <f t="shared" si="33"/>
        <v>87474.758000000002</v>
      </c>
      <c r="ED64" s="95">
        <f t="shared" si="34"/>
        <v>1380204.317</v>
      </c>
      <c r="EH64" s="444" t="s">
        <v>384</v>
      </c>
      <c r="EI64" s="444">
        <v>6888348</v>
      </c>
      <c r="EJ64" s="450">
        <f t="shared" si="35"/>
        <v>6888.348</v>
      </c>
      <c r="EN64" s="444" t="s">
        <v>378</v>
      </c>
      <c r="EO64" s="450">
        <v>2169283000</v>
      </c>
      <c r="EP64" s="450">
        <v>2000857038</v>
      </c>
      <c r="EQ64" s="450">
        <v>168425962</v>
      </c>
      <c r="ER64" s="450">
        <v>1661528933</v>
      </c>
      <c r="ES64" s="746">
        <f t="shared" si="36"/>
        <v>2169283</v>
      </c>
      <c r="ET64" s="746">
        <f t="shared" si="37"/>
        <v>2000857.0379999999</v>
      </c>
      <c r="EU64" s="746">
        <f t="shared" si="38"/>
        <v>168425.962</v>
      </c>
      <c r="EV64" s="746">
        <f t="shared" si="39"/>
        <v>1661528.933</v>
      </c>
      <c r="EZ64" s="780" t="s">
        <v>553</v>
      </c>
      <c r="FA64" s="781" t="s">
        <v>594</v>
      </c>
      <c r="FB64" s="444">
        <v>168147</v>
      </c>
      <c r="FC64" s="450">
        <f t="shared" si="40"/>
        <v>168.14699999999999</v>
      </c>
      <c r="FG64" s="785" t="s">
        <v>449</v>
      </c>
      <c r="FH64" s="784" t="s">
        <v>378</v>
      </c>
      <c r="FI64" s="782">
        <v>2576163000</v>
      </c>
      <c r="FJ64" s="783">
        <v>2317989519</v>
      </c>
      <c r="FK64" s="783">
        <v>258173481</v>
      </c>
      <c r="FL64" s="783">
        <v>1875793106</v>
      </c>
      <c r="FM64" s="450">
        <f t="shared" si="41"/>
        <v>2576163</v>
      </c>
      <c r="FN64" s="450">
        <f t="shared" si="42"/>
        <v>2317989.5189999999</v>
      </c>
      <c r="FO64" s="450">
        <f t="shared" si="43"/>
        <v>258173.481</v>
      </c>
      <c r="FP64" s="450">
        <f t="shared" si="44"/>
        <v>1875793.1059999999</v>
      </c>
      <c r="FT64" s="451" t="s">
        <v>553</v>
      </c>
      <c r="FU64" s="94" t="s">
        <v>383</v>
      </c>
      <c r="FV64" s="95">
        <v>-10</v>
      </c>
      <c r="FW64" s="95">
        <v>-10</v>
      </c>
      <c r="FX64" s="95">
        <v>0</v>
      </c>
      <c r="FY64" s="450">
        <f t="shared" si="45"/>
        <v>-0.01</v>
      </c>
      <c r="FZ64" s="450">
        <f t="shared" si="46"/>
        <v>-0.01</v>
      </c>
      <c r="GA64" s="450">
        <f t="shared" si="47"/>
        <v>0</v>
      </c>
      <c r="GG64" s="817" t="s">
        <v>449</v>
      </c>
      <c r="GH64" s="818" t="s">
        <v>378</v>
      </c>
      <c r="GI64" s="819">
        <v>2655147000</v>
      </c>
      <c r="GJ64" s="819">
        <v>2491723802</v>
      </c>
      <c r="GK64" s="819">
        <v>163423198</v>
      </c>
      <c r="GL64" s="819">
        <v>2105007132</v>
      </c>
      <c r="GM64" s="819">
        <v>386716670</v>
      </c>
      <c r="GN64" s="450">
        <f t="shared" si="48"/>
        <v>2655147</v>
      </c>
      <c r="GO64" s="450">
        <f t="shared" si="49"/>
        <v>2491723.8020000001</v>
      </c>
      <c r="GP64" s="450">
        <f t="shared" si="50"/>
        <v>163423.198</v>
      </c>
      <c r="GQ64" s="450">
        <f t="shared" si="51"/>
        <v>2105007.1320000002</v>
      </c>
      <c r="GR64" s="450">
        <f t="shared" si="52"/>
        <v>386716.67</v>
      </c>
      <c r="GV64" s="841" t="s">
        <v>381</v>
      </c>
      <c r="GW64" s="840">
        <v>18032290</v>
      </c>
      <c r="GX64" s="450">
        <f t="shared" si="53"/>
        <v>18032.29</v>
      </c>
      <c r="HB64" s="843" t="s">
        <v>585</v>
      </c>
      <c r="HC64" s="819">
        <v>1173632999</v>
      </c>
      <c r="HD64" s="819">
        <v>1094467591</v>
      </c>
      <c r="HE64" s="819">
        <v>79165408</v>
      </c>
      <c r="HF64" s="819">
        <v>1094467591</v>
      </c>
      <c r="HG64" s="450">
        <f t="shared" si="54"/>
        <v>1173632.9990000001</v>
      </c>
      <c r="HH64" s="450">
        <f t="shared" si="55"/>
        <v>79165.407999999996</v>
      </c>
      <c r="HI64" s="450">
        <f t="shared" si="56"/>
        <v>1094467.591</v>
      </c>
      <c r="HJ64" s="450">
        <f t="shared" si="57"/>
        <v>79165.407999999996</v>
      </c>
      <c r="HK64" s="450">
        <f t="shared" si="58"/>
        <v>1094467.591</v>
      </c>
    </row>
    <row r="65" spans="1:219" ht="15" customHeight="1" x14ac:dyDescent="0.3">
      <c r="A65" s="295" t="s">
        <v>553</v>
      </c>
      <c r="B65" s="296" t="s">
        <v>380</v>
      </c>
      <c r="C65" s="297">
        <v>3276000</v>
      </c>
      <c r="D65" s="298">
        <f t="shared" si="3"/>
        <v>3482.3879999999999</v>
      </c>
      <c r="E65" s="297">
        <v>0</v>
      </c>
      <c r="F65" s="297">
        <f t="shared" si="4"/>
        <v>0</v>
      </c>
      <c r="J65" s="299" t="s">
        <v>553</v>
      </c>
      <c r="K65" s="300" t="s">
        <v>394</v>
      </c>
      <c r="L65" s="301">
        <v>479808</v>
      </c>
      <c r="M65" s="301">
        <f t="shared" si="5"/>
        <v>510.03590399999996</v>
      </c>
      <c r="Q65" s="299" t="s">
        <v>553</v>
      </c>
      <c r="R65" s="300" t="s">
        <v>380</v>
      </c>
      <c r="S65" s="301">
        <v>3276000</v>
      </c>
      <c r="T65" s="301">
        <v>0</v>
      </c>
      <c r="U65" s="301">
        <f t="shared" si="6"/>
        <v>3482.3879999999999</v>
      </c>
      <c r="V65" s="301">
        <f t="shared" si="7"/>
        <v>0</v>
      </c>
      <c r="Z65" s="296" t="s">
        <v>385</v>
      </c>
      <c r="AA65" s="297">
        <v>0</v>
      </c>
      <c r="AB65" s="297">
        <f t="shared" si="8"/>
        <v>0</v>
      </c>
      <c r="AF65" s="452" t="s">
        <v>380</v>
      </c>
      <c r="AG65" s="453">
        <v>3276000</v>
      </c>
      <c r="AH65" s="453">
        <f t="shared" si="59"/>
        <v>3482.3879999999999</v>
      </c>
      <c r="AI65" s="297">
        <v>0</v>
      </c>
      <c r="AL65" s="450"/>
      <c r="AN65" s="447" t="s">
        <v>553</v>
      </c>
      <c r="AO65" s="448" t="s">
        <v>590</v>
      </c>
      <c r="AP65" s="449">
        <v>0</v>
      </c>
      <c r="AQ65" s="449">
        <f t="shared" si="9"/>
        <v>0</v>
      </c>
      <c r="AU65" s="447" t="s">
        <v>553</v>
      </c>
      <c r="AV65" s="448" t="s">
        <v>380</v>
      </c>
      <c r="AW65" s="449">
        <v>3276000</v>
      </c>
      <c r="AX65" s="449">
        <v>0</v>
      </c>
      <c r="AY65" s="449">
        <v>3276000</v>
      </c>
      <c r="AZ65" s="450">
        <f t="shared" si="10"/>
        <v>3482.3879999999999</v>
      </c>
      <c r="BA65" s="450">
        <f t="shared" si="11"/>
        <v>0</v>
      </c>
      <c r="BB65" s="450">
        <f t="shared" si="12"/>
        <v>3482.3879999999999</v>
      </c>
      <c r="BF65" s="447" t="s">
        <v>553</v>
      </c>
      <c r="BG65" s="448" t="s">
        <v>393</v>
      </c>
      <c r="BH65" s="449">
        <v>0</v>
      </c>
      <c r="BI65" s="450">
        <f t="shared" si="13"/>
        <v>0</v>
      </c>
      <c r="BM65" s="451" t="s">
        <v>553</v>
      </c>
      <c r="BN65" s="94" t="s">
        <v>588</v>
      </c>
      <c r="BO65" s="95">
        <v>0</v>
      </c>
      <c r="BP65" s="95">
        <v>7909650</v>
      </c>
      <c r="BQ65" s="95">
        <v>0</v>
      </c>
      <c r="BR65" s="95">
        <v>7909650</v>
      </c>
      <c r="BS65" s="95">
        <v>0</v>
      </c>
      <c r="BT65" s="450">
        <f t="shared" si="14"/>
        <v>7909.65</v>
      </c>
      <c r="BU65" s="450">
        <f t="shared" si="15"/>
        <v>0</v>
      </c>
      <c r="BV65" s="450">
        <f t="shared" si="16"/>
        <v>7909.65</v>
      </c>
      <c r="BW65" s="450">
        <f t="shared" si="17"/>
        <v>0</v>
      </c>
      <c r="CA65" s="94" t="s">
        <v>384</v>
      </c>
      <c r="CB65" s="450">
        <v>4525757</v>
      </c>
      <c r="CC65" s="450">
        <f t="shared" si="18"/>
        <v>4525.7569999999996</v>
      </c>
      <c r="CG65" s="448" t="s">
        <v>587</v>
      </c>
      <c r="CH65" s="449">
        <v>0</v>
      </c>
      <c r="CI65" s="449">
        <v>359380</v>
      </c>
      <c r="CJ65" s="449">
        <v>-359380</v>
      </c>
      <c r="CK65" s="449">
        <v>359380</v>
      </c>
      <c r="CL65" s="449">
        <v>0</v>
      </c>
      <c r="CM65" s="449">
        <v>0</v>
      </c>
      <c r="CN65" s="449">
        <f t="shared" si="19"/>
        <v>359.38</v>
      </c>
      <c r="CO65" s="449">
        <f t="shared" si="20"/>
        <v>359.38</v>
      </c>
      <c r="CP65" s="449">
        <f t="shared" si="21"/>
        <v>0</v>
      </c>
      <c r="CQ65" s="449">
        <f t="shared" si="22"/>
        <v>0</v>
      </c>
      <c r="CU65" s="448" t="s">
        <v>593</v>
      </c>
      <c r="CV65" s="449">
        <v>220434</v>
      </c>
      <c r="CW65" s="449">
        <v>537799</v>
      </c>
      <c r="CX65" s="450">
        <f t="shared" si="23"/>
        <v>220.434</v>
      </c>
      <c r="CY65" s="450">
        <f t="shared" si="24"/>
        <v>537.79899999999998</v>
      </c>
      <c r="DB65" s="602" t="s">
        <v>587</v>
      </c>
      <c r="DC65" s="603">
        <v>359380</v>
      </c>
      <c r="DD65" s="603">
        <v>359380</v>
      </c>
      <c r="DE65" s="603">
        <v>0</v>
      </c>
      <c r="DF65" s="603">
        <v>0</v>
      </c>
      <c r="DG65" s="604">
        <f t="shared" si="25"/>
        <v>359.38</v>
      </c>
      <c r="DH65" s="604">
        <f t="shared" si="26"/>
        <v>359.38</v>
      </c>
      <c r="DI65" s="604">
        <f t="shared" si="27"/>
        <v>0</v>
      </c>
      <c r="DJ65" s="604">
        <f t="shared" si="28"/>
        <v>0</v>
      </c>
      <c r="DN65" s="94" t="s">
        <v>389</v>
      </c>
      <c r="DO65" s="94">
        <v>5615000</v>
      </c>
      <c r="DP65" s="94">
        <v>236516</v>
      </c>
      <c r="DQ65" s="666">
        <f t="shared" si="29"/>
        <v>5615</v>
      </c>
      <c r="DR65" s="666">
        <f t="shared" si="30"/>
        <v>236.51599999999999</v>
      </c>
      <c r="DV65" s="94" t="s">
        <v>379</v>
      </c>
      <c r="DW65" s="95">
        <v>8864272</v>
      </c>
      <c r="DX65" s="95">
        <v>8864272</v>
      </c>
      <c r="DY65" s="95">
        <v>0</v>
      </c>
      <c r="DZ65" s="95">
        <v>8504892</v>
      </c>
      <c r="EA65" s="95">
        <f t="shared" si="31"/>
        <v>8864.2720000000008</v>
      </c>
      <c r="EB65" s="95">
        <f t="shared" si="32"/>
        <v>8864.2720000000008</v>
      </c>
      <c r="EC65" s="95">
        <f t="shared" si="33"/>
        <v>0</v>
      </c>
      <c r="ED65" s="95">
        <f t="shared" si="34"/>
        <v>8504.8919999999998</v>
      </c>
      <c r="EH65" s="444" t="s">
        <v>591</v>
      </c>
      <c r="EI65" s="444">
        <v>534429</v>
      </c>
      <c r="EJ65" s="450">
        <f t="shared" si="35"/>
        <v>534.42899999999997</v>
      </c>
      <c r="EN65" s="444" t="s">
        <v>379</v>
      </c>
      <c r="EO65" s="450">
        <v>19003072</v>
      </c>
      <c r="EP65" s="450">
        <v>17786416</v>
      </c>
      <c r="EQ65" s="450">
        <v>1216656</v>
      </c>
      <c r="ER65" s="450">
        <v>8504892</v>
      </c>
      <c r="ES65" s="746">
        <f t="shared" si="36"/>
        <v>19003.072</v>
      </c>
      <c r="ET65" s="746">
        <f t="shared" si="37"/>
        <v>17786.416000000001</v>
      </c>
      <c r="EU65" s="746">
        <f t="shared" si="38"/>
        <v>1216.6559999999999</v>
      </c>
      <c r="EV65" s="746">
        <f t="shared" si="39"/>
        <v>8504.8919999999998</v>
      </c>
      <c r="EZ65" s="780" t="s">
        <v>553</v>
      </c>
      <c r="FA65" s="781" t="s">
        <v>385</v>
      </c>
      <c r="FB65" s="444">
        <v>0</v>
      </c>
      <c r="FC65" s="450">
        <f t="shared" si="40"/>
        <v>0</v>
      </c>
      <c r="FG65" s="785" t="s">
        <v>355</v>
      </c>
      <c r="FH65" s="784" t="s">
        <v>379</v>
      </c>
      <c r="FI65" s="782">
        <v>19003072</v>
      </c>
      <c r="FJ65" s="783">
        <v>17786416</v>
      </c>
      <c r="FK65" s="783">
        <v>1216656</v>
      </c>
      <c r="FL65" s="783">
        <v>8864272</v>
      </c>
      <c r="FM65" s="450">
        <f t="shared" si="41"/>
        <v>19003.072</v>
      </c>
      <c r="FN65" s="450">
        <f t="shared" si="42"/>
        <v>17786.416000000001</v>
      </c>
      <c r="FO65" s="450">
        <f t="shared" si="43"/>
        <v>1216.6559999999999</v>
      </c>
      <c r="FP65" s="450">
        <f t="shared" si="44"/>
        <v>8864.2720000000008</v>
      </c>
      <c r="FT65" s="451" t="s">
        <v>553</v>
      </c>
      <c r="FU65" s="94" t="s">
        <v>882</v>
      </c>
      <c r="FV65" s="95">
        <v>0</v>
      </c>
      <c r="FW65" s="95">
        <v>0</v>
      </c>
      <c r="FX65" s="95">
        <v>0</v>
      </c>
      <c r="FY65" s="450">
        <f t="shared" si="45"/>
        <v>0</v>
      </c>
      <c r="FZ65" s="450">
        <f t="shared" si="46"/>
        <v>0</v>
      </c>
      <c r="GA65" s="450">
        <f t="shared" si="47"/>
        <v>0</v>
      </c>
      <c r="GG65" s="817" t="s">
        <v>355</v>
      </c>
      <c r="GH65" s="818" t="s">
        <v>379</v>
      </c>
      <c r="GI65" s="819">
        <v>19106152</v>
      </c>
      <c r="GJ65" s="819">
        <v>19106152</v>
      </c>
      <c r="GK65" s="819">
        <v>0</v>
      </c>
      <c r="GL65" s="819">
        <v>10184002</v>
      </c>
      <c r="GM65" s="819">
        <v>8922150</v>
      </c>
      <c r="GN65" s="450">
        <f t="shared" si="48"/>
        <v>19106.151999999998</v>
      </c>
      <c r="GO65" s="450">
        <f t="shared" si="49"/>
        <v>19106.151999999998</v>
      </c>
      <c r="GP65" s="450">
        <f t="shared" si="50"/>
        <v>0</v>
      </c>
      <c r="GQ65" s="450">
        <f t="shared" si="51"/>
        <v>10184.002</v>
      </c>
      <c r="GR65" s="450">
        <f t="shared" si="52"/>
        <v>8922.15</v>
      </c>
      <c r="GV65" s="841" t="s">
        <v>382</v>
      </c>
      <c r="GW65" s="840">
        <v>6399670</v>
      </c>
      <c r="GX65" s="450">
        <f t="shared" si="53"/>
        <v>6399.67</v>
      </c>
      <c r="HB65" s="843" t="s">
        <v>586</v>
      </c>
      <c r="HC65" s="819">
        <v>15284001</v>
      </c>
      <c r="HD65" s="819">
        <v>12898131</v>
      </c>
      <c r="HE65" s="819">
        <v>2385870</v>
      </c>
      <c r="HF65" s="819">
        <v>12898131</v>
      </c>
      <c r="HG65" s="450">
        <f t="shared" si="54"/>
        <v>15284.001</v>
      </c>
      <c r="HH65" s="450">
        <f t="shared" si="55"/>
        <v>2385.87</v>
      </c>
      <c r="HI65" s="450">
        <f t="shared" si="56"/>
        <v>12898.130999999999</v>
      </c>
      <c r="HJ65" s="450">
        <f t="shared" si="57"/>
        <v>2385.87</v>
      </c>
      <c r="HK65" s="450">
        <f t="shared" si="58"/>
        <v>12898.130999999999</v>
      </c>
    </row>
    <row r="66" spans="1:219" ht="15" customHeight="1" x14ac:dyDescent="0.3">
      <c r="A66" s="295" t="s">
        <v>355</v>
      </c>
      <c r="B66" s="296" t="s">
        <v>381</v>
      </c>
      <c r="C66" s="297">
        <v>27621360</v>
      </c>
      <c r="D66" s="298">
        <f t="shared" si="3"/>
        <v>29361.505679999998</v>
      </c>
      <c r="E66" s="297">
        <v>407971</v>
      </c>
      <c r="F66" s="297">
        <f t="shared" si="4"/>
        <v>433.67317299999996</v>
      </c>
      <c r="J66" s="299" t="s">
        <v>553</v>
      </c>
      <c r="K66" s="300" t="s">
        <v>595</v>
      </c>
      <c r="L66" s="301">
        <v>2885929</v>
      </c>
      <c r="M66" s="301">
        <f t="shared" si="5"/>
        <v>3067.7425269999999</v>
      </c>
      <c r="Q66" s="299" t="s">
        <v>355</v>
      </c>
      <c r="R66" s="300" t="s">
        <v>381</v>
      </c>
      <c r="S66" s="301">
        <v>28376205</v>
      </c>
      <c r="T66" s="301">
        <v>3029921</v>
      </c>
      <c r="U66" s="301">
        <f t="shared" si="6"/>
        <v>30163.905914999999</v>
      </c>
      <c r="V66" s="301">
        <f t="shared" si="7"/>
        <v>3220.8060229999996</v>
      </c>
      <c r="Z66" s="296" t="s">
        <v>386</v>
      </c>
      <c r="AA66" s="297">
        <v>446250</v>
      </c>
      <c r="AB66" s="297">
        <f t="shared" si="8"/>
        <v>474.36374999999998</v>
      </c>
      <c r="AF66" s="452" t="s">
        <v>381</v>
      </c>
      <c r="AG66" s="453">
        <v>29589152</v>
      </c>
      <c r="AH66" s="453">
        <f t="shared" si="59"/>
        <v>31453.268575999995</v>
      </c>
      <c r="AI66" s="297">
        <v>6926364</v>
      </c>
      <c r="AL66" s="450"/>
      <c r="AN66" s="447" t="s">
        <v>553</v>
      </c>
      <c r="AO66" s="448" t="s">
        <v>591</v>
      </c>
      <c r="AP66" s="449">
        <v>0</v>
      </c>
      <c r="AQ66" s="449">
        <f t="shared" si="9"/>
        <v>0</v>
      </c>
      <c r="AU66" s="447" t="s">
        <v>355</v>
      </c>
      <c r="AV66" s="448" t="s">
        <v>381</v>
      </c>
      <c r="AW66" s="449">
        <v>31985580</v>
      </c>
      <c r="AX66" s="449">
        <v>16406979</v>
      </c>
      <c r="AY66" s="449">
        <v>15578601</v>
      </c>
      <c r="AZ66" s="450">
        <f t="shared" si="10"/>
        <v>34000.671540000003</v>
      </c>
      <c r="BA66" s="450">
        <f t="shared" si="11"/>
        <v>17440.618676999999</v>
      </c>
      <c r="BB66" s="450">
        <f t="shared" si="12"/>
        <v>16560.052863000001</v>
      </c>
      <c r="BF66" s="447" t="s">
        <v>553</v>
      </c>
      <c r="BG66" s="448" t="s">
        <v>394</v>
      </c>
      <c r="BH66" s="449">
        <v>479808</v>
      </c>
      <c r="BI66" s="450">
        <f t="shared" si="13"/>
        <v>479.80799999999999</v>
      </c>
      <c r="BM66" s="451" t="s">
        <v>553</v>
      </c>
      <c r="BN66" s="94" t="s">
        <v>380</v>
      </c>
      <c r="BO66" s="95">
        <v>0</v>
      </c>
      <c r="BP66" s="95">
        <v>3276000</v>
      </c>
      <c r="BQ66" s="95">
        <v>0</v>
      </c>
      <c r="BR66" s="95">
        <v>3276000</v>
      </c>
      <c r="BS66" s="95">
        <v>0</v>
      </c>
      <c r="BT66" s="450">
        <f t="shared" si="14"/>
        <v>3276</v>
      </c>
      <c r="BU66" s="450">
        <f t="shared" si="15"/>
        <v>0</v>
      </c>
      <c r="BV66" s="450">
        <f t="shared" si="16"/>
        <v>3276</v>
      </c>
      <c r="BW66" s="450">
        <f t="shared" si="17"/>
        <v>0</v>
      </c>
      <c r="CA66" s="94" t="s">
        <v>591</v>
      </c>
      <c r="CB66" s="450">
        <v>0</v>
      </c>
      <c r="CC66" s="450">
        <f t="shared" si="18"/>
        <v>0</v>
      </c>
      <c r="CG66" s="448" t="s">
        <v>588</v>
      </c>
      <c r="CH66" s="449">
        <v>0</v>
      </c>
      <c r="CI66" s="449">
        <v>7909650</v>
      </c>
      <c r="CJ66" s="449">
        <v>-7909650</v>
      </c>
      <c r="CK66" s="449">
        <v>6960492</v>
      </c>
      <c r="CL66" s="449">
        <v>949158</v>
      </c>
      <c r="CM66" s="449">
        <v>6960492</v>
      </c>
      <c r="CN66" s="449">
        <f t="shared" si="19"/>
        <v>7909.65</v>
      </c>
      <c r="CO66" s="449">
        <f t="shared" si="20"/>
        <v>6960.4920000000002</v>
      </c>
      <c r="CP66" s="449">
        <f t="shared" si="21"/>
        <v>949.15800000000002</v>
      </c>
      <c r="CQ66" s="449">
        <f t="shared" si="22"/>
        <v>6960.4920000000002</v>
      </c>
      <c r="CU66" s="448" t="s">
        <v>594</v>
      </c>
      <c r="CV66" s="449">
        <v>947895</v>
      </c>
      <c r="CW66" s="449">
        <v>0</v>
      </c>
      <c r="CX66" s="450">
        <f t="shared" si="23"/>
        <v>947.89499999999998</v>
      </c>
      <c r="CY66" s="450">
        <f t="shared" si="24"/>
        <v>0</v>
      </c>
      <c r="DB66" s="602" t="s">
        <v>588</v>
      </c>
      <c r="DC66" s="603">
        <v>7909650</v>
      </c>
      <c r="DD66" s="603">
        <v>6960492</v>
      </c>
      <c r="DE66" s="603">
        <v>949158</v>
      </c>
      <c r="DF66" s="603">
        <v>6960492</v>
      </c>
      <c r="DG66" s="604">
        <f t="shared" si="25"/>
        <v>7909.65</v>
      </c>
      <c r="DH66" s="604">
        <f t="shared" si="26"/>
        <v>6960.4920000000002</v>
      </c>
      <c r="DI66" s="604">
        <f t="shared" si="27"/>
        <v>949.15800000000002</v>
      </c>
      <c r="DJ66" s="604">
        <f t="shared" si="28"/>
        <v>6960.4920000000002</v>
      </c>
      <c r="DN66" s="94" t="s">
        <v>390</v>
      </c>
      <c r="DO66" s="94">
        <v>0</v>
      </c>
      <c r="DP66" s="94">
        <v>314500</v>
      </c>
      <c r="DQ66" s="666">
        <f t="shared" si="29"/>
        <v>0</v>
      </c>
      <c r="DR66" s="666">
        <f t="shared" si="30"/>
        <v>314.5</v>
      </c>
      <c r="DV66" s="94" t="s">
        <v>587</v>
      </c>
      <c r="DW66" s="95">
        <v>359380</v>
      </c>
      <c r="DX66" s="95">
        <v>359380</v>
      </c>
      <c r="DY66" s="95">
        <v>0</v>
      </c>
      <c r="DZ66" s="95">
        <v>0</v>
      </c>
      <c r="EA66" s="95">
        <f t="shared" si="31"/>
        <v>359.38</v>
      </c>
      <c r="EB66" s="95">
        <f t="shared" si="32"/>
        <v>359.38</v>
      </c>
      <c r="EC66" s="95">
        <f t="shared" si="33"/>
        <v>0</v>
      </c>
      <c r="ED66" s="95">
        <f t="shared" si="34"/>
        <v>0</v>
      </c>
      <c r="EH66" s="444" t="s">
        <v>593</v>
      </c>
      <c r="EI66" s="444">
        <v>762638</v>
      </c>
      <c r="EJ66" s="450">
        <f t="shared" si="35"/>
        <v>762.63800000000003</v>
      </c>
      <c r="EN66" s="444" t="s">
        <v>587</v>
      </c>
      <c r="EO66" s="450">
        <v>359380</v>
      </c>
      <c r="EP66" s="450">
        <v>359380</v>
      </c>
      <c r="EQ66" s="450">
        <v>0</v>
      </c>
      <c r="ER66" s="450">
        <v>0</v>
      </c>
      <c r="ES66" s="746">
        <f t="shared" si="36"/>
        <v>359.38</v>
      </c>
      <c r="ET66" s="746">
        <f t="shared" si="37"/>
        <v>359.38</v>
      </c>
      <c r="EU66" s="746">
        <f t="shared" si="38"/>
        <v>0</v>
      </c>
      <c r="EV66" s="746">
        <f t="shared" si="39"/>
        <v>0</v>
      </c>
      <c r="EZ66" s="780" t="s">
        <v>355</v>
      </c>
      <c r="FA66" s="781" t="s">
        <v>387</v>
      </c>
      <c r="FB66" s="444">
        <v>11700272</v>
      </c>
      <c r="FC66" s="450">
        <f t="shared" si="40"/>
        <v>11700.272000000001</v>
      </c>
      <c r="FG66" s="785" t="s">
        <v>553</v>
      </c>
      <c r="FH66" s="784" t="s">
        <v>587</v>
      </c>
      <c r="FI66" s="782">
        <v>359380</v>
      </c>
      <c r="FJ66" s="783">
        <v>359380</v>
      </c>
      <c r="FK66" s="783">
        <v>0</v>
      </c>
      <c r="FL66" s="783">
        <v>359380</v>
      </c>
      <c r="FM66" s="450">
        <f t="shared" si="41"/>
        <v>359.38</v>
      </c>
      <c r="FN66" s="450">
        <f t="shared" si="42"/>
        <v>359.38</v>
      </c>
      <c r="FO66" s="450">
        <f t="shared" si="43"/>
        <v>0</v>
      </c>
      <c r="FP66" s="450">
        <f t="shared" si="44"/>
        <v>359.38</v>
      </c>
      <c r="FT66" s="451" t="s">
        <v>553</v>
      </c>
      <c r="FU66" s="94" t="s">
        <v>589</v>
      </c>
      <c r="FV66" s="95">
        <v>1082290</v>
      </c>
      <c r="FW66" s="95">
        <v>-117710</v>
      </c>
      <c r="FX66" s="95">
        <v>618800</v>
      </c>
      <c r="FY66" s="450">
        <f t="shared" si="45"/>
        <v>1082.29</v>
      </c>
      <c r="FZ66" s="450">
        <f t="shared" si="46"/>
        <v>-117.71</v>
      </c>
      <c r="GA66" s="450">
        <f t="shared" si="47"/>
        <v>618.79999999999995</v>
      </c>
      <c r="GG66" s="817" t="s">
        <v>553</v>
      </c>
      <c r="GH66" s="818" t="s">
        <v>587</v>
      </c>
      <c r="GI66" s="819">
        <v>359380</v>
      </c>
      <c r="GJ66" s="819">
        <v>359380</v>
      </c>
      <c r="GK66" s="819">
        <v>0</v>
      </c>
      <c r="GL66" s="819">
        <v>359380</v>
      </c>
      <c r="GM66" s="819">
        <v>0</v>
      </c>
      <c r="GN66" s="450">
        <f t="shared" si="48"/>
        <v>359.38</v>
      </c>
      <c r="GO66" s="450">
        <f t="shared" si="49"/>
        <v>359.38</v>
      </c>
      <c r="GP66" s="450">
        <f t="shared" si="50"/>
        <v>0</v>
      </c>
      <c r="GQ66" s="450">
        <f t="shared" si="51"/>
        <v>359.38</v>
      </c>
      <c r="GR66" s="450">
        <f t="shared" si="52"/>
        <v>0</v>
      </c>
      <c r="GV66" s="841" t="s">
        <v>882</v>
      </c>
      <c r="GW66" s="840">
        <v>504560</v>
      </c>
      <c r="GX66" s="450">
        <f t="shared" si="53"/>
        <v>504.56</v>
      </c>
      <c r="HB66" s="843" t="s">
        <v>376</v>
      </c>
      <c r="HC66" s="819">
        <v>32527308</v>
      </c>
      <c r="HD66" s="819">
        <v>26411453</v>
      </c>
      <c r="HE66" s="819">
        <v>6115855</v>
      </c>
      <c r="HF66" s="819">
        <v>26411453</v>
      </c>
      <c r="HG66" s="450">
        <f t="shared" si="54"/>
        <v>32527.308000000001</v>
      </c>
      <c r="HH66" s="450">
        <f t="shared" si="55"/>
        <v>6115.8549999999996</v>
      </c>
      <c r="HI66" s="450">
        <f t="shared" si="56"/>
        <v>26411.453000000001</v>
      </c>
      <c r="HJ66" s="450">
        <f t="shared" si="57"/>
        <v>6115.8549999999996</v>
      </c>
      <c r="HK66" s="450">
        <f t="shared" si="58"/>
        <v>26411.453000000001</v>
      </c>
    </row>
    <row r="67" spans="1:219" ht="15" customHeight="1" x14ac:dyDescent="0.3">
      <c r="A67" s="295" t="s">
        <v>553</v>
      </c>
      <c r="B67" s="296" t="s">
        <v>382</v>
      </c>
      <c r="C67" s="297">
        <v>4000010</v>
      </c>
      <c r="D67" s="298">
        <f t="shared" si="3"/>
        <v>4252.0106299999998</v>
      </c>
      <c r="E67" s="297">
        <v>24590</v>
      </c>
      <c r="F67" s="297">
        <f t="shared" si="4"/>
        <v>26.13917</v>
      </c>
      <c r="J67" s="299" t="s">
        <v>355</v>
      </c>
      <c r="K67" s="300" t="s">
        <v>395</v>
      </c>
      <c r="L67" s="301">
        <v>692381</v>
      </c>
      <c r="M67" s="301">
        <f t="shared" si="5"/>
        <v>736.00100299999997</v>
      </c>
      <c r="Q67" s="299" t="s">
        <v>553</v>
      </c>
      <c r="R67" s="300" t="s">
        <v>382</v>
      </c>
      <c r="S67" s="301">
        <v>4000010</v>
      </c>
      <c r="T67" s="301">
        <v>24590</v>
      </c>
      <c r="U67" s="301">
        <f t="shared" si="6"/>
        <v>4252.0106299999998</v>
      </c>
      <c r="V67" s="301">
        <f t="shared" si="7"/>
        <v>26.13917</v>
      </c>
      <c r="Z67" s="296" t="s">
        <v>387</v>
      </c>
      <c r="AA67" s="297">
        <v>10356589</v>
      </c>
      <c r="AB67" s="297">
        <f t="shared" si="8"/>
        <v>11009.054107</v>
      </c>
      <c r="AF67" s="452" t="s">
        <v>382</v>
      </c>
      <c r="AG67" s="453">
        <v>3515430</v>
      </c>
      <c r="AH67" s="453">
        <f t="shared" ref="AH67:AH98" si="60">+AG67/$AJ$2*$AK$2</f>
        <v>3736.9020899999996</v>
      </c>
      <c r="AI67" s="297">
        <v>261150</v>
      </c>
      <c r="AL67" s="450"/>
      <c r="AN67" s="447" t="s">
        <v>553</v>
      </c>
      <c r="AO67" s="448" t="s">
        <v>592</v>
      </c>
      <c r="AP67" s="449">
        <v>19140</v>
      </c>
      <c r="AQ67" s="449">
        <f t="shared" si="9"/>
        <v>20.34582</v>
      </c>
      <c r="AU67" s="447" t="s">
        <v>553</v>
      </c>
      <c r="AV67" s="448" t="s">
        <v>382</v>
      </c>
      <c r="AW67" s="449">
        <v>3174064</v>
      </c>
      <c r="AX67" s="449">
        <v>1123795</v>
      </c>
      <c r="AY67" s="449">
        <v>2050269</v>
      </c>
      <c r="AZ67" s="450">
        <f t="shared" si="10"/>
        <v>3374.0300319999997</v>
      </c>
      <c r="BA67" s="450">
        <f t="shared" si="11"/>
        <v>1194.594085</v>
      </c>
      <c r="BB67" s="450">
        <f t="shared" si="12"/>
        <v>2179.4359469999995</v>
      </c>
      <c r="BF67" s="447" t="s">
        <v>553</v>
      </c>
      <c r="BG67" s="448" t="s">
        <v>595</v>
      </c>
      <c r="BH67" s="449">
        <v>2885929</v>
      </c>
      <c r="BI67" s="450">
        <f t="shared" si="13"/>
        <v>2885.9290000000001</v>
      </c>
      <c r="BM67" s="451" t="s">
        <v>355</v>
      </c>
      <c r="BN67" s="94" t="s">
        <v>381</v>
      </c>
      <c r="BO67" s="95">
        <v>0</v>
      </c>
      <c r="BP67" s="95">
        <v>33288322</v>
      </c>
      <c r="BQ67" s="95">
        <v>26641069</v>
      </c>
      <c r="BR67" s="95">
        <v>6647253</v>
      </c>
      <c r="BS67" s="95">
        <v>21086782</v>
      </c>
      <c r="BT67" s="450">
        <f t="shared" si="14"/>
        <v>33288.322</v>
      </c>
      <c r="BU67" s="450">
        <f t="shared" si="15"/>
        <v>26641.069</v>
      </c>
      <c r="BV67" s="450">
        <f t="shared" si="16"/>
        <v>6647.2529999999997</v>
      </c>
      <c r="BW67" s="450">
        <f t="shared" si="17"/>
        <v>21086.781999999999</v>
      </c>
      <c r="CA67" s="94" t="s">
        <v>592</v>
      </c>
      <c r="CB67" s="450">
        <v>0</v>
      </c>
      <c r="CC67" s="450">
        <f t="shared" si="18"/>
        <v>0</v>
      </c>
      <c r="CG67" s="448" t="s">
        <v>380</v>
      </c>
      <c r="CH67" s="449">
        <v>0</v>
      </c>
      <c r="CI67" s="449">
        <v>3276000</v>
      </c>
      <c r="CJ67" s="449">
        <v>-3276000</v>
      </c>
      <c r="CK67" s="449">
        <v>1544400</v>
      </c>
      <c r="CL67" s="449">
        <v>1731600</v>
      </c>
      <c r="CM67" s="449">
        <v>1544400</v>
      </c>
      <c r="CN67" s="449">
        <f t="shared" si="19"/>
        <v>3276</v>
      </c>
      <c r="CO67" s="449">
        <f t="shared" si="20"/>
        <v>1544.4</v>
      </c>
      <c r="CP67" s="449">
        <f t="shared" si="21"/>
        <v>1731.6</v>
      </c>
      <c r="CQ67" s="449">
        <f t="shared" si="22"/>
        <v>1544.4</v>
      </c>
      <c r="CU67" s="448" t="s">
        <v>385</v>
      </c>
      <c r="CV67" s="449">
        <v>4429763</v>
      </c>
      <c r="CW67" s="449">
        <v>295190</v>
      </c>
      <c r="CX67" s="450">
        <f t="shared" si="23"/>
        <v>4429.7629999999999</v>
      </c>
      <c r="CY67" s="450">
        <f t="shared" si="24"/>
        <v>295.19</v>
      </c>
      <c r="DB67" s="602" t="s">
        <v>380</v>
      </c>
      <c r="DC67" s="603">
        <v>3276000</v>
      </c>
      <c r="DD67" s="603">
        <v>1544400</v>
      </c>
      <c r="DE67" s="603">
        <v>1731600</v>
      </c>
      <c r="DF67" s="603">
        <v>1544400</v>
      </c>
      <c r="DG67" s="604">
        <f t="shared" si="25"/>
        <v>3276</v>
      </c>
      <c r="DH67" s="604">
        <f t="shared" si="26"/>
        <v>1544.4</v>
      </c>
      <c r="DI67" s="604">
        <f t="shared" si="27"/>
        <v>1731.6</v>
      </c>
      <c r="DJ67" s="604">
        <f t="shared" si="28"/>
        <v>1544.4</v>
      </c>
      <c r="DN67" s="94" t="s">
        <v>391</v>
      </c>
      <c r="DO67" s="94">
        <v>-5844088</v>
      </c>
      <c r="DP67" s="94">
        <v>921903</v>
      </c>
      <c r="DQ67" s="666">
        <f t="shared" si="29"/>
        <v>-5844.0879999999997</v>
      </c>
      <c r="DR67" s="666">
        <f t="shared" si="30"/>
        <v>921.90300000000002</v>
      </c>
      <c r="DV67" s="94" t="s">
        <v>588</v>
      </c>
      <c r="DW67" s="95">
        <v>6960492</v>
      </c>
      <c r="DX67" s="95">
        <v>6960492</v>
      </c>
      <c r="DY67" s="95">
        <v>0</v>
      </c>
      <c r="DZ67" s="95">
        <v>6960492</v>
      </c>
      <c r="EA67" s="95">
        <f t="shared" si="31"/>
        <v>6960.4920000000002</v>
      </c>
      <c r="EB67" s="95">
        <f t="shared" si="32"/>
        <v>6960.4920000000002</v>
      </c>
      <c r="EC67" s="95">
        <f t="shared" si="33"/>
        <v>0</v>
      </c>
      <c r="ED67" s="95">
        <f t="shared" si="34"/>
        <v>6960.4920000000002</v>
      </c>
      <c r="EH67" s="444" t="s">
        <v>594</v>
      </c>
      <c r="EI67" s="444">
        <v>0</v>
      </c>
      <c r="EJ67" s="450">
        <f t="shared" si="35"/>
        <v>0</v>
      </c>
      <c r="EN67" s="444" t="s">
        <v>588</v>
      </c>
      <c r="EO67" s="450">
        <v>17099292</v>
      </c>
      <c r="EP67" s="450">
        <v>15882636</v>
      </c>
      <c r="EQ67" s="450">
        <v>1216656</v>
      </c>
      <c r="ER67" s="450">
        <v>6960492</v>
      </c>
      <c r="ES67" s="746">
        <f t="shared" si="36"/>
        <v>17099.292000000001</v>
      </c>
      <c r="ET67" s="746">
        <f t="shared" si="37"/>
        <v>15882.636</v>
      </c>
      <c r="EU67" s="746">
        <f t="shared" si="38"/>
        <v>1216.6559999999999</v>
      </c>
      <c r="EV67" s="746">
        <f t="shared" si="39"/>
        <v>6960.4920000000002</v>
      </c>
      <c r="EZ67" s="780" t="s">
        <v>553</v>
      </c>
      <c r="FA67" s="781" t="s">
        <v>388</v>
      </c>
      <c r="FB67" s="444">
        <v>948500</v>
      </c>
      <c r="FC67" s="450">
        <f t="shared" si="40"/>
        <v>948.5</v>
      </c>
      <c r="FG67" s="785" t="s">
        <v>553</v>
      </c>
      <c r="FH67" s="784" t="s">
        <v>588</v>
      </c>
      <c r="FI67" s="782">
        <v>17099292</v>
      </c>
      <c r="FJ67" s="783">
        <v>15882636</v>
      </c>
      <c r="FK67" s="783">
        <v>1216656</v>
      </c>
      <c r="FL67" s="783">
        <v>6960492</v>
      </c>
      <c r="FM67" s="450">
        <f t="shared" si="41"/>
        <v>17099.292000000001</v>
      </c>
      <c r="FN67" s="450">
        <f t="shared" si="42"/>
        <v>15882.636</v>
      </c>
      <c r="FO67" s="450">
        <f t="shared" si="43"/>
        <v>1216.6559999999999</v>
      </c>
      <c r="FP67" s="450">
        <f t="shared" si="44"/>
        <v>6960.4920000000002</v>
      </c>
      <c r="FT67" s="451" t="s">
        <v>553</v>
      </c>
      <c r="FU67" s="94" t="s">
        <v>384</v>
      </c>
      <c r="FV67" s="95">
        <v>913195</v>
      </c>
      <c r="FW67" s="95">
        <v>931068</v>
      </c>
      <c r="FX67" s="95">
        <v>666400</v>
      </c>
      <c r="FY67" s="450">
        <f t="shared" si="45"/>
        <v>913.19500000000005</v>
      </c>
      <c r="FZ67" s="450">
        <f t="shared" si="46"/>
        <v>931.06799999999998</v>
      </c>
      <c r="GA67" s="450">
        <f t="shared" si="47"/>
        <v>666.4</v>
      </c>
      <c r="GG67" s="817" t="s">
        <v>553</v>
      </c>
      <c r="GH67" s="818" t="s">
        <v>588</v>
      </c>
      <c r="GI67" s="819">
        <v>15882636</v>
      </c>
      <c r="GJ67" s="819">
        <v>15882636</v>
      </c>
      <c r="GK67" s="819">
        <v>0</v>
      </c>
      <c r="GL67" s="819">
        <v>6960492</v>
      </c>
      <c r="GM67" s="819">
        <v>8922144</v>
      </c>
      <c r="GN67" s="450">
        <f t="shared" si="48"/>
        <v>15882.636</v>
      </c>
      <c r="GO67" s="450">
        <f t="shared" si="49"/>
        <v>15882.636</v>
      </c>
      <c r="GP67" s="450">
        <f t="shared" si="50"/>
        <v>0</v>
      </c>
      <c r="GQ67" s="450">
        <f t="shared" si="51"/>
        <v>6960.4920000000002</v>
      </c>
      <c r="GR67" s="450">
        <f t="shared" si="52"/>
        <v>8922.1440000000002</v>
      </c>
      <c r="GV67" s="841" t="s">
        <v>589</v>
      </c>
      <c r="GW67" s="840">
        <v>910725</v>
      </c>
      <c r="GX67" s="450">
        <f t="shared" si="53"/>
        <v>910.72500000000002</v>
      </c>
      <c r="HB67" s="843" t="s">
        <v>377</v>
      </c>
      <c r="HC67" s="819">
        <v>576000</v>
      </c>
      <c r="HD67" s="819">
        <v>396000</v>
      </c>
      <c r="HE67" s="819">
        <v>180000</v>
      </c>
      <c r="HF67" s="819">
        <v>396000</v>
      </c>
      <c r="HG67" s="450">
        <f t="shared" si="54"/>
        <v>576</v>
      </c>
      <c r="HH67" s="450">
        <f t="shared" si="55"/>
        <v>180</v>
      </c>
      <c r="HI67" s="450">
        <f t="shared" si="56"/>
        <v>396</v>
      </c>
      <c r="HJ67" s="450">
        <f t="shared" si="57"/>
        <v>180</v>
      </c>
      <c r="HK67" s="450">
        <f t="shared" si="58"/>
        <v>396</v>
      </c>
    </row>
    <row r="68" spans="1:219" ht="15" customHeight="1" x14ac:dyDescent="0.3">
      <c r="A68" s="295" t="s">
        <v>553</v>
      </c>
      <c r="B68" s="296" t="s">
        <v>589</v>
      </c>
      <c r="C68" s="297">
        <v>8347652</v>
      </c>
      <c r="D68" s="298">
        <f t="shared" ref="D68:D131" si="61">+C68/$G$2*$H$2</f>
        <v>8873.5540760000004</v>
      </c>
      <c r="E68" s="297">
        <v>99525</v>
      </c>
      <c r="F68" s="297">
        <f t="shared" ref="F68:F131" si="62">+E68/$G$2*$H$2</f>
        <v>105.795075</v>
      </c>
      <c r="J68" s="299" t="s">
        <v>553</v>
      </c>
      <c r="K68" s="300" t="s">
        <v>597</v>
      </c>
      <c r="L68" s="301">
        <v>271320</v>
      </c>
      <c r="M68" s="301">
        <f t="shared" ref="M68:M99" si="63">+L68/$N$2*$O$2</f>
        <v>288.41316</v>
      </c>
      <c r="Q68" s="299" t="s">
        <v>553</v>
      </c>
      <c r="R68" s="300" t="s">
        <v>589</v>
      </c>
      <c r="S68" s="301">
        <v>8347652</v>
      </c>
      <c r="T68" s="301">
        <v>865048</v>
      </c>
      <c r="U68" s="301">
        <f t="shared" ref="U68:U131" si="64">+S68/$W$2*$X$2</f>
        <v>8873.5540760000004</v>
      </c>
      <c r="V68" s="301">
        <f t="shared" ref="V68:V131" si="65">+T68/$W$2*$X$2</f>
        <v>919.54602399999999</v>
      </c>
      <c r="Z68" s="296" t="s">
        <v>388</v>
      </c>
      <c r="AA68" s="297">
        <v>249700</v>
      </c>
      <c r="AB68" s="297">
        <f t="shared" ref="AB68:AB118" si="66">+AA68/$AC$2*$AD$2</f>
        <v>265.43109999999996</v>
      </c>
      <c r="AF68" s="452" t="s">
        <v>383</v>
      </c>
      <c r="AG68" s="453">
        <v>114240</v>
      </c>
      <c r="AH68" s="453">
        <f t="shared" si="60"/>
        <v>121.43711999999999</v>
      </c>
      <c r="AI68" s="297">
        <v>0</v>
      </c>
      <c r="AL68" s="450"/>
      <c r="AN68" s="447" t="s">
        <v>553</v>
      </c>
      <c r="AO68" s="448" t="s">
        <v>593</v>
      </c>
      <c r="AP68" s="449">
        <v>0</v>
      </c>
      <c r="AQ68" s="449">
        <f t="shared" ref="AQ68:AQ123" si="67">+AP68/$AR$2*$AS$2</f>
        <v>0</v>
      </c>
      <c r="AU68" s="447" t="s">
        <v>553</v>
      </c>
      <c r="AV68" s="448" t="s">
        <v>383</v>
      </c>
      <c r="AW68" s="449">
        <v>114240</v>
      </c>
      <c r="AX68" s="449">
        <v>114240</v>
      </c>
      <c r="AY68" s="449">
        <v>0</v>
      </c>
      <c r="AZ68" s="450">
        <f t="shared" ref="AZ68:AZ131" si="68">+AW68/$BC$2*$BD$2</f>
        <v>121.43711999999999</v>
      </c>
      <c r="BA68" s="450">
        <f t="shared" ref="BA68:BA131" si="69">+AX68/$BC$2*$BD$2</f>
        <v>121.43711999999999</v>
      </c>
      <c r="BB68" s="450">
        <f t="shared" ref="BB68:BB131" si="70">+AY68/$BC$2*$BD$2</f>
        <v>0</v>
      </c>
      <c r="BF68" s="447" t="s">
        <v>355</v>
      </c>
      <c r="BG68" s="448" t="s">
        <v>395</v>
      </c>
      <c r="BH68" s="449">
        <v>1234677</v>
      </c>
      <c r="BI68" s="450">
        <f t="shared" ref="BI68:BI102" si="71">+BH68/$BJ$2*$BK$2</f>
        <v>1234.6769999999999</v>
      </c>
      <c r="BM68" s="451" t="s">
        <v>553</v>
      </c>
      <c r="BN68" s="94" t="s">
        <v>382</v>
      </c>
      <c r="BO68" s="95">
        <v>0</v>
      </c>
      <c r="BP68" s="95">
        <v>2261271</v>
      </c>
      <c r="BQ68" s="95">
        <v>1800576</v>
      </c>
      <c r="BR68" s="95">
        <v>460695</v>
      </c>
      <c r="BS68" s="95">
        <v>656139</v>
      </c>
      <c r="BT68" s="450">
        <f t="shared" ref="BT68:BT131" si="72">+BP68/$BX$2*$BY$2</f>
        <v>2261.2710000000002</v>
      </c>
      <c r="BU68" s="450">
        <f t="shared" ref="BU68:BU131" si="73">+BQ68/$BX$2*$BY$2</f>
        <v>1800.576</v>
      </c>
      <c r="BV68" s="450">
        <f t="shared" ref="BV68:BV131" si="74">+BR68/$BX$2*$BY$2</f>
        <v>460.69499999999999</v>
      </c>
      <c r="BW68" s="450">
        <f t="shared" ref="BW68:BW131" si="75">+BS68/$BX$2*$BY$2</f>
        <v>656.13900000000001</v>
      </c>
      <c r="CA68" s="94" t="s">
        <v>593</v>
      </c>
      <c r="CB68" s="450">
        <v>0</v>
      </c>
      <c r="CC68" s="450">
        <f t="shared" ref="CC68:CC121" si="76">+CB68/$CD$2*$CE$2</f>
        <v>0</v>
      </c>
      <c r="CG68" s="448" t="s">
        <v>381</v>
      </c>
      <c r="CH68" s="449">
        <v>0</v>
      </c>
      <c r="CI68" s="449">
        <v>31653053</v>
      </c>
      <c r="CJ68" s="449">
        <v>-31653053</v>
      </c>
      <c r="CK68" s="449">
        <v>28709645</v>
      </c>
      <c r="CL68" s="449">
        <v>2943408</v>
      </c>
      <c r="CM68" s="449">
        <v>26935428</v>
      </c>
      <c r="CN68" s="449">
        <f t="shared" ref="CN68:CN131" si="77">+CI68/$CR$2*$CS$2</f>
        <v>31653.053</v>
      </c>
      <c r="CO68" s="449">
        <f t="shared" ref="CO68:CO131" si="78">+CK68/$CR$2*$CS$2</f>
        <v>28709.645</v>
      </c>
      <c r="CP68" s="449">
        <f t="shared" ref="CP68:CP131" si="79">+CL68/$CR$2*$CS$2</f>
        <v>2943.4079999999999</v>
      </c>
      <c r="CQ68" s="449">
        <f t="shared" ref="CQ68:CQ131" si="80">+CM68/$CR$2*$CS$2</f>
        <v>26935.428</v>
      </c>
      <c r="CU68" s="448" t="s">
        <v>386</v>
      </c>
      <c r="CV68" s="449">
        <v>6990</v>
      </c>
      <c r="CW68" s="449">
        <v>6990</v>
      </c>
      <c r="CX68" s="450">
        <f t="shared" ref="CX68:CX121" si="81">+CV68/$CZ$2*$DA$2</f>
        <v>6.99</v>
      </c>
      <c r="CY68" s="450">
        <f t="shared" ref="CY68:CY121" si="82">+CW68/$CZ$2*$DA$2</f>
        <v>6.99</v>
      </c>
      <c r="DB68" s="602" t="s">
        <v>381</v>
      </c>
      <c r="DC68" s="603">
        <v>46888107</v>
      </c>
      <c r="DD68" s="603">
        <v>41221805</v>
      </c>
      <c r="DE68" s="603">
        <v>5666302</v>
      </c>
      <c r="DF68" s="603">
        <v>28253951</v>
      </c>
      <c r="DG68" s="604">
        <f t="shared" ref="DG68:DG131" si="83">+DC68/$DK$2*$DL$2</f>
        <v>46888.107000000004</v>
      </c>
      <c r="DH68" s="604">
        <f t="shared" ref="DH68:DH131" si="84">+DD68/$DK$2*$DL$2</f>
        <v>41221.805</v>
      </c>
      <c r="DI68" s="604">
        <f t="shared" ref="DI68:DI131" si="85">+DE68/$DK$2*$DL$2</f>
        <v>5666.3019999999997</v>
      </c>
      <c r="DJ68" s="604">
        <f t="shared" ref="DJ68:DJ131" si="86">+DF68/$DK$2*$DL$2</f>
        <v>28253.951000000001</v>
      </c>
      <c r="DN68" s="94" t="s">
        <v>392</v>
      </c>
      <c r="DO68" s="94">
        <v>0</v>
      </c>
      <c r="DP68" s="94">
        <v>5465146</v>
      </c>
      <c r="DQ68" s="666">
        <f t="shared" ref="DQ68:DQ109" si="87">+DO68/$DS$2*$DT$2</f>
        <v>0</v>
      </c>
      <c r="DR68" s="666">
        <f t="shared" ref="DR68:DR109" si="88">+DP68/$DS$2*$DT$2</f>
        <v>5465.1459999999997</v>
      </c>
      <c r="DV68" s="94" t="s">
        <v>380</v>
      </c>
      <c r="DW68" s="95">
        <v>1544400</v>
      </c>
      <c r="DX68" s="95">
        <v>1544400</v>
      </c>
      <c r="DY68" s="95">
        <v>0</v>
      </c>
      <c r="DZ68" s="95">
        <v>1544400</v>
      </c>
      <c r="EA68" s="95">
        <f t="shared" ref="EA68:EA131" si="89">+DW68/$EE$2*$EF$2</f>
        <v>1544.4</v>
      </c>
      <c r="EB68" s="95">
        <f t="shared" ref="EB68:EB131" si="90">+DX68/$EE$2*$EF$2</f>
        <v>1544.4</v>
      </c>
      <c r="EC68" s="95">
        <f t="shared" ref="EC68:EC131" si="91">+DY68/$EE$2*$EF$2</f>
        <v>0</v>
      </c>
      <c r="ED68" s="95">
        <f t="shared" ref="ED68:ED131" si="92">+DZ68/$EE$2*$EF$2</f>
        <v>1544.4</v>
      </c>
      <c r="EH68" s="444" t="s">
        <v>385</v>
      </c>
      <c r="EI68" s="444">
        <v>3735886</v>
      </c>
      <c r="EJ68" s="450">
        <f t="shared" ref="EJ68:EJ117" si="93">+EI68/$EK$2*$EL$2</f>
        <v>3735.886</v>
      </c>
      <c r="EN68" s="444" t="s">
        <v>380</v>
      </c>
      <c r="EO68" s="450">
        <v>1544400</v>
      </c>
      <c r="EP68" s="450">
        <v>1544400</v>
      </c>
      <c r="EQ68" s="450">
        <v>0</v>
      </c>
      <c r="ER68" s="450">
        <v>1544400</v>
      </c>
      <c r="ES68" s="746">
        <f t="shared" ref="ES68:ES131" si="94">+EO68/$EW$2*$EX$2</f>
        <v>1544.4</v>
      </c>
      <c r="ET68" s="746">
        <f t="shared" ref="ET68:ET131" si="95">+EP68/$EW$2*$EX$2</f>
        <v>1544.4</v>
      </c>
      <c r="EU68" s="746">
        <f t="shared" ref="EU68:EU131" si="96">+EQ68/$EW$2*$EX$2</f>
        <v>0</v>
      </c>
      <c r="EV68" s="746">
        <f t="shared" ref="EV68:EV131" si="97">+ER68/$EW$2*$EX$2</f>
        <v>1544.4</v>
      </c>
      <c r="EZ68" s="780" t="s">
        <v>553</v>
      </c>
      <c r="FA68" s="781" t="s">
        <v>389</v>
      </c>
      <c r="FB68" s="444">
        <v>770698</v>
      </c>
      <c r="FC68" s="450">
        <f t="shared" ref="FC68:FC119" si="98">+FB68/$FD$2*$FE$2</f>
        <v>770.69799999999998</v>
      </c>
      <c r="FG68" s="785" t="s">
        <v>553</v>
      </c>
      <c r="FH68" s="784" t="s">
        <v>380</v>
      </c>
      <c r="FI68" s="782">
        <v>1544400</v>
      </c>
      <c r="FJ68" s="783">
        <v>1544400</v>
      </c>
      <c r="FK68" s="783">
        <v>0</v>
      </c>
      <c r="FL68" s="783">
        <v>1544400</v>
      </c>
      <c r="FM68" s="450">
        <f t="shared" ref="FM68:FM131" si="99">+FI68/$FQ$2*$FR$2</f>
        <v>1544.4</v>
      </c>
      <c r="FN68" s="450">
        <f t="shared" ref="FN68:FN131" si="100">+FJ68/$FQ$2*$FR$2</f>
        <v>1544.4</v>
      </c>
      <c r="FO68" s="450">
        <f t="shared" ref="FO68:FO131" si="101">+FK68/$FQ$2*$FR$2</f>
        <v>0</v>
      </c>
      <c r="FP68" s="450">
        <f t="shared" ref="FP68:FP131" si="102">+FL68/$FQ$2*$FR$2</f>
        <v>1544.4</v>
      </c>
      <c r="FT68" s="451" t="s">
        <v>553</v>
      </c>
      <c r="FU68" s="94" t="s">
        <v>591</v>
      </c>
      <c r="FV68" s="95">
        <v>8849879</v>
      </c>
      <c r="FW68" s="95">
        <v>0</v>
      </c>
      <c r="FX68" s="95">
        <v>262675</v>
      </c>
      <c r="FY68" s="450">
        <f t="shared" ref="FY68:FY122" si="103">+FV68/$GB$2*$GC$2</f>
        <v>8849.8790000000008</v>
      </c>
      <c r="FZ68" s="450">
        <f t="shared" ref="FZ68:FZ122" si="104">+FW68/$GB$2*$GC$2</f>
        <v>0</v>
      </c>
      <c r="GA68" s="450">
        <f t="shared" ref="GA68:GA122" si="105">+FX68/$GB$2*$GC$2</f>
        <v>262.67500000000001</v>
      </c>
      <c r="GG68" s="817" t="s">
        <v>553</v>
      </c>
      <c r="GH68" s="818" t="s">
        <v>380</v>
      </c>
      <c r="GI68" s="819">
        <v>2864136</v>
      </c>
      <c r="GJ68" s="819">
        <v>2864136</v>
      </c>
      <c r="GK68" s="819">
        <v>0</v>
      </c>
      <c r="GL68" s="819">
        <v>2864130</v>
      </c>
      <c r="GM68" s="819">
        <v>6</v>
      </c>
      <c r="GN68" s="450">
        <f t="shared" ref="GN68:GN131" si="106">+GI68/$GS$2*$GT$2</f>
        <v>2864.136</v>
      </c>
      <c r="GO68" s="450">
        <f t="shared" ref="GO68:GO131" si="107">+GJ68/$GS$2*$GT$2</f>
        <v>2864.136</v>
      </c>
      <c r="GP68" s="450">
        <f t="shared" ref="GP68:GP131" si="108">+GK68/$GS$2*$GT$2</f>
        <v>0</v>
      </c>
      <c r="GQ68" s="450">
        <f t="shared" ref="GQ68:GQ131" si="109">+GL68/$GS$2*$GT$2</f>
        <v>2864.13</v>
      </c>
      <c r="GR68" s="450">
        <f t="shared" ref="GR68:GR131" si="110">+GM68/$GS$2*$GT$2</f>
        <v>6.0000000000000001E-3</v>
      </c>
      <c r="GV68" s="841" t="s">
        <v>384</v>
      </c>
      <c r="GW68" s="840">
        <v>931068</v>
      </c>
      <c r="GX68" s="450">
        <f t="shared" ref="GX68:GX131" si="111">+GW68/$GY$2*$GZ$2</f>
        <v>931.06799999999998</v>
      </c>
      <c r="HB68" s="843" t="s">
        <v>378</v>
      </c>
      <c r="HC68" s="819">
        <v>2648147000</v>
      </c>
      <c r="HD68" s="819">
        <v>2648147000</v>
      </c>
      <c r="HE68" s="819">
        <v>0</v>
      </c>
      <c r="HF68" s="819">
        <v>2644155999</v>
      </c>
      <c r="HG68" s="450">
        <f t="shared" ref="HG68:HG131" si="112">+HC68/$HL$2*$HM$2</f>
        <v>2648147</v>
      </c>
      <c r="HH68" s="450">
        <f t="shared" ref="HH68:HH131" si="113">+HE68/$HL$2*$HM$2</f>
        <v>0</v>
      </c>
      <c r="HI68" s="450">
        <f t="shared" ref="HI68:HI131" si="114">+HD68/$HL$2*$HM$2</f>
        <v>2648147</v>
      </c>
      <c r="HJ68" s="450">
        <f t="shared" ref="HJ68:HJ131" si="115">+HE68/$HL$2*$HM$2</f>
        <v>0</v>
      </c>
      <c r="HK68" s="450">
        <f t="shared" ref="HK68:HK131" si="116">+HF68/$HL$2*$HM$2</f>
        <v>2644155.9989999998</v>
      </c>
    </row>
    <row r="69" spans="1:219" ht="15" customHeight="1" x14ac:dyDescent="0.3">
      <c r="A69" s="295" t="s">
        <v>553</v>
      </c>
      <c r="B69" s="296" t="s">
        <v>384</v>
      </c>
      <c r="C69" s="297">
        <v>3000000</v>
      </c>
      <c r="D69" s="298">
        <f t="shared" si="61"/>
        <v>3189</v>
      </c>
      <c r="E69" s="297">
        <v>114246</v>
      </c>
      <c r="F69" s="297">
        <f t="shared" si="62"/>
        <v>121.44349799999999</v>
      </c>
      <c r="J69" s="299" t="s">
        <v>553</v>
      </c>
      <c r="K69" s="300" t="s">
        <v>600</v>
      </c>
      <c r="L69" s="301">
        <v>421061</v>
      </c>
      <c r="M69" s="301">
        <f t="shared" si="63"/>
        <v>447.58784299999996</v>
      </c>
      <c r="Q69" s="299" t="s">
        <v>553</v>
      </c>
      <c r="R69" s="300" t="s">
        <v>384</v>
      </c>
      <c r="S69" s="301">
        <v>3000000</v>
      </c>
      <c r="T69" s="301">
        <v>1876667</v>
      </c>
      <c r="U69" s="301">
        <f t="shared" si="64"/>
        <v>3189</v>
      </c>
      <c r="V69" s="301">
        <f t="shared" si="65"/>
        <v>1994.8970209999998</v>
      </c>
      <c r="Z69" s="296" t="s">
        <v>389</v>
      </c>
      <c r="AA69" s="297">
        <v>353244</v>
      </c>
      <c r="AB69" s="297">
        <f t="shared" si="66"/>
        <v>375.49837200000002</v>
      </c>
      <c r="AF69" s="452" t="s">
        <v>589</v>
      </c>
      <c r="AG69" s="453">
        <v>8293692</v>
      </c>
      <c r="AH69" s="453">
        <f t="shared" si="60"/>
        <v>8816.1945959999994</v>
      </c>
      <c r="AI69" s="297">
        <v>1333206</v>
      </c>
      <c r="AL69" s="450"/>
      <c r="AN69" s="447" t="s">
        <v>553</v>
      </c>
      <c r="AO69" s="448" t="s">
        <v>594</v>
      </c>
      <c r="AP69" s="449">
        <v>0</v>
      </c>
      <c r="AQ69" s="449">
        <f t="shared" si="67"/>
        <v>0</v>
      </c>
      <c r="AU69" s="447" t="s">
        <v>553</v>
      </c>
      <c r="AV69" s="448" t="s">
        <v>589</v>
      </c>
      <c r="AW69" s="449">
        <v>7548544</v>
      </c>
      <c r="AX69" s="449">
        <v>2894424</v>
      </c>
      <c r="AY69" s="449">
        <v>4654120</v>
      </c>
      <c r="AZ69" s="450">
        <f t="shared" si="68"/>
        <v>8024.1022719999992</v>
      </c>
      <c r="BA69" s="450">
        <f t="shared" si="69"/>
        <v>3076.772712</v>
      </c>
      <c r="BB69" s="450">
        <f t="shared" si="70"/>
        <v>4947.3295599999992</v>
      </c>
      <c r="BF69" s="447" t="s">
        <v>553</v>
      </c>
      <c r="BG69" s="448" t="s">
        <v>596</v>
      </c>
      <c r="BH69" s="449">
        <v>81490</v>
      </c>
      <c r="BI69" s="450">
        <f t="shared" si="71"/>
        <v>81.489999999999995</v>
      </c>
      <c r="BM69" s="451" t="s">
        <v>553</v>
      </c>
      <c r="BN69" s="94" t="s">
        <v>383</v>
      </c>
      <c r="BO69" s="95">
        <v>0</v>
      </c>
      <c r="BP69" s="95">
        <v>126240</v>
      </c>
      <c r="BQ69" s="95">
        <v>126240</v>
      </c>
      <c r="BR69" s="95">
        <v>0</v>
      </c>
      <c r="BS69" s="95">
        <v>126240</v>
      </c>
      <c r="BT69" s="450">
        <f t="shared" si="72"/>
        <v>126.24</v>
      </c>
      <c r="BU69" s="450">
        <f t="shared" si="73"/>
        <v>126.24</v>
      </c>
      <c r="BV69" s="450">
        <f t="shared" si="74"/>
        <v>0</v>
      </c>
      <c r="BW69" s="450">
        <f t="shared" si="75"/>
        <v>126.24</v>
      </c>
      <c r="CA69" s="94" t="s">
        <v>385</v>
      </c>
      <c r="CB69" s="450">
        <v>125402</v>
      </c>
      <c r="CC69" s="450">
        <f t="shared" si="76"/>
        <v>125.402</v>
      </c>
      <c r="CG69" s="448" t="s">
        <v>382</v>
      </c>
      <c r="CH69" s="449">
        <v>0</v>
      </c>
      <c r="CI69" s="449">
        <v>2340836</v>
      </c>
      <c r="CJ69" s="449">
        <v>-2340836</v>
      </c>
      <c r="CK69" s="449">
        <v>2340408</v>
      </c>
      <c r="CL69" s="449">
        <v>428</v>
      </c>
      <c r="CM69" s="449">
        <v>1853626</v>
      </c>
      <c r="CN69" s="449">
        <f t="shared" si="77"/>
        <v>2340.8359999999998</v>
      </c>
      <c r="CO69" s="449">
        <f t="shared" si="78"/>
        <v>2340.4079999999999</v>
      </c>
      <c r="CP69" s="449">
        <f t="shared" si="79"/>
        <v>0.42799999999999999</v>
      </c>
      <c r="CQ69" s="449">
        <f t="shared" si="80"/>
        <v>1853.626</v>
      </c>
      <c r="CU69" s="448" t="s">
        <v>387</v>
      </c>
      <c r="CV69" s="449">
        <v>1740679</v>
      </c>
      <c r="CW69" s="449">
        <v>13456777</v>
      </c>
      <c r="CX69" s="450">
        <f t="shared" si="81"/>
        <v>1740.6790000000001</v>
      </c>
      <c r="CY69" s="450">
        <f t="shared" si="82"/>
        <v>13456.777</v>
      </c>
      <c r="DB69" s="602" t="s">
        <v>382</v>
      </c>
      <c r="DC69" s="603">
        <v>4142496</v>
      </c>
      <c r="DD69" s="603">
        <v>2340408</v>
      </c>
      <c r="DE69" s="603">
        <v>1802088</v>
      </c>
      <c r="DF69" s="603">
        <v>2002876</v>
      </c>
      <c r="DG69" s="604">
        <f t="shared" si="83"/>
        <v>4142.4960000000001</v>
      </c>
      <c r="DH69" s="604">
        <f t="shared" si="84"/>
        <v>2340.4079999999999</v>
      </c>
      <c r="DI69" s="604">
        <f t="shared" si="85"/>
        <v>1802.088</v>
      </c>
      <c r="DJ69" s="604">
        <f t="shared" si="86"/>
        <v>2002.876</v>
      </c>
      <c r="DN69" s="94" t="s">
        <v>393</v>
      </c>
      <c r="DO69" s="94">
        <v>-450000</v>
      </c>
      <c r="DP69" s="94">
        <v>0</v>
      </c>
      <c r="DQ69" s="666">
        <f t="shared" si="87"/>
        <v>-450</v>
      </c>
      <c r="DR69" s="666">
        <f t="shared" si="88"/>
        <v>0</v>
      </c>
      <c r="DV69" s="94" t="s">
        <v>381</v>
      </c>
      <c r="DW69" s="95">
        <v>45859010</v>
      </c>
      <c r="DX69" s="95">
        <v>44359009</v>
      </c>
      <c r="DY69" s="95">
        <v>1500001</v>
      </c>
      <c r="DZ69" s="95">
        <v>33145340</v>
      </c>
      <c r="EA69" s="95">
        <f t="shared" si="89"/>
        <v>45859.01</v>
      </c>
      <c r="EB69" s="95">
        <f t="shared" si="90"/>
        <v>44359.008999999998</v>
      </c>
      <c r="EC69" s="95">
        <f t="shared" si="91"/>
        <v>1500.001</v>
      </c>
      <c r="ED69" s="95">
        <f t="shared" si="92"/>
        <v>33145.339999999997</v>
      </c>
      <c r="EH69" s="444" t="s">
        <v>387</v>
      </c>
      <c r="EI69" s="444">
        <v>12729731</v>
      </c>
      <c r="EJ69" s="450">
        <f t="shared" si="93"/>
        <v>12729.731</v>
      </c>
      <c r="EN69" s="444" t="s">
        <v>502</v>
      </c>
      <c r="EO69" s="450">
        <v>30000000</v>
      </c>
      <c r="EP69" s="450">
        <v>30000000</v>
      </c>
      <c r="EQ69" s="450">
        <v>0</v>
      </c>
      <c r="ER69" s="450">
        <v>30000000</v>
      </c>
      <c r="ES69" s="746">
        <f t="shared" si="94"/>
        <v>30000</v>
      </c>
      <c r="ET69" s="746">
        <f t="shared" si="95"/>
        <v>30000</v>
      </c>
      <c r="EU69" s="746">
        <f t="shared" si="96"/>
        <v>0</v>
      </c>
      <c r="EV69" s="746">
        <f t="shared" si="97"/>
        <v>30000</v>
      </c>
      <c r="EZ69" s="780" t="s">
        <v>553</v>
      </c>
      <c r="FA69" s="781" t="s">
        <v>391</v>
      </c>
      <c r="FB69" s="444">
        <v>990028</v>
      </c>
      <c r="FC69" s="450">
        <f t="shared" si="98"/>
        <v>990.02800000000002</v>
      </c>
      <c r="FG69" s="785" t="s">
        <v>355</v>
      </c>
      <c r="FH69" s="784" t="s">
        <v>502</v>
      </c>
      <c r="FI69" s="782">
        <v>30000000</v>
      </c>
      <c r="FJ69" s="783">
        <v>30000000</v>
      </c>
      <c r="FK69" s="783">
        <v>0</v>
      </c>
      <c r="FL69" s="783">
        <v>30000000</v>
      </c>
      <c r="FM69" s="450">
        <f t="shared" si="99"/>
        <v>30000</v>
      </c>
      <c r="FN69" s="450">
        <f t="shared" si="100"/>
        <v>30000</v>
      </c>
      <c r="FO69" s="450">
        <f t="shared" si="101"/>
        <v>0</v>
      </c>
      <c r="FP69" s="450">
        <f t="shared" si="102"/>
        <v>30000</v>
      </c>
      <c r="FT69" s="451" t="s">
        <v>553</v>
      </c>
      <c r="FU69" s="94" t="s">
        <v>593</v>
      </c>
      <c r="FV69" s="95">
        <v>437920</v>
      </c>
      <c r="FW69" s="95">
        <v>437920</v>
      </c>
      <c r="FX69" s="95">
        <v>563902</v>
      </c>
      <c r="FY69" s="450">
        <f t="shared" si="103"/>
        <v>437.92</v>
      </c>
      <c r="FZ69" s="450">
        <f t="shared" si="104"/>
        <v>437.92</v>
      </c>
      <c r="GA69" s="450">
        <f t="shared" si="105"/>
        <v>563.90200000000004</v>
      </c>
      <c r="GG69" s="817" t="s">
        <v>355</v>
      </c>
      <c r="GH69" s="818" t="s">
        <v>502</v>
      </c>
      <c r="GI69" s="819">
        <v>60000000</v>
      </c>
      <c r="GJ69" s="819">
        <v>60000000</v>
      </c>
      <c r="GK69" s="819">
        <v>0</v>
      </c>
      <c r="GL69" s="819">
        <v>60000000</v>
      </c>
      <c r="GM69" s="819">
        <v>0</v>
      </c>
      <c r="GN69" s="450">
        <f t="shared" si="106"/>
        <v>60000</v>
      </c>
      <c r="GO69" s="450">
        <f t="shared" si="107"/>
        <v>60000</v>
      </c>
      <c r="GP69" s="450">
        <f t="shared" si="108"/>
        <v>0</v>
      </c>
      <c r="GQ69" s="450">
        <f t="shared" si="109"/>
        <v>60000</v>
      </c>
      <c r="GR69" s="450">
        <f t="shared" si="110"/>
        <v>0</v>
      </c>
      <c r="GV69" s="841" t="s">
        <v>591</v>
      </c>
      <c r="GW69" s="840">
        <v>6755809</v>
      </c>
      <c r="GX69" s="450">
        <f t="shared" si="111"/>
        <v>6755.8090000000002</v>
      </c>
      <c r="HB69" s="843" t="s">
        <v>379</v>
      </c>
      <c r="HC69" s="819">
        <v>19106146</v>
      </c>
      <c r="HD69" s="819">
        <v>19106146</v>
      </c>
      <c r="HE69" s="819">
        <v>0</v>
      </c>
      <c r="HF69" s="819">
        <v>19106146</v>
      </c>
      <c r="HG69" s="450">
        <f t="shared" si="112"/>
        <v>19106.146000000001</v>
      </c>
      <c r="HH69" s="450">
        <f t="shared" si="113"/>
        <v>0</v>
      </c>
      <c r="HI69" s="450">
        <f t="shared" si="114"/>
        <v>19106.146000000001</v>
      </c>
      <c r="HJ69" s="450">
        <f t="shared" si="115"/>
        <v>0</v>
      </c>
      <c r="HK69" s="450">
        <f t="shared" si="116"/>
        <v>19106.146000000001</v>
      </c>
    </row>
    <row r="70" spans="1:219" ht="15" customHeight="1" x14ac:dyDescent="0.3">
      <c r="A70" s="295" t="s">
        <v>553</v>
      </c>
      <c r="B70" s="296" t="s">
        <v>591</v>
      </c>
      <c r="C70" s="297">
        <v>5400000</v>
      </c>
      <c r="D70" s="298">
        <f t="shared" si="61"/>
        <v>5740.2</v>
      </c>
      <c r="E70" s="297">
        <v>0</v>
      </c>
      <c r="F70" s="297">
        <f t="shared" si="62"/>
        <v>0</v>
      </c>
      <c r="J70" s="299" t="s">
        <v>355</v>
      </c>
      <c r="K70" s="300" t="s">
        <v>397</v>
      </c>
      <c r="L70" s="301">
        <v>1107070</v>
      </c>
      <c r="M70" s="301">
        <f t="shared" si="63"/>
        <v>1176.8154099999999</v>
      </c>
      <c r="Q70" s="299" t="s">
        <v>553</v>
      </c>
      <c r="R70" s="300" t="s">
        <v>590</v>
      </c>
      <c r="S70" s="301">
        <v>226624</v>
      </c>
      <c r="T70" s="301">
        <v>0</v>
      </c>
      <c r="U70" s="301">
        <f t="shared" si="64"/>
        <v>240.90131199999999</v>
      </c>
      <c r="V70" s="301">
        <f t="shared" si="65"/>
        <v>0</v>
      </c>
      <c r="Z70" s="296" t="s">
        <v>390</v>
      </c>
      <c r="AA70" s="297">
        <v>84900</v>
      </c>
      <c r="AB70" s="297">
        <f t="shared" si="66"/>
        <v>90.248699999999999</v>
      </c>
      <c r="AF70" s="452" t="s">
        <v>384</v>
      </c>
      <c r="AG70" s="453">
        <v>4111997</v>
      </c>
      <c r="AH70" s="453">
        <f t="shared" si="60"/>
        <v>4371.0528110000005</v>
      </c>
      <c r="AI70" s="297">
        <v>4073186</v>
      </c>
      <c r="AL70" s="450"/>
      <c r="AN70" s="447" t="s">
        <v>553</v>
      </c>
      <c r="AO70" s="448" t="s">
        <v>385</v>
      </c>
      <c r="AP70" s="449">
        <v>1637228</v>
      </c>
      <c r="AQ70" s="449">
        <f t="shared" si="67"/>
        <v>1740.373364</v>
      </c>
      <c r="AU70" s="447" t="s">
        <v>553</v>
      </c>
      <c r="AV70" s="448" t="s">
        <v>384</v>
      </c>
      <c r="AW70" s="449">
        <v>4769167</v>
      </c>
      <c r="AX70" s="449">
        <v>4204060</v>
      </c>
      <c r="AY70" s="449">
        <v>565107</v>
      </c>
      <c r="AZ70" s="450">
        <f t="shared" si="68"/>
        <v>5069.6245209999997</v>
      </c>
      <c r="BA70" s="450">
        <f t="shared" si="69"/>
        <v>4468.9157800000003</v>
      </c>
      <c r="BB70" s="450">
        <f t="shared" si="70"/>
        <v>600.70874099999992</v>
      </c>
      <c r="BF70" s="447" t="s">
        <v>553</v>
      </c>
      <c r="BG70" s="448" t="s">
        <v>597</v>
      </c>
      <c r="BH70" s="449">
        <v>1153187</v>
      </c>
      <c r="BI70" s="450">
        <f t="shared" si="71"/>
        <v>1153.1869999999999</v>
      </c>
      <c r="BM70" s="451" t="s">
        <v>553</v>
      </c>
      <c r="BN70" s="94" t="s">
        <v>589</v>
      </c>
      <c r="BO70" s="95">
        <v>0</v>
      </c>
      <c r="BP70" s="95">
        <v>6619440</v>
      </c>
      <c r="BQ70" s="95">
        <v>5424192</v>
      </c>
      <c r="BR70" s="95">
        <v>1195248</v>
      </c>
      <c r="BS70" s="95">
        <v>5424192</v>
      </c>
      <c r="BT70" s="450">
        <f t="shared" si="72"/>
        <v>6619.44</v>
      </c>
      <c r="BU70" s="450">
        <f t="shared" si="73"/>
        <v>5424.192</v>
      </c>
      <c r="BV70" s="450">
        <f t="shared" si="74"/>
        <v>1195.248</v>
      </c>
      <c r="BW70" s="450">
        <f t="shared" si="75"/>
        <v>5424.192</v>
      </c>
      <c r="CA70" s="94" t="s">
        <v>386</v>
      </c>
      <c r="CB70" s="450">
        <v>0</v>
      </c>
      <c r="CC70" s="450">
        <f t="shared" si="76"/>
        <v>0</v>
      </c>
      <c r="CG70" s="448" t="s">
        <v>383</v>
      </c>
      <c r="CH70" s="449">
        <v>0</v>
      </c>
      <c r="CI70" s="449">
        <v>126240</v>
      </c>
      <c r="CJ70" s="449">
        <v>-126240</v>
      </c>
      <c r="CK70" s="449">
        <v>126240</v>
      </c>
      <c r="CL70" s="449">
        <v>0</v>
      </c>
      <c r="CM70" s="449">
        <v>126240</v>
      </c>
      <c r="CN70" s="449">
        <f t="shared" si="77"/>
        <v>126.24</v>
      </c>
      <c r="CO70" s="449">
        <f t="shared" si="78"/>
        <v>126.24</v>
      </c>
      <c r="CP70" s="449">
        <f t="shared" si="79"/>
        <v>0</v>
      </c>
      <c r="CQ70" s="449">
        <f t="shared" si="80"/>
        <v>126.24</v>
      </c>
      <c r="CU70" s="448" t="s">
        <v>388</v>
      </c>
      <c r="CV70" s="449">
        <v>0</v>
      </c>
      <c r="CW70" s="449">
        <v>1133600</v>
      </c>
      <c r="CX70" s="450">
        <f t="shared" si="81"/>
        <v>0</v>
      </c>
      <c r="CY70" s="450">
        <f t="shared" si="82"/>
        <v>1133.5999999999999</v>
      </c>
      <c r="DB70" s="602" t="s">
        <v>383</v>
      </c>
      <c r="DC70" s="603">
        <v>726240</v>
      </c>
      <c r="DD70" s="603">
        <v>126240</v>
      </c>
      <c r="DE70" s="603">
        <v>600000</v>
      </c>
      <c r="DF70" s="603">
        <v>126240</v>
      </c>
      <c r="DG70" s="604">
        <f t="shared" si="83"/>
        <v>726.24</v>
      </c>
      <c r="DH70" s="604">
        <f t="shared" si="84"/>
        <v>126.24</v>
      </c>
      <c r="DI70" s="604">
        <f t="shared" si="85"/>
        <v>600</v>
      </c>
      <c r="DJ70" s="604">
        <f t="shared" si="86"/>
        <v>126.24</v>
      </c>
      <c r="DN70" s="94" t="s">
        <v>394</v>
      </c>
      <c r="DO70" s="94">
        <v>11383616</v>
      </c>
      <c r="DP70" s="94">
        <v>479808</v>
      </c>
      <c r="DQ70" s="666">
        <f t="shared" si="87"/>
        <v>11383.616</v>
      </c>
      <c r="DR70" s="666">
        <f t="shared" si="88"/>
        <v>479.80799999999999</v>
      </c>
      <c r="DV70" s="94" t="s">
        <v>382</v>
      </c>
      <c r="DW70" s="95">
        <v>4475059</v>
      </c>
      <c r="DX70" s="95">
        <v>4475058</v>
      </c>
      <c r="DY70" s="95">
        <v>1</v>
      </c>
      <c r="DZ70" s="95">
        <v>4475058</v>
      </c>
      <c r="EA70" s="95">
        <f t="shared" si="89"/>
        <v>4475.0590000000002</v>
      </c>
      <c r="EB70" s="95">
        <f t="shared" si="90"/>
        <v>4475.058</v>
      </c>
      <c r="EC70" s="95">
        <f t="shared" si="91"/>
        <v>1E-3</v>
      </c>
      <c r="ED70" s="95">
        <f t="shared" si="92"/>
        <v>4475.058</v>
      </c>
      <c r="EH70" s="444" t="s">
        <v>388</v>
      </c>
      <c r="EI70" s="444">
        <v>1111900</v>
      </c>
      <c r="EJ70" s="450">
        <f t="shared" si="93"/>
        <v>1111.9000000000001</v>
      </c>
      <c r="EN70" s="444" t="s">
        <v>503</v>
      </c>
      <c r="EO70" s="450">
        <v>30000000</v>
      </c>
      <c r="EP70" s="450">
        <v>30000000</v>
      </c>
      <c r="EQ70" s="450">
        <v>0</v>
      </c>
      <c r="ER70" s="450">
        <v>30000000</v>
      </c>
      <c r="ES70" s="746">
        <f t="shared" si="94"/>
        <v>30000</v>
      </c>
      <c r="ET70" s="746">
        <f t="shared" si="95"/>
        <v>30000</v>
      </c>
      <c r="EU70" s="746">
        <f t="shared" si="96"/>
        <v>0</v>
      </c>
      <c r="EV70" s="746">
        <f t="shared" si="97"/>
        <v>30000</v>
      </c>
      <c r="EZ70" s="780" t="s">
        <v>553</v>
      </c>
      <c r="FA70" s="781" t="s">
        <v>392</v>
      </c>
      <c r="FB70" s="444">
        <v>5465146</v>
      </c>
      <c r="FC70" s="450">
        <f t="shared" si="98"/>
        <v>5465.1459999999997</v>
      </c>
      <c r="FG70" s="785" t="s">
        <v>553</v>
      </c>
      <c r="FH70" s="784" t="s">
        <v>503</v>
      </c>
      <c r="FI70" s="782">
        <v>30000000</v>
      </c>
      <c r="FJ70" s="783">
        <v>30000000</v>
      </c>
      <c r="FK70" s="783">
        <v>0</v>
      </c>
      <c r="FL70" s="783">
        <v>30000000</v>
      </c>
      <c r="FM70" s="450">
        <f t="shared" si="99"/>
        <v>30000</v>
      </c>
      <c r="FN70" s="450">
        <f t="shared" si="100"/>
        <v>30000</v>
      </c>
      <c r="FO70" s="450">
        <f t="shared" si="101"/>
        <v>0</v>
      </c>
      <c r="FP70" s="450">
        <f t="shared" si="102"/>
        <v>30000</v>
      </c>
      <c r="FT70" s="451" t="s">
        <v>553</v>
      </c>
      <c r="FU70" s="94" t="s">
        <v>594</v>
      </c>
      <c r="FV70" s="95">
        <v>331308</v>
      </c>
      <c r="FW70" s="95">
        <v>0</v>
      </c>
      <c r="FX70" s="95">
        <v>0</v>
      </c>
      <c r="FY70" s="450">
        <f t="shared" si="103"/>
        <v>331.30799999999999</v>
      </c>
      <c r="FZ70" s="450">
        <f t="shared" si="104"/>
        <v>0</v>
      </c>
      <c r="GA70" s="450">
        <f t="shared" si="105"/>
        <v>0</v>
      </c>
      <c r="GG70" s="817" t="s">
        <v>553</v>
      </c>
      <c r="GH70" s="818" t="s">
        <v>503</v>
      </c>
      <c r="GI70" s="819">
        <v>60000000</v>
      </c>
      <c r="GJ70" s="819">
        <v>60000000</v>
      </c>
      <c r="GK70" s="819">
        <v>0</v>
      </c>
      <c r="GL70" s="819">
        <v>60000000</v>
      </c>
      <c r="GM70" s="819">
        <v>0</v>
      </c>
      <c r="GN70" s="450">
        <f t="shared" si="106"/>
        <v>60000</v>
      </c>
      <c r="GO70" s="450">
        <f t="shared" si="107"/>
        <v>60000</v>
      </c>
      <c r="GP70" s="450">
        <f t="shared" si="108"/>
        <v>0</v>
      </c>
      <c r="GQ70" s="450">
        <f t="shared" si="109"/>
        <v>60000</v>
      </c>
      <c r="GR70" s="450">
        <f t="shared" si="110"/>
        <v>0</v>
      </c>
      <c r="GV70" s="841" t="s">
        <v>592</v>
      </c>
      <c r="GW70" s="840">
        <v>77670</v>
      </c>
      <c r="GX70" s="450">
        <f t="shared" si="111"/>
        <v>77.67</v>
      </c>
      <c r="HB70" s="843" t="s">
        <v>587</v>
      </c>
      <c r="HC70" s="819">
        <v>359380</v>
      </c>
      <c r="HD70" s="819">
        <v>359380</v>
      </c>
      <c r="HE70" s="819">
        <v>0</v>
      </c>
      <c r="HF70" s="819">
        <v>359380</v>
      </c>
      <c r="HG70" s="450">
        <f t="shared" si="112"/>
        <v>359.38</v>
      </c>
      <c r="HH70" s="450">
        <f t="shared" si="113"/>
        <v>0</v>
      </c>
      <c r="HI70" s="450">
        <f t="shared" si="114"/>
        <v>359.38</v>
      </c>
      <c r="HJ70" s="450">
        <f t="shared" si="115"/>
        <v>0</v>
      </c>
      <c r="HK70" s="450">
        <f t="shared" si="116"/>
        <v>359.38</v>
      </c>
    </row>
    <row r="71" spans="1:219" ht="15" customHeight="1" x14ac:dyDescent="0.3">
      <c r="A71" s="295" t="s">
        <v>553</v>
      </c>
      <c r="B71" s="296" t="s">
        <v>592</v>
      </c>
      <c r="C71" s="297">
        <v>500000</v>
      </c>
      <c r="D71" s="298">
        <f t="shared" si="61"/>
        <v>531.5</v>
      </c>
      <c r="E71" s="297">
        <v>0</v>
      </c>
      <c r="F71" s="297">
        <f t="shared" si="62"/>
        <v>0</v>
      </c>
      <c r="J71" s="299" t="s">
        <v>553</v>
      </c>
      <c r="K71" s="300" t="s">
        <v>398</v>
      </c>
      <c r="L71" s="301">
        <v>1107070</v>
      </c>
      <c r="M71" s="301">
        <f t="shared" si="63"/>
        <v>1176.8154099999999</v>
      </c>
      <c r="Q71" s="299" t="s">
        <v>553</v>
      </c>
      <c r="R71" s="300" t="s">
        <v>591</v>
      </c>
      <c r="S71" s="301">
        <v>5400000</v>
      </c>
      <c r="T71" s="301">
        <v>0</v>
      </c>
      <c r="U71" s="301">
        <f t="shared" si="64"/>
        <v>5740.2</v>
      </c>
      <c r="V71" s="301">
        <f t="shared" si="65"/>
        <v>0</v>
      </c>
      <c r="Z71" s="296" t="s">
        <v>391</v>
      </c>
      <c r="AA71" s="297">
        <v>713124</v>
      </c>
      <c r="AB71" s="297">
        <f t="shared" si="66"/>
        <v>758.05081199999995</v>
      </c>
      <c r="AF71" s="452" t="s">
        <v>590</v>
      </c>
      <c r="AG71" s="453">
        <v>226624</v>
      </c>
      <c r="AH71" s="453">
        <f t="shared" si="60"/>
        <v>240.90131199999999</v>
      </c>
      <c r="AI71" s="297">
        <v>0</v>
      </c>
      <c r="AL71" s="450"/>
      <c r="AN71" s="447" t="s">
        <v>553</v>
      </c>
      <c r="AO71" s="448" t="s">
        <v>386</v>
      </c>
      <c r="AP71" s="449">
        <v>3805620</v>
      </c>
      <c r="AQ71" s="449">
        <f t="shared" si="67"/>
        <v>4045.3740599999996</v>
      </c>
      <c r="AU71" s="447" t="s">
        <v>553</v>
      </c>
      <c r="AV71" s="448" t="s">
        <v>590</v>
      </c>
      <c r="AW71" s="449">
        <v>0</v>
      </c>
      <c r="AX71" s="449">
        <v>0</v>
      </c>
      <c r="AY71" s="449">
        <v>0</v>
      </c>
      <c r="AZ71" s="450">
        <f t="shared" si="68"/>
        <v>0</v>
      </c>
      <c r="BA71" s="450">
        <f t="shared" si="69"/>
        <v>0</v>
      </c>
      <c r="BB71" s="450">
        <f t="shared" si="70"/>
        <v>0</v>
      </c>
      <c r="BF71" s="447" t="s">
        <v>553</v>
      </c>
      <c r="BG71" s="448" t="s">
        <v>717</v>
      </c>
      <c r="BH71" s="449">
        <v>0</v>
      </c>
      <c r="BI71" s="450">
        <f t="shared" si="71"/>
        <v>0</v>
      </c>
      <c r="BM71" s="451" t="s">
        <v>553</v>
      </c>
      <c r="BN71" s="94" t="s">
        <v>384</v>
      </c>
      <c r="BO71" s="95">
        <v>0</v>
      </c>
      <c r="BP71" s="95">
        <v>10106426</v>
      </c>
      <c r="BQ71" s="95">
        <v>9889763</v>
      </c>
      <c r="BR71" s="95">
        <v>216663</v>
      </c>
      <c r="BS71" s="95">
        <v>5563212</v>
      </c>
      <c r="BT71" s="450">
        <f t="shared" si="72"/>
        <v>10106.425999999999</v>
      </c>
      <c r="BU71" s="450">
        <f t="shared" si="73"/>
        <v>9889.7630000000008</v>
      </c>
      <c r="BV71" s="450">
        <f t="shared" si="74"/>
        <v>216.66300000000001</v>
      </c>
      <c r="BW71" s="450">
        <f t="shared" si="75"/>
        <v>5563.2120000000004</v>
      </c>
      <c r="CA71" s="94" t="s">
        <v>387</v>
      </c>
      <c r="CB71" s="450">
        <v>12116412</v>
      </c>
      <c r="CC71" s="450">
        <f t="shared" si="76"/>
        <v>12116.412</v>
      </c>
      <c r="CG71" s="448" t="s">
        <v>589</v>
      </c>
      <c r="CH71" s="449">
        <v>0</v>
      </c>
      <c r="CI71" s="449">
        <v>6619022</v>
      </c>
      <c r="CJ71" s="449">
        <v>-6619022</v>
      </c>
      <c r="CK71" s="449">
        <v>5424192</v>
      </c>
      <c r="CL71" s="449">
        <v>1194830</v>
      </c>
      <c r="CM71" s="449">
        <v>5424192</v>
      </c>
      <c r="CN71" s="449">
        <f t="shared" si="77"/>
        <v>6619.0219999999999</v>
      </c>
      <c r="CO71" s="449">
        <f t="shared" si="78"/>
        <v>5424.192</v>
      </c>
      <c r="CP71" s="449">
        <f t="shared" si="79"/>
        <v>1194.83</v>
      </c>
      <c r="CQ71" s="449">
        <f t="shared" si="80"/>
        <v>5424.192</v>
      </c>
      <c r="CU71" s="448" t="s">
        <v>389</v>
      </c>
      <c r="CV71" s="449">
        <v>980574</v>
      </c>
      <c r="CW71" s="449">
        <v>1595616</v>
      </c>
      <c r="CX71" s="450">
        <f t="shared" si="81"/>
        <v>980.57399999999996</v>
      </c>
      <c r="CY71" s="450">
        <f t="shared" si="82"/>
        <v>1595.616</v>
      </c>
      <c r="DB71" s="602" t="s">
        <v>589</v>
      </c>
      <c r="DC71" s="603">
        <v>5930199</v>
      </c>
      <c r="DD71" s="603">
        <v>5424192</v>
      </c>
      <c r="DE71" s="603">
        <v>506007</v>
      </c>
      <c r="DF71" s="603">
        <v>5424192</v>
      </c>
      <c r="DG71" s="604">
        <f t="shared" si="83"/>
        <v>5930.1989999999996</v>
      </c>
      <c r="DH71" s="604">
        <f t="shared" si="84"/>
        <v>5424.192</v>
      </c>
      <c r="DI71" s="604">
        <f t="shared" si="85"/>
        <v>506.00700000000001</v>
      </c>
      <c r="DJ71" s="604">
        <f t="shared" si="86"/>
        <v>5424.192</v>
      </c>
      <c r="DN71" s="94" t="s">
        <v>595</v>
      </c>
      <c r="DO71" s="94">
        <v>0</v>
      </c>
      <c r="DP71" s="94">
        <v>2885929</v>
      </c>
      <c r="DQ71" s="666">
        <f t="shared" si="87"/>
        <v>0</v>
      </c>
      <c r="DR71" s="666">
        <f t="shared" si="88"/>
        <v>2885.9290000000001</v>
      </c>
      <c r="DV71" s="94" t="s">
        <v>383</v>
      </c>
      <c r="DW71" s="95">
        <v>126240</v>
      </c>
      <c r="DX71" s="95">
        <v>126240</v>
      </c>
      <c r="DY71" s="95">
        <v>0</v>
      </c>
      <c r="DZ71" s="95">
        <v>126240</v>
      </c>
      <c r="EA71" s="95">
        <f t="shared" si="89"/>
        <v>126.24</v>
      </c>
      <c r="EB71" s="95">
        <f t="shared" si="90"/>
        <v>126.24</v>
      </c>
      <c r="EC71" s="95">
        <f t="shared" si="91"/>
        <v>0</v>
      </c>
      <c r="ED71" s="95">
        <f t="shared" si="92"/>
        <v>126.24</v>
      </c>
      <c r="EH71" s="444" t="s">
        <v>389</v>
      </c>
      <c r="EI71" s="444">
        <v>1145654</v>
      </c>
      <c r="EJ71" s="450">
        <f t="shared" si="93"/>
        <v>1145.654</v>
      </c>
      <c r="EN71" s="444" t="s">
        <v>381</v>
      </c>
      <c r="EO71" s="450">
        <v>49465773</v>
      </c>
      <c r="EP71" s="450">
        <v>48314181</v>
      </c>
      <c r="EQ71" s="450">
        <v>1151592</v>
      </c>
      <c r="ER71" s="450">
        <v>45165831</v>
      </c>
      <c r="ES71" s="746">
        <f t="shared" si="94"/>
        <v>49465.773000000001</v>
      </c>
      <c r="ET71" s="746">
        <f t="shared" si="95"/>
        <v>48314.180999999997</v>
      </c>
      <c r="EU71" s="746">
        <f t="shared" si="96"/>
        <v>1151.5920000000001</v>
      </c>
      <c r="EV71" s="746">
        <f t="shared" si="97"/>
        <v>45165.830999999998</v>
      </c>
      <c r="EZ71" s="780" t="s">
        <v>553</v>
      </c>
      <c r="FA71" s="781" t="s">
        <v>393</v>
      </c>
      <c r="FB71" s="444">
        <v>160163</v>
      </c>
      <c r="FC71" s="450">
        <f t="shared" si="98"/>
        <v>160.16300000000001</v>
      </c>
      <c r="FG71" s="785" t="s">
        <v>355</v>
      </c>
      <c r="FH71" s="784" t="s">
        <v>381</v>
      </c>
      <c r="FI71" s="782">
        <v>58077128</v>
      </c>
      <c r="FJ71" s="783">
        <v>57206358</v>
      </c>
      <c r="FK71" s="783">
        <v>870770</v>
      </c>
      <c r="FL71" s="783">
        <v>49285819</v>
      </c>
      <c r="FM71" s="450">
        <f t="shared" si="99"/>
        <v>58077.127999999997</v>
      </c>
      <c r="FN71" s="450">
        <f t="shared" si="100"/>
        <v>57206.358</v>
      </c>
      <c r="FO71" s="450">
        <f t="shared" si="101"/>
        <v>870.77</v>
      </c>
      <c r="FP71" s="450">
        <f t="shared" si="102"/>
        <v>49285.819000000003</v>
      </c>
      <c r="FT71" s="451" t="s">
        <v>553</v>
      </c>
      <c r="FU71" s="94" t="s">
        <v>385</v>
      </c>
      <c r="FV71" s="95">
        <v>447440</v>
      </c>
      <c r="FW71" s="95">
        <v>119000</v>
      </c>
      <c r="FX71" s="95">
        <v>0</v>
      </c>
      <c r="FY71" s="450">
        <f t="shared" si="103"/>
        <v>447.44</v>
      </c>
      <c r="FZ71" s="450">
        <f t="shared" si="104"/>
        <v>119</v>
      </c>
      <c r="GA71" s="450">
        <f t="shared" si="105"/>
        <v>0</v>
      </c>
      <c r="GG71" s="817" t="s">
        <v>355</v>
      </c>
      <c r="GH71" s="818" t="s">
        <v>381</v>
      </c>
      <c r="GI71" s="819">
        <v>70148950</v>
      </c>
      <c r="GJ71" s="819">
        <v>58586426</v>
      </c>
      <c r="GK71" s="819">
        <v>11562524</v>
      </c>
      <c r="GL71" s="819">
        <v>52078556</v>
      </c>
      <c r="GM71" s="819">
        <v>6507870</v>
      </c>
      <c r="GN71" s="450">
        <f t="shared" si="106"/>
        <v>70148.95</v>
      </c>
      <c r="GO71" s="450">
        <f t="shared" si="107"/>
        <v>58586.425999999999</v>
      </c>
      <c r="GP71" s="450">
        <f t="shared" si="108"/>
        <v>11562.523999999999</v>
      </c>
      <c r="GQ71" s="450">
        <f t="shared" si="109"/>
        <v>52078.555999999997</v>
      </c>
      <c r="GR71" s="450">
        <f t="shared" si="110"/>
        <v>6507.87</v>
      </c>
      <c r="GV71" s="841" t="s">
        <v>593</v>
      </c>
      <c r="GW71" s="840">
        <v>869521</v>
      </c>
      <c r="GX71" s="450">
        <f t="shared" si="111"/>
        <v>869.52099999999996</v>
      </c>
      <c r="HB71" s="843" t="s">
        <v>588</v>
      </c>
      <c r="HC71" s="819">
        <v>15882636</v>
      </c>
      <c r="HD71" s="819">
        <v>15882636</v>
      </c>
      <c r="HE71" s="819">
        <v>0</v>
      </c>
      <c r="HF71" s="819">
        <v>15882636</v>
      </c>
      <c r="HG71" s="450">
        <f t="shared" si="112"/>
        <v>15882.636</v>
      </c>
      <c r="HH71" s="450">
        <f t="shared" si="113"/>
        <v>0</v>
      </c>
      <c r="HI71" s="450">
        <f t="shared" si="114"/>
        <v>15882.636</v>
      </c>
      <c r="HJ71" s="450">
        <f t="shared" si="115"/>
        <v>0</v>
      </c>
      <c r="HK71" s="450">
        <f t="shared" si="116"/>
        <v>15882.636</v>
      </c>
    </row>
    <row r="72" spans="1:219" ht="15" customHeight="1" x14ac:dyDescent="0.3">
      <c r="A72" s="295" t="s">
        <v>553</v>
      </c>
      <c r="B72" s="296" t="s">
        <v>593</v>
      </c>
      <c r="C72" s="297">
        <v>4000000</v>
      </c>
      <c r="D72" s="298">
        <f t="shared" si="61"/>
        <v>4252</v>
      </c>
      <c r="E72" s="297">
        <v>85680</v>
      </c>
      <c r="F72" s="297">
        <f t="shared" si="62"/>
        <v>91.077840000000009</v>
      </c>
      <c r="J72" s="299" t="s">
        <v>553</v>
      </c>
      <c r="K72" s="300" t="s">
        <v>399</v>
      </c>
      <c r="L72" s="301">
        <v>0</v>
      </c>
      <c r="M72" s="301">
        <f t="shared" si="63"/>
        <v>0</v>
      </c>
      <c r="Q72" s="299" t="s">
        <v>553</v>
      </c>
      <c r="R72" s="300" t="s">
        <v>592</v>
      </c>
      <c r="S72" s="301">
        <v>500000</v>
      </c>
      <c r="T72" s="301">
        <v>0</v>
      </c>
      <c r="U72" s="301">
        <f t="shared" si="64"/>
        <v>531.5</v>
      </c>
      <c r="V72" s="301">
        <f t="shared" si="65"/>
        <v>0</v>
      </c>
      <c r="Z72" s="296" t="s">
        <v>392</v>
      </c>
      <c r="AA72" s="297">
        <v>5465146</v>
      </c>
      <c r="AB72" s="297">
        <f t="shared" si="66"/>
        <v>5809.4501979999995</v>
      </c>
      <c r="AF72" s="452" t="s">
        <v>591</v>
      </c>
      <c r="AG72" s="453">
        <v>5400000</v>
      </c>
      <c r="AH72" s="453">
        <f t="shared" si="60"/>
        <v>5740.2</v>
      </c>
      <c r="AI72" s="297">
        <v>0</v>
      </c>
      <c r="AL72" s="450"/>
      <c r="AN72" s="447" t="s">
        <v>355</v>
      </c>
      <c r="AO72" s="448" t="s">
        <v>387</v>
      </c>
      <c r="AP72" s="449">
        <v>14001166</v>
      </c>
      <c r="AQ72" s="449">
        <f t="shared" si="67"/>
        <v>14883.239457999998</v>
      </c>
      <c r="AU72" s="447" t="s">
        <v>553</v>
      </c>
      <c r="AV72" s="448" t="s">
        <v>591</v>
      </c>
      <c r="AW72" s="449">
        <v>5400000</v>
      </c>
      <c r="AX72" s="449">
        <v>1349650</v>
      </c>
      <c r="AY72" s="449">
        <v>4050350</v>
      </c>
      <c r="AZ72" s="450">
        <f t="shared" si="68"/>
        <v>5740.2</v>
      </c>
      <c r="BA72" s="450">
        <f t="shared" si="69"/>
        <v>1434.67795</v>
      </c>
      <c r="BB72" s="450">
        <f t="shared" si="70"/>
        <v>4305.5220499999996</v>
      </c>
      <c r="BF72" s="447" t="s">
        <v>553</v>
      </c>
      <c r="BG72" s="448" t="s">
        <v>600</v>
      </c>
      <c r="BH72" s="449">
        <v>0</v>
      </c>
      <c r="BI72" s="450">
        <f t="shared" si="71"/>
        <v>0</v>
      </c>
      <c r="BM72" s="451" t="s">
        <v>553</v>
      </c>
      <c r="BN72" s="94" t="s">
        <v>590</v>
      </c>
      <c r="BO72" s="95">
        <v>0</v>
      </c>
      <c r="BP72" s="95">
        <v>0</v>
      </c>
      <c r="BQ72" s="95">
        <v>0</v>
      </c>
      <c r="BR72" s="95">
        <v>0</v>
      </c>
      <c r="BS72" s="95">
        <v>0</v>
      </c>
      <c r="BT72" s="450">
        <f t="shared" si="72"/>
        <v>0</v>
      </c>
      <c r="BU72" s="450">
        <f t="shared" si="73"/>
        <v>0</v>
      </c>
      <c r="BV72" s="450">
        <f t="shared" si="74"/>
        <v>0</v>
      </c>
      <c r="BW72" s="450">
        <f t="shared" si="75"/>
        <v>0</v>
      </c>
      <c r="CA72" s="94" t="s">
        <v>388</v>
      </c>
      <c r="CB72" s="450">
        <v>939000</v>
      </c>
      <c r="CC72" s="450">
        <f t="shared" si="76"/>
        <v>939</v>
      </c>
      <c r="CG72" s="448" t="s">
        <v>384</v>
      </c>
      <c r="CH72" s="449">
        <v>0</v>
      </c>
      <c r="CI72" s="449">
        <v>10311582</v>
      </c>
      <c r="CJ72" s="449">
        <v>-10311582</v>
      </c>
      <c r="CK72" s="449">
        <v>10088969</v>
      </c>
      <c r="CL72" s="449">
        <v>222613</v>
      </c>
      <c r="CM72" s="449">
        <v>10088969</v>
      </c>
      <c r="CN72" s="449">
        <f t="shared" si="77"/>
        <v>10311.582</v>
      </c>
      <c r="CO72" s="449">
        <f t="shared" si="78"/>
        <v>10088.968999999999</v>
      </c>
      <c r="CP72" s="449">
        <f t="shared" si="79"/>
        <v>222.613</v>
      </c>
      <c r="CQ72" s="449">
        <f t="shared" si="80"/>
        <v>10088.968999999999</v>
      </c>
      <c r="CU72" s="448" t="s">
        <v>390</v>
      </c>
      <c r="CV72" s="449">
        <v>517805</v>
      </c>
      <c r="CW72" s="449">
        <v>1174191</v>
      </c>
      <c r="CX72" s="450">
        <f t="shared" si="81"/>
        <v>517.80499999999995</v>
      </c>
      <c r="CY72" s="450">
        <f t="shared" si="82"/>
        <v>1174.191</v>
      </c>
      <c r="DB72" s="602" t="s">
        <v>384</v>
      </c>
      <c r="DC72" s="603">
        <v>17219930</v>
      </c>
      <c r="DD72" s="603">
        <v>16996047</v>
      </c>
      <c r="DE72" s="603">
        <v>223883</v>
      </c>
      <c r="DF72" s="603">
        <v>10107699</v>
      </c>
      <c r="DG72" s="604">
        <f t="shared" si="83"/>
        <v>17219.93</v>
      </c>
      <c r="DH72" s="604">
        <f t="shared" si="84"/>
        <v>16996.046999999999</v>
      </c>
      <c r="DI72" s="604">
        <f t="shared" si="85"/>
        <v>223.88300000000001</v>
      </c>
      <c r="DJ72" s="604">
        <f t="shared" si="86"/>
        <v>10107.699000000001</v>
      </c>
      <c r="DN72" s="94" t="s">
        <v>395</v>
      </c>
      <c r="DO72" s="94">
        <v>9662354</v>
      </c>
      <c r="DP72" s="94">
        <v>10262411</v>
      </c>
      <c r="DQ72" s="666">
        <f t="shared" si="87"/>
        <v>9662.3539999999994</v>
      </c>
      <c r="DR72" s="666">
        <f t="shared" si="88"/>
        <v>10262.411</v>
      </c>
      <c r="DV72" s="94" t="s">
        <v>589</v>
      </c>
      <c r="DW72" s="95">
        <v>5541902</v>
      </c>
      <c r="DX72" s="95">
        <v>5541902</v>
      </c>
      <c r="DY72" s="95">
        <v>0</v>
      </c>
      <c r="DZ72" s="95">
        <v>5424192</v>
      </c>
      <c r="EA72" s="95">
        <f t="shared" si="89"/>
        <v>5541.902</v>
      </c>
      <c r="EB72" s="95">
        <f t="shared" si="90"/>
        <v>5541.902</v>
      </c>
      <c r="EC72" s="95">
        <f t="shared" si="91"/>
        <v>0</v>
      </c>
      <c r="ED72" s="95">
        <f t="shared" si="92"/>
        <v>5424.192</v>
      </c>
      <c r="EH72" s="444" t="s">
        <v>390</v>
      </c>
      <c r="EI72" s="444">
        <v>0</v>
      </c>
      <c r="EJ72" s="450">
        <f t="shared" si="93"/>
        <v>0</v>
      </c>
      <c r="EN72" s="444" t="s">
        <v>382</v>
      </c>
      <c r="EO72" s="450">
        <v>5146219</v>
      </c>
      <c r="EP72" s="450">
        <v>5146218</v>
      </c>
      <c r="EQ72" s="450">
        <v>1</v>
      </c>
      <c r="ER72" s="450">
        <v>4475058</v>
      </c>
      <c r="ES72" s="746">
        <f t="shared" si="94"/>
        <v>5146.2190000000001</v>
      </c>
      <c r="ET72" s="746">
        <f t="shared" si="95"/>
        <v>5146.2179999999998</v>
      </c>
      <c r="EU72" s="746">
        <f t="shared" si="96"/>
        <v>1E-3</v>
      </c>
      <c r="EV72" s="746">
        <f t="shared" si="97"/>
        <v>4475.058</v>
      </c>
      <c r="EZ72" s="780" t="s">
        <v>553</v>
      </c>
      <c r="FA72" s="781" t="s">
        <v>394</v>
      </c>
      <c r="FB72" s="444">
        <v>479808</v>
      </c>
      <c r="FC72" s="450">
        <f t="shared" si="98"/>
        <v>479.80799999999999</v>
      </c>
      <c r="FG72" s="785" t="s">
        <v>553</v>
      </c>
      <c r="FH72" s="784" t="s">
        <v>382</v>
      </c>
      <c r="FI72" s="782">
        <v>9855644</v>
      </c>
      <c r="FJ72" s="783">
        <v>9855643</v>
      </c>
      <c r="FK72" s="783">
        <v>1</v>
      </c>
      <c r="FL72" s="783">
        <v>4724601</v>
      </c>
      <c r="FM72" s="450">
        <f t="shared" si="99"/>
        <v>9855.6440000000002</v>
      </c>
      <c r="FN72" s="450">
        <f t="shared" si="100"/>
        <v>9855.643</v>
      </c>
      <c r="FO72" s="450">
        <f t="shared" si="101"/>
        <v>1E-3</v>
      </c>
      <c r="FP72" s="450">
        <f t="shared" si="102"/>
        <v>4724.6009999999997</v>
      </c>
      <c r="FT72" s="451" t="s">
        <v>355</v>
      </c>
      <c r="FU72" s="94" t="s">
        <v>387</v>
      </c>
      <c r="FV72" s="95">
        <v>-4293720</v>
      </c>
      <c r="FW72" s="95">
        <v>-638342</v>
      </c>
      <c r="FX72" s="95">
        <v>10214295</v>
      </c>
      <c r="FY72" s="450">
        <f t="shared" si="103"/>
        <v>-4293.72</v>
      </c>
      <c r="FZ72" s="450">
        <f t="shared" si="104"/>
        <v>-638.34199999999998</v>
      </c>
      <c r="GA72" s="450">
        <f t="shared" si="105"/>
        <v>10214.295</v>
      </c>
      <c r="GG72" s="817" t="s">
        <v>553</v>
      </c>
      <c r="GH72" s="818" t="s">
        <v>382</v>
      </c>
      <c r="GI72" s="819">
        <v>9865444</v>
      </c>
      <c r="GJ72" s="819">
        <v>9865443</v>
      </c>
      <c r="GK72" s="819">
        <v>1</v>
      </c>
      <c r="GL72" s="819">
        <v>5405561</v>
      </c>
      <c r="GM72" s="819">
        <v>4459882</v>
      </c>
      <c r="GN72" s="450">
        <f t="shared" si="106"/>
        <v>9865.4439999999995</v>
      </c>
      <c r="GO72" s="450">
        <f t="shared" si="107"/>
        <v>9865.4429999999993</v>
      </c>
      <c r="GP72" s="450">
        <f t="shared" si="108"/>
        <v>1E-3</v>
      </c>
      <c r="GQ72" s="450">
        <f t="shared" si="109"/>
        <v>5405.5609999999997</v>
      </c>
      <c r="GR72" s="450">
        <f t="shared" si="110"/>
        <v>4459.8819999999996</v>
      </c>
      <c r="GV72" s="841" t="s">
        <v>594</v>
      </c>
      <c r="GW72" s="840">
        <v>558007</v>
      </c>
      <c r="GX72" s="450">
        <f t="shared" si="111"/>
        <v>558.00699999999995</v>
      </c>
      <c r="HB72" s="843" t="s">
        <v>380</v>
      </c>
      <c r="HC72" s="819">
        <v>2864130</v>
      </c>
      <c r="HD72" s="819">
        <v>2864130</v>
      </c>
      <c r="HE72" s="819">
        <v>0</v>
      </c>
      <c r="HF72" s="819">
        <v>2864130</v>
      </c>
      <c r="HG72" s="450">
        <f t="shared" si="112"/>
        <v>2864.13</v>
      </c>
      <c r="HH72" s="450">
        <f t="shared" si="113"/>
        <v>0</v>
      </c>
      <c r="HI72" s="450">
        <f t="shared" si="114"/>
        <v>2864.13</v>
      </c>
      <c r="HJ72" s="450">
        <f t="shared" si="115"/>
        <v>0</v>
      </c>
      <c r="HK72" s="450">
        <f t="shared" si="116"/>
        <v>2864.13</v>
      </c>
    </row>
    <row r="73" spans="1:219" ht="15" customHeight="1" x14ac:dyDescent="0.3">
      <c r="A73" s="295" t="s">
        <v>553</v>
      </c>
      <c r="B73" s="296" t="s">
        <v>594</v>
      </c>
      <c r="C73" s="297">
        <v>500000</v>
      </c>
      <c r="D73" s="298">
        <f t="shared" si="61"/>
        <v>531.5</v>
      </c>
      <c r="E73" s="297">
        <v>6580</v>
      </c>
      <c r="F73" s="297">
        <f t="shared" si="62"/>
        <v>6.9945399999999998</v>
      </c>
      <c r="J73" s="299" t="s">
        <v>355</v>
      </c>
      <c r="K73" s="300" t="s">
        <v>400</v>
      </c>
      <c r="L73" s="301">
        <v>13838697</v>
      </c>
      <c r="M73" s="301">
        <f t="shared" si="63"/>
        <v>14710.534910999999</v>
      </c>
      <c r="Q73" s="299" t="s">
        <v>553</v>
      </c>
      <c r="R73" s="300" t="s">
        <v>593</v>
      </c>
      <c r="S73" s="301">
        <v>4000000</v>
      </c>
      <c r="T73" s="301">
        <v>85680</v>
      </c>
      <c r="U73" s="301">
        <f t="shared" si="64"/>
        <v>4252</v>
      </c>
      <c r="V73" s="301">
        <f t="shared" si="65"/>
        <v>91.077840000000009</v>
      </c>
      <c r="Z73" s="296" t="s">
        <v>393</v>
      </c>
      <c r="AA73" s="297">
        <v>124738</v>
      </c>
      <c r="AB73" s="297">
        <f t="shared" si="66"/>
        <v>132.59649399999998</v>
      </c>
      <c r="AF73" s="452" t="s">
        <v>592</v>
      </c>
      <c r="AG73" s="453">
        <v>500000</v>
      </c>
      <c r="AH73" s="453">
        <f t="shared" si="60"/>
        <v>531.5</v>
      </c>
      <c r="AI73" s="297">
        <v>0</v>
      </c>
      <c r="AL73" s="450"/>
      <c r="AN73" s="447" t="s">
        <v>553</v>
      </c>
      <c r="AO73" s="448" t="s">
        <v>388</v>
      </c>
      <c r="AP73" s="449">
        <v>1194500</v>
      </c>
      <c r="AQ73" s="449">
        <f t="shared" si="67"/>
        <v>1269.7535</v>
      </c>
      <c r="AU73" s="447" t="s">
        <v>553</v>
      </c>
      <c r="AV73" s="448" t="s">
        <v>592</v>
      </c>
      <c r="AW73" s="449">
        <v>500000</v>
      </c>
      <c r="AX73" s="449">
        <v>19140</v>
      </c>
      <c r="AY73" s="449">
        <v>480860</v>
      </c>
      <c r="AZ73" s="450">
        <f t="shared" si="68"/>
        <v>531.5</v>
      </c>
      <c r="BA73" s="450">
        <f t="shared" si="69"/>
        <v>20.34582</v>
      </c>
      <c r="BB73" s="450">
        <f t="shared" si="70"/>
        <v>511.15418</v>
      </c>
      <c r="BF73" s="447" t="s">
        <v>355</v>
      </c>
      <c r="BG73" s="448" t="s">
        <v>397</v>
      </c>
      <c r="BH73" s="449">
        <v>917597</v>
      </c>
      <c r="BI73" s="450">
        <f t="shared" si="71"/>
        <v>917.59699999999998</v>
      </c>
      <c r="BM73" s="451" t="s">
        <v>553</v>
      </c>
      <c r="BN73" s="94" t="s">
        <v>591</v>
      </c>
      <c r="BO73" s="95">
        <v>0</v>
      </c>
      <c r="BP73" s="95">
        <v>4894535</v>
      </c>
      <c r="BQ73" s="95">
        <v>1378640</v>
      </c>
      <c r="BR73" s="95">
        <v>3515895</v>
      </c>
      <c r="BS73" s="95">
        <v>1378640</v>
      </c>
      <c r="BT73" s="450">
        <f t="shared" si="72"/>
        <v>4894.5349999999999</v>
      </c>
      <c r="BU73" s="450">
        <f t="shared" si="73"/>
        <v>1378.64</v>
      </c>
      <c r="BV73" s="450">
        <f t="shared" si="74"/>
        <v>3515.895</v>
      </c>
      <c r="BW73" s="450">
        <f t="shared" si="75"/>
        <v>1378.64</v>
      </c>
      <c r="CA73" s="94" t="s">
        <v>389</v>
      </c>
      <c r="CB73" s="450">
        <v>185923</v>
      </c>
      <c r="CC73" s="450">
        <f t="shared" si="76"/>
        <v>185.923</v>
      </c>
      <c r="CG73" s="448" t="s">
        <v>590</v>
      </c>
      <c r="CH73" s="449">
        <v>0</v>
      </c>
      <c r="CI73" s="449">
        <v>0</v>
      </c>
      <c r="CJ73" s="449">
        <v>0</v>
      </c>
      <c r="CK73" s="449">
        <v>0</v>
      </c>
      <c r="CL73" s="449">
        <v>0</v>
      </c>
      <c r="CM73" s="449">
        <v>0</v>
      </c>
      <c r="CN73" s="449">
        <f t="shared" si="77"/>
        <v>0</v>
      </c>
      <c r="CO73" s="449">
        <f t="shared" si="78"/>
        <v>0</v>
      </c>
      <c r="CP73" s="449">
        <f t="shared" si="79"/>
        <v>0</v>
      </c>
      <c r="CQ73" s="449">
        <f t="shared" si="80"/>
        <v>0</v>
      </c>
      <c r="CU73" s="448" t="s">
        <v>391</v>
      </c>
      <c r="CV73" s="449">
        <v>40000</v>
      </c>
      <c r="CW73" s="449">
        <v>520187</v>
      </c>
      <c r="CX73" s="450">
        <f t="shared" si="81"/>
        <v>40</v>
      </c>
      <c r="CY73" s="450">
        <f t="shared" si="82"/>
        <v>520.18700000000001</v>
      </c>
      <c r="DB73" s="602" t="s">
        <v>590</v>
      </c>
      <c r="DC73" s="603">
        <v>0</v>
      </c>
      <c r="DD73" s="603">
        <v>0</v>
      </c>
      <c r="DE73" s="603">
        <v>0</v>
      </c>
      <c r="DF73" s="603">
        <v>0</v>
      </c>
      <c r="DG73" s="604">
        <f t="shared" si="83"/>
        <v>0</v>
      </c>
      <c r="DH73" s="604">
        <f t="shared" si="84"/>
        <v>0</v>
      </c>
      <c r="DI73" s="604">
        <f t="shared" si="85"/>
        <v>0</v>
      </c>
      <c r="DJ73" s="604">
        <f t="shared" si="86"/>
        <v>0</v>
      </c>
      <c r="DN73" s="94" t="s">
        <v>596</v>
      </c>
      <c r="DO73" s="94">
        <v>2036864</v>
      </c>
      <c r="DP73" s="94">
        <v>2332533</v>
      </c>
      <c r="DQ73" s="666">
        <f t="shared" si="87"/>
        <v>2036.864</v>
      </c>
      <c r="DR73" s="666">
        <f t="shared" si="88"/>
        <v>2332.5329999999999</v>
      </c>
      <c r="DV73" s="94" t="s">
        <v>384</v>
      </c>
      <c r="DW73" s="95">
        <v>16996047</v>
      </c>
      <c r="DX73" s="95">
        <v>16996047</v>
      </c>
      <c r="DY73" s="95">
        <v>0</v>
      </c>
      <c r="DZ73" s="95">
        <v>10107699</v>
      </c>
      <c r="EA73" s="95">
        <f t="shared" si="89"/>
        <v>16996.046999999999</v>
      </c>
      <c r="EB73" s="95">
        <f t="shared" si="90"/>
        <v>16996.046999999999</v>
      </c>
      <c r="EC73" s="95">
        <f t="shared" si="91"/>
        <v>0</v>
      </c>
      <c r="ED73" s="95">
        <f t="shared" si="92"/>
        <v>10107.699000000001</v>
      </c>
      <c r="EH73" s="444" t="s">
        <v>391</v>
      </c>
      <c r="EI73" s="444">
        <v>1024495</v>
      </c>
      <c r="EJ73" s="450">
        <f t="shared" si="93"/>
        <v>1024.4949999999999</v>
      </c>
      <c r="EN73" s="444" t="s">
        <v>383</v>
      </c>
      <c r="EO73" s="450">
        <v>216090</v>
      </c>
      <c r="EP73" s="450">
        <v>216090</v>
      </c>
      <c r="EQ73" s="450">
        <v>0</v>
      </c>
      <c r="ER73" s="450">
        <v>216080</v>
      </c>
      <c r="ES73" s="746">
        <f t="shared" si="94"/>
        <v>216.09</v>
      </c>
      <c r="ET73" s="746">
        <f t="shared" si="95"/>
        <v>216.09</v>
      </c>
      <c r="EU73" s="746">
        <f t="shared" si="96"/>
        <v>0</v>
      </c>
      <c r="EV73" s="746">
        <f t="shared" si="97"/>
        <v>216.08</v>
      </c>
      <c r="EZ73" s="780" t="s">
        <v>553</v>
      </c>
      <c r="FA73" s="781" t="s">
        <v>595</v>
      </c>
      <c r="FB73" s="444">
        <v>2885929</v>
      </c>
      <c r="FC73" s="450">
        <f t="shared" si="98"/>
        <v>2885.9290000000001</v>
      </c>
      <c r="FG73" s="785" t="s">
        <v>553</v>
      </c>
      <c r="FH73" s="784" t="s">
        <v>383</v>
      </c>
      <c r="FI73" s="782">
        <v>216090</v>
      </c>
      <c r="FJ73" s="783">
        <v>216090</v>
      </c>
      <c r="FK73" s="783">
        <v>0</v>
      </c>
      <c r="FL73" s="783">
        <v>216080</v>
      </c>
      <c r="FM73" s="450">
        <f t="shared" si="99"/>
        <v>216.09</v>
      </c>
      <c r="FN73" s="450">
        <f t="shared" si="100"/>
        <v>216.09</v>
      </c>
      <c r="FO73" s="450">
        <f t="shared" si="101"/>
        <v>0</v>
      </c>
      <c r="FP73" s="450">
        <f t="shared" si="102"/>
        <v>216.08</v>
      </c>
      <c r="FT73" s="451" t="s">
        <v>553</v>
      </c>
      <c r="FU73" s="94" t="s">
        <v>388</v>
      </c>
      <c r="FV73" s="95">
        <v>551500</v>
      </c>
      <c r="FW73" s="95">
        <v>551500</v>
      </c>
      <c r="FX73" s="95">
        <v>631600</v>
      </c>
      <c r="FY73" s="450">
        <f t="shared" si="103"/>
        <v>551.5</v>
      </c>
      <c r="FZ73" s="450">
        <f t="shared" si="104"/>
        <v>551.5</v>
      </c>
      <c r="GA73" s="450">
        <f t="shared" si="105"/>
        <v>631.6</v>
      </c>
      <c r="GG73" s="817" t="s">
        <v>553</v>
      </c>
      <c r="GH73" s="818" t="s">
        <v>383</v>
      </c>
      <c r="GI73" s="819">
        <v>216080</v>
      </c>
      <c r="GJ73" s="819">
        <v>216080</v>
      </c>
      <c r="GK73" s="819">
        <v>0</v>
      </c>
      <c r="GL73" s="819">
        <v>216080</v>
      </c>
      <c r="GM73" s="819">
        <v>0</v>
      </c>
      <c r="GN73" s="450">
        <f t="shared" si="106"/>
        <v>216.08</v>
      </c>
      <c r="GO73" s="450">
        <f t="shared" si="107"/>
        <v>216.08</v>
      </c>
      <c r="GP73" s="450">
        <f t="shared" si="108"/>
        <v>0</v>
      </c>
      <c r="GQ73" s="450">
        <f t="shared" si="109"/>
        <v>216.08</v>
      </c>
      <c r="GR73" s="450">
        <f t="shared" si="110"/>
        <v>0</v>
      </c>
      <c r="GV73" s="841" t="s">
        <v>385</v>
      </c>
      <c r="GW73" s="840">
        <v>662390</v>
      </c>
      <c r="GX73" s="450">
        <f t="shared" si="111"/>
        <v>662.39</v>
      </c>
      <c r="HB73" s="843" t="s">
        <v>502</v>
      </c>
      <c r="HC73" s="819">
        <v>60000000</v>
      </c>
      <c r="HD73" s="819">
        <v>60000000</v>
      </c>
      <c r="HE73" s="819">
        <v>0</v>
      </c>
      <c r="HF73" s="819">
        <v>60000000</v>
      </c>
      <c r="HG73" s="450">
        <f t="shared" si="112"/>
        <v>60000</v>
      </c>
      <c r="HH73" s="450">
        <f t="shared" si="113"/>
        <v>0</v>
      </c>
      <c r="HI73" s="450">
        <f t="shared" si="114"/>
        <v>60000</v>
      </c>
      <c r="HJ73" s="450">
        <f t="shared" si="115"/>
        <v>0</v>
      </c>
      <c r="HK73" s="450">
        <f t="shared" si="116"/>
        <v>60000</v>
      </c>
    </row>
    <row r="74" spans="1:219" ht="15" customHeight="1" x14ac:dyDescent="0.3">
      <c r="A74" s="295" t="s">
        <v>553</v>
      </c>
      <c r="B74" s="296" t="s">
        <v>385</v>
      </c>
      <c r="C74" s="297">
        <v>1089845</v>
      </c>
      <c r="D74" s="298">
        <f t="shared" si="61"/>
        <v>1158.5052349999999</v>
      </c>
      <c r="E74" s="297">
        <v>0</v>
      </c>
      <c r="F74" s="297">
        <f t="shared" si="62"/>
        <v>0</v>
      </c>
      <c r="J74" s="299" t="s">
        <v>553</v>
      </c>
      <c r="K74" s="300" t="s">
        <v>401</v>
      </c>
      <c r="L74" s="301">
        <v>6656001</v>
      </c>
      <c r="M74" s="301">
        <f t="shared" si="63"/>
        <v>7075.3290630000001</v>
      </c>
      <c r="Q74" s="299" t="s">
        <v>553</v>
      </c>
      <c r="R74" s="300" t="s">
        <v>594</v>
      </c>
      <c r="S74" s="301">
        <v>273376</v>
      </c>
      <c r="T74" s="301">
        <v>6580</v>
      </c>
      <c r="U74" s="301">
        <f t="shared" si="64"/>
        <v>290.59868799999998</v>
      </c>
      <c r="V74" s="301">
        <f t="shared" si="65"/>
        <v>6.9945399999999998</v>
      </c>
      <c r="Z74" s="296" t="s">
        <v>394</v>
      </c>
      <c r="AA74" s="297">
        <v>479808</v>
      </c>
      <c r="AB74" s="297">
        <f t="shared" si="66"/>
        <v>510.03590399999996</v>
      </c>
      <c r="AF74" s="452" t="s">
        <v>593</v>
      </c>
      <c r="AG74" s="453">
        <v>4079000</v>
      </c>
      <c r="AH74" s="453">
        <f t="shared" si="60"/>
        <v>4335.9769999999999</v>
      </c>
      <c r="AI74" s="297">
        <v>634636</v>
      </c>
      <c r="AL74" s="450"/>
      <c r="AN74" s="447" t="s">
        <v>553</v>
      </c>
      <c r="AO74" s="448" t="s">
        <v>389</v>
      </c>
      <c r="AP74" s="449">
        <v>2165800</v>
      </c>
      <c r="AQ74" s="449">
        <f t="shared" si="67"/>
        <v>2302.2454000000002</v>
      </c>
      <c r="AU74" s="447" t="s">
        <v>553</v>
      </c>
      <c r="AV74" s="448" t="s">
        <v>593</v>
      </c>
      <c r="AW74" s="449">
        <v>4079000</v>
      </c>
      <c r="AX74" s="449">
        <v>634636</v>
      </c>
      <c r="AY74" s="449">
        <v>3444364</v>
      </c>
      <c r="AZ74" s="450">
        <f t="shared" si="68"/>
        <v>4335.9769999999999</v>
      </c>
      <c r="BA74" s="450">
        <f t="shared" si="69"/>
        <v>674.61806799999988</v>
      </c>
      <c r="BB74" s="450">
        <f t="shared" si="70"/>
        <v>3661.3589319999996</v>
      </c>
      <c r="BF74" s="447" t="s">
        <v>553</v>
      </c>
      <c r="BG74" s="448" t="s">
        <v>398</v>
      </c>
      <c r="BH74" s="449">
        <v>917597</v>
      </c>
      <c r="BI74" s="450">
        <f t="shared" si="71"/>
        <v>917.59699999999998</v>
      </c>
      <c r="BM74" s="451" t="s">
        <v>553</v>
      </c>
      <c r="BN74" s="94" t="s">
        <v>592</v>
      </c>
      <c r="BO74" s="95">
        <v>0</v>
      </c>
      <c r="BP74" s="95">
        <v>416701</v>
      </c>
      <c r="BQ74" s="95">
        <v>19140</v>
      </c>
      <c r="BR74" s="95">
        <v>397561</v>
      </c>
      <c r="BS74" s="95">
        <v>19140</v>
      </c>
      <c r="BT74" s="450">
        <f t="shared" si="72"/>
        <v>416.70100000000002</v>
      </c>
      <c r="BU74" s="450">
        <f t="shared" si="73"/>
        <v>19.14</v>
      </c>
      <c r="BV74" s="450">
        <f t="shared" si="74"/>
        <v>397.56099999999998</v>
      </c>
      <c r="BW74" s="450">
        <f t="shared" si="75"/>
        <v>19.14</v>
      </c>
      <c r="CA74" s="94" t="s">
        <v>390</v>
      </c>
      <c r="CB74" s="450">
        <v>126000</v>
      </c>
      <c r="CC74" s="450">
        <f t="shared" si="76"/>
        <v>126</v>
      </c>
      <c r="CG74" s="448" t="s">
        <v>591</v>
      </c>
      <c r="CH74" s="449">
        <v>0</v>
      </c>
      <c r="CI74" s="449">
        <v>2321826</v>
      </c>
      <c r="CJ74" s="449">
        <v>-2321826</v>
      </c>
      <c r="CK74" s="449">
        <v>1391610</v>
      </c>
      <c r="CL74" s="449">
        <v>930216</v>
      </c>
      <c r="CM74" s="449">
        <v>1378640</v>
      </c>
      <c r="CN74" s="449">
        <f t="shared" si="77"/>
        <v>2321.826</v>
      </c>
      <c r="CO74" s="449">
        <f t="shared" si="78"/>
        <v>1391.61</v>
      </c>
      <c r="CP74" s="449">
        <f t="shared" si="79"/>
        <v>930.21600000000001</v>
      </c>
      <c r="CQ74" s="449">
        <f t="shared" si="80"/>
        <v>1378.64</v>
      </c>
      <c r="CU74" s="448" t="s">
        <v>392</v>
      </c>
      <c r="CV74" s="449">
        <v>0</v>
      </c>
      <c r="CW74" s="449">
        <v>5465146</v>
      </c>
      <c r="CX74" s="450">
        <f t="shared" si="81"/>
        <v>0</v>
      </c>
      <c r="CY74" s="450">
        <f t="shared" si="82"/>
        <v>5465.1459999999997</v>
      </c>
      <c r="DB74" s="602" t="s">
        <v>591</v>
      </c>
      <c r="DC74" s="603">
        <v>3411425</v>
      </c>
      <c r="DD74" s="603">
        <v>1391610</v>
      </c>
      <c r="DE74" s="603">
        <v>2019815</v>
      </c>
      <c r="DF74" s="603">
        <v>1378640</v>
      </c>
      <c r="DG74" s="604">
        <f t="shared" si="83"/>
        <v>3411.4250000000002</v>
      </c>
      <c r="DH74" s="604">
        <f t="shared" si="84"/>
        <v>1391.61</v>
      </c>
      <c r="DI74" s="604">
        <f t="shared" si="85"/>
        <v>2019.8150000000001</v>
      </c>
      <c r="DJ74" s="604">
        <f t="shared" si="86"/>
        <v>1378.64</v>
      </c>
      <c r="DN74" s="94" t="s">
        <v>597</v>
      </c>
      <c r="DO74" s="94">
        <v>842020</v>
      </c>
      <c r="DP74" s="94">
        <v>1196108</v>
      </c>
      <c r="DQ74" s="666">
        <f t="shared" si="87"/>
        <v>842.02</v>
      </c>
      <c r="DR74" s="666">
        <f t="shared" si="88"/>
        <v>1196.1079999999999</v>
      </c>
      <c r="DV74" s="94" t="s">
        <v>590</v>
      </c>
      <c r="DW74" s="95">
        <v>0</v>
      </c>
      <c r="DX74" s="95">
        <v>0</v>
      </c>
      <c r="DY74" s="95">
        <v>0</v>
      </c>
      <c r="DZ74" s="95">
        <v>0</v>
      </c>
      <c r="EA74" s="95">
        <f t="shared" si="89"/>
        <v>0</v>
      </c>
      <c r="EB74" s="95">
        <f t="shared" si="90"/>
        <v>0</v>
      </c>
      <c r="EC74" s="95">
        <f t="shared" si="91"/>
        <v>0</v>
      </c>
      <c r="ED74" s="95">
        <f t="shared" si="92"/>
        <v>0</v>
      </c>
      <c r="EH74" s="444" t="s">
        <v>392</v>
      </c>
      <c r="EI74" s="444">
        <v>5465146</v>
      </c>
      <c r="EJ74" s="450">
        <f t="shared" si="93"/>
        <v>5465.1459999999997</v>
      </c>
      <c r="EN74" s="444" t="s">
        <v>882</v>
      </c>
      <c r="EO74" s="450">
        <v>9350</v>
      </c>
      <c r="EP74" s="450">
        <v>9350</v>
      </c>
      <c r="EQ74" s="450">
        <v>0</v>
      </c>
      <c r="ER74" s="450">
        <v>9350</v>
      </c>
      <c r="ES74" s="746">
        <f t="shared" si="94"/>
        <v>9.35</v>
      </c>
      <c r="ET74" s="746">
        <f t="shared" si="95"/>
        <v>9.35</v>
      </c>
      <c r="EU74" s="746">
        <f t="shared" si="96"/>
        <v>0</v>
      </c>
      <c r="EV74" s="746">
        <f t="shared" si="97"/>
        <v>9.35</v>
      </c>
      <c r="EZ74" s="780" t="s">
        <v>355</v>
      </c>
      <c r="FA74" s="781" t="s">
        <v>395</v>
      </c>
      <c r="FB74" s="444">
        <v>1299770</v>
      </c>
      <c r="FC74" s="450">
        <f t="shared" si="98"/>
        <v>1299.77</v>
      </c>
      <c r="FG74" s="785" t="s">
        <v>553</v>
      </c>
      <c r="FH74" s="784" t="s">
        <v>882</v>
      </c>
      <c r="FI74" s="782">
        <v>9350</v>
      </c>
      <c r="FJ74" s="783">
        <v>9350</v>
      </c>
      <c r="FK74" s="783">
        <v>0</v>
      </c>
      <c r="FL74" s="783">
        <v>9350</v>
      </c>
      <c r="FM74" s="450">
        <f t="shared" si="99"/>
        <v>9.35</v>
      </c>
      <c r="FN74" s="450">
        <f t="shared" si="100"/>
        <v>9.35</v>
      </c>
      <c r="FO74" s="450">
        <f t="shared" si="101"/>
        <v>0</v>
      </c>
      <c r="FP74" s="450">
        <f t="shared" si="102"/>
        <v>9.35</v>
      </c>
      <c r="FT74" s="451" t="s">
        <v>553</v>
      </c>
      <c r="FU74" s="94" t="s">
        <v>389</v>
      </c>
      <c r="FV74" s="95">
        <v>-476064</v>
      </c>
      <c r="FW74" s="95">
        <v>-476064</v>
      </c>
      <c r="FX74" s="95">
        <v>243180</v>
      </c>
      <c r="FY74" s="450">
        <f t="shared" si="103"/>
        <v>-476.06400000000002</v>
      </c>
      <c r="FZ74" s="450">
        <f t="shared" si="104"/>
        <v>-476.06400000000002</v>
      </c>
      <c r="GA74" s="450">
        <f t="shared" si="105"/>
        <v>243.18</v>
      </c>
      <c r="GG74" s="817" t="s">
        <v>553</v>
      </c>
      <c r="GH74" s="818" t="s">
        <v>882</v>
      </c>
      <c r="GI74" s="819">
        <v>9350</v>
      </c>
      <c r="GJ74" s="819">
        <v>9350</v>
      </c>
      <c r="GK74" s="819">
        <v>0</v>
      </c>
      <c r="GL74" s="819">
        <v>9350</v>
      </c>
      <c r="GM74" s="819">
        <v>0</v>
      </c>
      <c r="GN74" s="450">
        <f t="shared" si="106"/>
        <v>9.35</v>
      </c>
      <c r="GO74" s="450">
        <f t="shared" si="107"/>
        <v>9.35</v>
      </c>
      <c r="GP74" s="450">
        <f t="shared" si="108"/>
        <v>0</v>
      </c>
      <c r="GQ74" s="450">
        <f t="shared" si="109"/>
        <v>9.35</v>
      </c>
      <c r="GR74" s="450">
        <f t="shared" si="110"/>
        <v>0</v>
      </c>
      <c r="GV74" s="841" t="s">
        <v>386</v>
      </c>
      <c r="GW74" s="840">
        <v>362870</v>
      </c>
      <c r="GX74" s="450">
        <f t="shared" si="111"/>
        <v>362.87</v>
      </c>
      <c r="HB74" s="843" t="s">
        <v>503</v>
      </c>
      <c r="HC74" s="819">
        <v>60000000</v>
      </c>
      <c r="HD74" s="819">
        <v>60000000</v>
      </c>
      <c r="HE74" s="819">
        <v>0</v>
      </c>
      <c r="HF74" s="819">
        <v>60000000</v>
      </c>
      <c r="HG74" s="450">
        <f t="shared" si="112"/>
        <v>60000</v>
      </c>
      <c r="HH74" s="450">
        <f t="shared" si="113"/>
        <v>0</v>
      </c>
      <c r="HI74" s="450">
        <f t="shared" si="114"/>
        <v>60000</v>
      </c>
      <c r="HJ74" s="450">
        <f t="shared" si="115"/>
        <v>0</v>
      </c>
      <c r="HK74" s="450">
        <f t="shared" si="116"/>
        <v>60000</v>
      </c>
    </row>
    <row r="75" spans="1:219" ht="15" customHeight="1" x14ac:dyDescent="0.3">
      <c r="A75" s="295" t="s">
        <v>553</v>
      </c>
      <c r="B75" s="296" t="s">
        <v>386</v>
      </c>
      <c r="C75" s="297">
        <v>783853</v>
      </c>
      <c r="D75" s="298">
        <f t="shared" si="61"/>
        <v>833.23573899999985</v>
      </c>
      <c r="E75" s="297">
        <v>77350</v>
      </c>
      <c r="F75" s="297">
        <f t="shared" si="62"/>
        <v>82.223049999999986</v>
      </c>
      <c r="J75" s="299" t="s">
        <v>553</v>
      </c>
      <c r="K75" s="300" t="s">
        <v>601</v>
      </c>
      <c r="L75" s="301">
        <v>3525035</v>
      </c>
      <c r="M75" s="301">
        <f t="shared" si="63"/>
        <v>3747.1122049999994</v>
      </c>
      <c r="Q75" s="299" t="s">
        <v>553</v>
      </c>
      <c r="R75" s="300" t="s">
        <v>385</v>
      </c>
      <c r="S75" s="301">
        <v>1840529</v>
      </c>
      <c r="T75" s="301">
        <v>89845</v>
      </c>
      <c r="U75" s="301">
        <f t="shared" si="64"/>
        <v>1956.4823269999999</v>
      </c>
      <c r="V75" s="301">
        <f t="shared" si="65"/>
        <v>95.505234999999999</v>
      </c>
      <c r="Z75" s="296" t="s">
        <v>595</v>
      </c>
      <c r="AA75" s="297">
        <v>2885929</v>
      </c>
      <c r="AB75" s="297">
        <f t="shared" si="66"/>
        <v>3067.7425269999999</v>
      </c>
      <c r="AF75" s="452" t="s">
        <v>594</v>
      </c>
      <c r="AG75" s="453">
        <v>273376</v>
      </c>
      <c r="AH75" s="453">
        <f t="shared" si="60"/>
        <v>290.59868799999998</v>
      </c>
      <c r="AI75" s="297">
        <v>6580</v>
      </c>
      <c r="AL75" s="450"/>
      <c r="AN75" s="447" t="s">
        <v>553</v>
      </c>
      <c r="AO75" s="448" t="s">
        <v>391</v>
      </c>
      <c r="AP75" s="449">
        <v>1685266</v>
      </c>
      <c r="AQ75" s="449">
        <f t="shared" si="67"/>
        <v>1791.437758</v>
      </c>
      <c r="AU75" s="447" t="s">
        <v>553</v>
      </c>
      <c r="AV75" s="448" t="s">
        <v>594</v>
      </c>
      <c r="AW75" s="449">
        <v>6580</v>
      </c>
      <c r="AX75" s="449">
        <v>6580</v>
      </c>
      <c r="AY75" s="449">
        <v>0</v>
      </c>
      <c r="AZ75" s="450">
        <f t="shared" si="68"/>
        <v>6.9945399999999998</v>
      </c>
      <c r="BA75" s="450">
        <f t="shared" si="69"/>
        <v>6.9945399999999998</v>
      </c>
      <c r="BB75" s="450">
        <f t="shared" si="70"/>
        <v>0</v>
      </c>
      <c r="BF75" s="447" t="s">
        <v>553</v>
      </c>
      <c r="BG75" s="448" t="s">
        <v>399</v>
      </c>
      <c r="BH75" s="449">
        <v>0</v>
      </c>
      <c r="BI75" s="450">
        <f t="shared" si="71"/>
        <v>0</v>
      </c>
      <c r="BM75" s="451" t="s">
        <v>553</v>
      </c>
      <c r="BN75" s="94" t="s">
        <v>593</v>
      </c>
      <c r="BO75" s="95">
        <v>0</v>
      </c>
      <c r="BP75" s="95">
        <v>1879040</v>
      </c>
      <c r="BQ75" s="95">
        <v>1212229</v>
      </c>
      <c r="BR75" s="95">
        <v>666811</v>
      </c>
      <c r="BS75" s="95">
        <v>1212229</v>
      </c>
      <c r="BT75" s="450">
        <f t="shared" si="72"/>
        <v>1879.04</v>
      </c>
      <c r="BU75" s="450">
        <f t="shared" si="73"/>
        <v>1212.229</v>
      </c>
      <c r="BV75" s="450">
        <f t="shared" si="74"/>
        <v>666.81100000000004</v>
      </c>
      <c r="BW75" s="450">
        <f t="shared" si="75"/>
        <v>1212.229</v>
      </c>
      <c r="CA75" s="94" t="s">
        <v>391</v>
      </c>
      <c r="CB75" s="450">
        <v>1770595</v>
      </c>
      <c r="CC75" s="450">
        <f t="shared" si="76"/>
        <v>1770.595</v>
      </c>
      <c r="CG75" s="448" t="s">
        <v>592</v>
      </c>
      <c r="CH75" s="449">
        <v>0</v>
      </c>
      <c r="CI75" s="449">
        <v>329704</v>
      </c>
      <c r="CJ75" s="449">
        <v>-329704</v>
      </c>
      <c r="CK75" s="449">
        <v>329704</v>
      </c>
      <c r="CL75" s="449">
        <v>0</v>
      </c>
      <c r="CM75" s="449">
        <v>19140</v>
      </c>
      <c r="CN75" s="449">
        <f t="shared" si="77"/>
        <v>329.70400000000001</v>
      </c>
      <c r="CO75" s="449">
        <f t="shared" si="78"/>
        <v>329.70400000000001</v>
      </c>
      <c r="CP75" s="449">
        <f t="shared" si="79"/>
        <v>0</v>
      </c>
      <c r="CQ75" s="449">
        <f t="shared" si="80"/>
        <v>19.14</v>
      </c>
      <c r="CU75" s="448" t="s">
        <v>393</v>
      </c>
      <c r="CV75" s="449">
        <v>0</v>
      </c>
      <c r="CW75" s="449">
        <v>0</v>
      </c>
      <c r="CX75" s="450">
        <f t="shared" si="81"/>
        <v>0</v>
      </c>
      <c r="CY75" s="450">
        <f t="shared" si="82"/>
        <v>0</v>
      </c>
      <c r="DB75" s="602" t="s">
        <v>592</v>
      </c>
      <c r="DC75" s="603">
        <v>329704</v>
      </c>
      <c r="DD75" s="603">
        <v>329704</v>
      </c>
      <c r="DE75" s="603">
        <v>0</v>
      </c>
      <c r="DF75" s="603">
        <v>329704</v>
      </c>
      <c r="DG75" s="604">
        <f t="shared" si="83"/>
        <v>329.70400000000001</v>
      </c>
      <c r="DH75" s="604">
        <f t="shared" si="84"/>
        <v>329.70400000000001</v>
      </c>
      <c r="DI75" s="604">
        <f t="shared" si="85"/>
        <v>0</v>
      </c>
      <c r="DJ75" s="604">
        <f t="shared" si="86"/>
        <v>329.70400000000001</v>
      </c>
      <c r="DN75" s="94" t="s">
        <v>598</v>
      </c>
      <c r="DO75" s="94">
        <v>749700</v>
      </c>
      <c r="DP75" s="94">
        <v>0</v>
      </c>
      <c r="DQ75" s="666">
        <f t="shared" si="87"/>
        <v>749.7</v>
      </c>
      <c r="DR75" s="666">
        <f t="shared" si="88"/>
        <v>0</v>
      </c>
      <c r="DV75" s="94" t="s">
        <v>591</v>
      </c>
      <c r="DW75" s="95">
        <v>2902600</v>
      </c>
      <c r="DX75" s="95">
        <v>1402600</v>
      </c>
      <c r="DY75" s="95">
        <v>1500000</v>
      </c>
      <c r="DZ75" s="95">
        <v>1402600</v>
      </c>
      <c r="EA75" s="95">
        <f t="shared" si="89"/>
        <v>2902.6</v>
      </c>
      <c r="EB75" s="95">
        <f t="shared" si="90"/>
        <v>1402.6</v>
      </c>
      <c r="EC75" s="95">
        <f t="shared" si="91"/>
        <v>1500</v>
      </c>
      <c r="ED75" s="95">
        <f t="shared" si="92"/>
        <v>1402.6</v>
      </c>
      <c r="EH75" s="444" t="s">
        <v>393</v>
      </c>
      <c r="EI75" s="444">
        <v>616799</v>
      </c>
      <c r="EJ75" s="450">
        <f t="shared" si="93"/>
        <v>616.79899999999998</v>
      </c>
      <c r="EN75" s="444" t="s">
        <v>589</v>
      </c>
      <c r="EO75" s="450">
        <v>5541902</v>
      </c>
      <c r="EP75" s="450">
        <v>5541902</v>
      </c>
      <c r="EQ75" s="450">
        <v>0</v>
      </c>
      <c r="ER75" s="450">
        <v>5424192</v>
      </c>
      <c r="ES75" s="746">
        <f t="shared" si="94"/>
        <v>5541.902</v>
      </c>
      <c r="ET75" s="746">
        <f t="shared" si="95"/>
        <v>5541.902</v>
      </c>
      <c r="EU75" s="746">
        <f t="shared" si="96"/>
        <v>0</v>
      </c>
      <c r="EV75" s="746">
        <f t="shared" si="97"/>
        <v>5424.192</v>
      </c>
      <c r="EZ75" s="780" t="s">
        <v>553</v>
      </c>
      <c r="FA75" s="781" t="s">
        <v>596</v>
      </c>
      <c r="FB75" s="444">
        <v>0</v>
      </c>
      <c r="FC75" s="450">
        <f t="shared" si="98"/>
        <v>0</v>
      </c>
      <c r="FG75" s="785" t="s">
        <v>553</v>
      </c>
      <c r="FH75" s="784" t="s">
        <v>589</v>
      </c>
      <c r="FI75" s="782">
        <v>6160702</v>
      </c>
      <c r="FJ75" s="783">
        <v>6160702</v>
      </c>
      <c r="FK75" s="783">
        <v>0</v>
      </c>
      <c r="FL75" s="783">
        <v>5424192</v>
      </c>
      <c r="FM75" s="450">
        <f t="shared" si="99"/>
        <v>6160.7020000000002</v>
      </c>
      <c r="FN75" s="450">
        <f t="shared" si="100"/>
        <v>6160.7020000000002</v>
      </c>
      <c r="FO75" s="450">
        <f t="shared" si="101"/>
        <v>0</v>
      </c>
      <c r="FP75" s="450">
        <f t="shared" si="102"/>
        <v>5424.192</v>
      </c>
      <c r="FT75" s="451" t="s">
        <v>553</v>
      </c>
      <c r="FU75" s="94" t="s">
        <v>390</v>
      </c>
      <c r="FV75" s="95">
        <v>540000</v>
      </c>
      <c r="FW75" s="95">
        <v>540000</v>
      </c>
      <c r="FX75" s="95">
        <v>234450</v>
      </c>
      <c r="FY75" s="450">
        <f t="shared" si="103"/>
        <v>540</v>
      </c>
      <c r="FZ75" s="450">
        <f t="shared" si="104"/>
        <v>540</v>
      </c>
      <c r="GA75" s="450">
        <f t="shared" si="105"/>
        <v>234.45</v>
      </c>
      <c r="GG75" s="817" t="s">
        <v>553</v>
      </c>
      <c r="GH75" s="818" t="s">
        <v>589</v>
      </c>
      <c r="GI75" s="819">
        <v>7242992</v>
      </c>
      <c r="GJ75" s="819">
        <v>6042992</v>
      </c>
      <c r="GK75" s="819">
        <v>1200000</v>
      </c>
      <c r="GL75" s="819">
        <v>6042992</v>
      </c>
      <c r="GM75" s="819">
        <v>0</v>
      </c>
      <c r="GN75" s="450">
        <f t="shared" si="106"/>
        <v>7242.9920000000002</v>
      </c>
      <c r="GO75" s="450">
        <f t="shared" si="107"/>
        <v>6042.9920000000002</v>
      </c>
      <c r="GP75" s="450">
        <f t="shared" si="108"/>
        <v>1200</v>
      </c>
      <c r="GQ75" s="450">
        <f t="shared" si="109"/>
        <v>6042.9920000000002</v>
      </c>
      <c r="GR75" s="450">
        <f t="shared" si="110"/>
        <v>0</v>
      </c>
      <c r="GV75" s="841" t="s">
        <v>387</v>
      </c>
      <c r="GW75" s="840">
        <v>11025548</v>
      </c>
      <c r="GX75" s="450">
        <f t="shared" si="111"/>
        <v>11025.548000000001</v>
      </c>
      <c r="HB75" s="843" t="s">
        <v>381</v>
      </c>
      <c r="HC75" s="819">
        <v>70670846</v>
      </c>
      <c r="HD75" s="819">
        <v>70670846</v>
      </c>
      <c r="HE75" s="819">
        <v>0</v>
      </c>
      <c r="HF75" s="819">
        <v>70110846</v>
      </c>
      <c r="HG75" s="450">
        <f t="shared" si="112"/>
        <v>70670.846000000005</v>
      </c>
      <c r="HH75" s="450">
        <f t="shared" si="113"/>
        <v>0</v>
      </c>
      <c r="HI75" s="450">
        <f t="shared" si="114"/>
        <v>70670.846000000005</v>
      </c>
      <c r="HJ75" s="450">
        <f t="shared" si="115"/>
        <v>0</v>
      </c>
      <c r="HK75" s="450">
        <f t="shared" si="116"/>
        <v>70110.846000000005</v>
      </c>
    </row>
    <row r="76" spans="1:219" ht="15" customHeight="1" x14ac:dyDescent="0.3">
      <c r="A76" s="295" t="s">
        <v>355</v>
      </c>
      <c r="B76" s="296" t="s">
        <v>387</v>
      </c>
      <c r="C76" s="297">
        <v>171384600</v>
      </c>
      <c r="D76" s="298">
        <f t="shared" si="61"/>
        <v>182181.82980000001</v>
      </c>
      <c r="E76" s="297">
        <v>10147129</v>
      </c>
      <c r="F76" s="297">
        <f t="shared" si="62"/>
        <v>10786.398127</v>
      </c>
      <c r="J76" s="299" t="s">
        <v>553</v>
      </c>
      <c r="K76" s="300" t="s">
        <v>602</v>
      </c>
      <c r="L76" s="301">
        <v>1133000</v>
      </c>
      <c r="M76" s="301">
        <f t="shared" si="63"/>
        <v>1204.3789999999999</v>
      </c>
      <c r="Q76" s="299" t="s">
        <v>553</v>
      </c>
      <c r="R76" s="300" t="s">
        <v>386</v>
      </c>
      <c r="S76" s="301">
        <v>788014</v>
      </c>
      <c r="T76" s="301">
        <v>81511</v>
      </c>
      <c r="U76" s="301">
        <f t="shared" si="64"/>
        <v>837.65888199999995</v>
      </c>
      <c r="V76" s="301">
        <f t="shared" si="65"/>
        <v>86.646192999999997</v>
      </c>
      <c r="Z76" s="296" t="s">
        <v>395</v>
      </c>
      <c r="AA76" s="297">
        <v>2995962</v>
      </c>
      <c r="AB76" s="297">
        <f t="shared" si="66"/>
        <v>3184.7076059999999</v>
      </c>
      <c r="AF76" s="452" t="s">
        <v>385</v>
      </c>
      <c r="AG76" s="453">
        <v>1840529</v>
      </c>
      <c r="AH76" s="453">
        <f t="shared" si="60"/>
        <v>1956.4823269999999</v>
      </c>
      <c r="AI76" s="297">
        <v>89845</v>
      </c>
      <c r="AL76" s="450"/>
      <c r="AN76" s="447" t="s">
        <v>553</v>
      </c>
      <c r="AO76" s="448" t="s">
        <v>392</v>
      </c>
      <c r="AP76" s="449">
        <v>5465146</v>
      </c>
      <c r="AQ76" s="449">
        <f t="shared" si="67"/>
        <v>5809.4501979999995</v>
      </c>
      <c r="AU76" s="447" t="s">
        <v>553</v>
      </c>
      <c r="AV76" s="448" t="s">
        <v>385</v>
      </c>
      <c r="AW76" s="449">
        <v>1866224</v>
      </c>
      <c r="AX76" s="449">
        <v>1727073</v>
      </c>
      <c r="AY76" s="449">
        <v>139151</v>
      </c>
      <c r="AZ76" s="450">
        <f t="shared" si="68"/>
        <v>1983.7961119999998</v>
      </c>
      <c r="BA76" s="450">
        <f t="shared" si="69"/>
        <v>1835.8785989999999</v>
      </c>
      <c r="BB76" s="450">
        <f t="shared" si="70"/>
        <v>147.91751300000001</v>
      </c>
      <c r="BF76" s="447" t="s">
        <v>355</v>
      </c>
      <c r="BG76" s="448" t="s">
        <v>400</v>
      </c>
      <c r="BH76" s="449">
        <v>23014108</v>
      </c>
      <c r="BI76" s="450">
        <f t="shared" si="71"/>
        <v>23014.108</v>
      </c>
      <c r="BM76" s="451" t="s">
        <v>553</v>
      </c>
      <c r="BN76" s="94" t="s">
        <v>594</v>
      </c>
      <c r="BO76" s="95">
        <v>0</v>
      </c>
      <c r="BP76" s="95">
        <v>6580</v>
      </c>
      <c r="BQ76" s="95">
        <v>6580</v>
      </c>
      <c r="BR76" s="95">
        <v>0</v>
      </c>
      <c r="BS76" s="95">
        <v>6580</v>
      </c>
      <c r="BT76" s="450">
        <f t="shared" si="72"/>
        <v>6.58</v>
      </c>
      <c r="BU76" s="450">
        <f t="shared" si="73"/>
        <v>6.58</v>
      </c>
      <c r="BV76" s="450">
        <f t="shared" si="74"/>
        <v>0</v>
      </c>
      <c r="BW76" s="450">
        <f t="shared" si="75"/>
        <v>6.58</v>
      </c>
      <c r="CA76" s="94" t="s">
        <v>392</v>
      </c>
      <c r="CB76" s="450">
        <v>5465146</v>
      </c>
      <c r="CC76" s="450">
        <f t="shared" si="76"/>
        <v>5465.1459999999997</v>
      </c>
      <c r="CG76" s="448" t="s">
        <v>593</v>
      </c>
      <c r="CH76" s="449">
        <v>0</v>
      </c>
      <c r="CI76" s="449">
        <v>2577071</v>
      </c>
      <c r="CJ76" s="449">
        <v>-2577071</v>
      </c>
      <c r="CK76" s="449">
        <v>2176130</v>
      </c>
      <c r="CL76" s="449">
        <v>400941</v>
      </c>
      <c r="CM76" s="449">
        <v>1212229</v>
      </c>
      <c r="CN76" s="449">
        <f t="shared" si="77"/>
        <v>2577.0709999999999</v>
      </c>
      <c r="CO76" s="449">
        <f t="shared" si="78"/>
        <v>2176.13</v>
      </c>
      <c r="CP76" s="449">
        <f t="shared" si="79"/>
        <v>400.94099999999997</v>
      </c>
      <c r="CQ76" s="449">
        <f t="shared" si="80"/>
        <v>1212.229</v>
      </c>
      <c r="CU76" s="448" t="s">
        <v>394</v>
      </c>
      <c r="CV76" s="449">
        <v>0</v>
      </c>
      <c r="CW76" s="449">
        <v>479808</v>
      </c>
      <c r="CX76" s="450">
        <f t="shared" si="81"/>
        <v>0</v>
      </c>
      <c r="CY76" s="450">
        <f t="shared" si="82"/>
        <v>479.80799999999999</v>
      </c>
      <c r="DB76" s="602" t="s">
        <v>593</v>
      </c>
      <c r="DC76" s="603">
        <v>2714871</v>
      </c>
      <c r="DD76" s="603">
        <v>2396564</v>
      </c>
      <c r="DE76" s="603">
        <v>318307</v>
      </c>
      <c r="DF76" s="603">
        <v>1750028</v>
      </c>
      <c r="DG76" s="604">
        <f t="shared" si="83"/>
        <v>2714.8710000000001</v>
      </c>
      <c r="DH76" s="604">
        <f t="shared" si="84"/>
        <v>2396.5639999999999</v>
      </c>
      <c r="DI76" s="604">
        <f t="shared" si="85"/>
        <v>318.30700000000002</v>
      </c>
      <c r="DJ76" s="604">
        <f t="shared" si="86"/>
        <v>1750.028</v>
      </c>
      <c r="DN76" s="94" t="s">
        <v>717</v>
      </c>
      <c r="DO76" s="94">
        <v>0</v>
      </c>
      <c r="DP76" s="94">
        <v>0</v>
      </c>
      <c r="DQ76" s="666">
        <f t="shared" si="87"/>
        <v>0</v>
      </c>
      <c r="DR76" s="666">
        <f t="shared" si="88"/>
        <v>0</v>
      </c>
      <c r="DV76" s="94" t="s">
        <v>592</v>
      </c>
      <c r="DW76" s="95">
        <v>329704</v>
      </c>
      <c r="DX76" s="95">
        <v>329704</v>
      </c>
      <c r="DY76" s="95">
        <v>0</v>
      </c>
      <c r="DZ76" s="95">
        <v>329704</v>
      </c>
      <c r="EA76" s="95">
        <f t="shared" si="89"/>
        <v>329.70400000000001</v>
      </c>
      <c r="EB76" s="95">
        <f t="shared" si="90"/>
        <v>329.70400000000001</v>
      </c>
      <c r="EC76" s="95">
        <f t="shared" si="91"/>
        <v>0</v>
      </c>
      <c r="ED76" s="95">
        <f t="shared" si="92"/>
        <v>329.70400000000001</v>
      </c>
      <c r="EH76" s="444" t="s">
        <v>394</v>
      </c>
      <c r="EI76" s="444">
        <v>479808</v>
      </c>
      <c r="EJ76" s="450">
        <f t="shared" si="93"/>
        <v>479.80799999999999</v>
      </c>
      <c r="EN76" s="444" t="s">
        <v>384</v>
      </c>
      <c r="EO76" s="450">
        <v>18809488</v>
      </c>
      <c r="EP76" s="450">
        <v>18791615</v>
      </c>
      <c r="EQ76" s="450">
        <v>17873</v>
      </c>
      <c r="ER76" s="450">
        <v>16996047</v>
      </c>
      <c r="ES76" s="746">
        <f t="shared" si="94"/>
        <v>18809.488000000001</v>
      </c>
      <c r="ET76" s="746">
        <f t="shared" si="95"/>
        <v>18791.615000000002</v>
      </c>
      <c r="EU76" s="746">
        <f t="shared" si="96"/>
        <v>17.873000000000001</v>
      </c>
      <c r="EV76" s="746">
        <f t="shared" si="97"/>
        <v>16996.046999999999</v>
      </c>
      <c r="EZ76" s="780" t="s">
        <v>553</v>
      </c>
      <c r="FA76" s="781" t="s">
        <v>597</v>
      </c>
      <c r="FB76" s="444">
        <v>414450</v>
      </c>
      <c r="FC76" s="450">
        <f t="shared" si="98"/>
        <v>414.45</v>
      </c>
      <c r="FG76" s="785" t="s">
        <v>553</v>
      </c>
      <c r="FH76" s="784" t="s">
        <v>384</v>
      </c>
      <c r="FI76" s="782">
        <v>19475888</v>
      </c>
      <c r="FJ76" s="783">
        <v>19458015</v>
      </c>
      <c r="FK76" s="783">
        <v>17873</v>
      </c>
      <c r="FL76" s="783">
        <v>18791615</v>
      </c>
      <c r="FM76" s="450">
        <f t="shared" si="99"/>
        <v>19475.887999999999</v>
      </c>
      <c r="FN76" s="450">
        <f t="shared" si="100"/>
        <v>19458.014999999999</v>
      </c>
      <c r="FO76" s="450">
        <f t="shared" si="101"/>
        <v>17.873000000000001</v>
      </c>
      <c r="FP76" s="450">
        <f t="shared" si="102"/>
        <v>18791.615000000002</v>
      </c>
      <c r="FT76" s="451" t="s">
        <v>553</v>
      </c>
      <c r="FU76" s="94" t="s">
        <v>391</v>
      </c>
      <c r="FV76" s="95">
        <v>-4389584</v>
      </c>
      <c r="FW76" s="95">
        <v>-4389584</v>
      </c>
      <c r="FX76" s="95">
        <v>753990</v>
      </c>
      <c r="FY76" s="450">
        <f t="shared" si="103"/>
        <v>-4389.5839999999998</v>
      </c>
      <c r="FZ76" s="450">
        <f t="shared" si="104"/>
        <v>-4389.5839999999998</v>
      </c>
      <c r="GA76" s="450">
        <f t="shared" si="105"/>
        <v>753.99</v>
      </c>
      <c r="GG76" s="817" t="s">
        <v>553</v>
      </c>
      <c r="GH76" s="818" t="s">
        <v>384</v>
      </c>
      <c r="GI76" s="819">
        <v>20389083</v>
      </c>
      <c r="GJ76" s="819">
        <v>20389083</v>
      </c>
      <c r="GK76" s="819">
        <v>0</v>
      </c>
      <c r="GL76" s="819">
        <v>19458015</v>
      </c>
      <c r="GM76" s="819">
        <v>931068</v>
      </c>
      <c r="GN76" s="450">
        <f t="shared" si="106"/>
        <v>20389.082999999999</v>
      </c>
      <c r="GO76" s="450">
        <f t="shared" si="107"/>
        <v>20389.082999999999</v>
      </c>
      <c r="GP76" s="450">
        <f t="shared" si="108"/>
        <v>0</v>
      </c>
      <c r="GQ76" s="450">
        <f t="shared" si="109"/>
        <v>19458.014999999999</v>
      </c>
      <c r="GR76" s="450">
        <f t="shared" si="110"/>
        <v>931.06799999999998</v>
      </c>
      <c r="GV76" s="841" t="s">
        <v>388</v>
      </c>
      <c r="GW76" s="840">
        <v>937542</v>
      </c>
      <c r="GX76" s="450">
        <f t="shared" si="111"/>
        <v>937.54200000000003</v>
      </c>
      <c r="HB76" s="843" t="s">
        <v>382</v>
      </c>
      <c r="HC76" s="819">
        <v>11805231</v>
      </c>
      <c r="HD76" s="819">
        <v>11805231</v>
      </c>
      <c r="HE76" s="819">
        <v>0</v>
      </c>
      <c r="HF76" s="819">
        <v>11805231</v>
      </c>
      <c r="HG76" s="450">
        <f t="shared" si="112"/>
        <v>11805.231</v>
      </c>
      <c r="HH76" s="450">
        <f t="shared" si="113"/>
        <v>0</v>
      </c>
      <c r="HI76" s="450">
        <f t="shared" si="114"/>
        <v>11805.231</v>
      </c>
      <c r="HJ76" s="450">
        <f t="shared" si="115"/>
        <v>0</v>
      </c>
      <c r="HK76" s="450">
        <f t="shared" si="116"/>
        <v>11805.231</v>
      </c>
    </row>
    <row r="77" spans="1:219" ht="15" customHeight="1" x14ac:dyDescent="0.3">
      <c r="A77" s="295" t="s">
        <v>553</v>
      </c>
      <c r="B77" s="296" t="s">
        <v>388</v>
      </c>
      <c r="C77" s="297">
        <v>13222600</v>
      </c>
      <c r="D77" s="298">
        <f t="shared" si="61"/>
        <v>14055.623799999999</v>
      </c>
      <c r="E77" s="297">
        <v>368500</v>
      </c>
      <c r="F77" s="297">
        <f t="shared" si="62"/>
        <v>391.71549999999996</v>
      </c>
      <c r="J77" s="299" t="s">
        <v>553</v>
      </c>
      <c r="K77" s="300" t="s">
        <v>603</v>
      </c>
      <c r="L77" s="301">
        <v>1751161</v>
      </c>
      <c r="M77" s="301">
        <f t="shared" si="63"/>
        <v>1861.4841429999999</v>
      </c>
      <c r="Q77" s="299" t="s">
        <v>355</v>
      </c>
      <c r="R77" s="300" t="s">
        <v>387</v>
      </c>
      <c r="S77" s="301">
        <v>171384600</v>
      </c>
      <c r="T77" s="301">
        <v>20994402</v>
      </c>
      <c r="U77" s="301">
        <f t="shared" si="64"/>
        <v>182181.82980000001</v>
      </c>
      <c r="V77" s="301">
        <f t="shared" si="65"/>
        <v>22317.049325999997</v>
      </c>
      <c r="Z77" s="296" t="s">
        <v>596</v>
      </c>
      <c r="AA77" s="297">
        <v>83300</v>
      </c>
      <c r="AB77" s="297">
        <f t="shared" si="66"/>
        <v>88.547899999999998</v>
      </c>
      <c r="AF77" s="452" t="s">
        <v>386</v>
      </c>
      <c r="AG77" s="453">
        <v>1234264</v>
      </c>
      <c r="AH77" s="453">
        <f t="shared" si="60"/>
        <v>1312.0226319999999</v>
      </c>
      <c r="AI77" s="297">
        <v>527761</v>
      </c>
      <c r="AL77" s="450"/>
      <c r="AN77" s="447" t="s">
        <v>553</v>
      </c>
      <c r="AO77" s="448" t="s">
        <v>393</v>
      </c>
      <c r="AP77" s="449">
        <v>124717</v>
      </c>
      <c r="AQ77" s="449">
        <f t="shared" si="67"/>
        <v>132.57417099999998</v>
      </c>
      <c r="AU77" s="447" t="s">
        <v>553</v>
      </c>
      <c r="AV77" s="448" t="s">
        <v>386</v>
      </c>
      <c r="AW77" s="449">
        <v>4527761</v>
      </c>
      <c r="AX77" s="449">
        <v>4333381</v>
      </c>
      <c r="AY77" s="449">
        <v>194380</v>
      </c>
      <c r="AZ77" s="450">
        <f t="shared" si="68"/>
        <v>4813.009943</v>
      </c>
      <c r="BA77" s="450">
        <f t="shared" si="69"/>
        <v>4606.3840030000001</v>
      </c>
      <c r="BB77" s="450">
        <f t="shared" si="70"/>
        <v>206.62593999999999</v>
      </c>
      <c r="BF77" s="447" t="s">
        <v>553</v>
      </c>
      <c r="BG77" s="448" t="s">
        <v>401</v>
      </c>
      <c r="BH77" s="449">
        <v>4590957</v>
      </c>
      <c r="BI77" s="450">
        <f t="shared" si="71"/>
        <v>4590.9570000000003</v>
      </c>
      <c r="BM77" s="451" t="s">
        <v>553</v>
      </c>
      <c r="BN77" s="94" t="s">
        <v>385</v>
      </c>
      <c r="BO77" s="95">
        <v>0</v>
      </c>
      <c r="BP77" s="95">
        <v>2436638</v>
      </c>
      <c r="BQ77" s="95">
        <v>2436638</v>
      </c>
      <c r="BR77" s="95">
        <v>0</v>
      </c>
      <c r="BS77" s="95">
        <v>2353339</v>
      </c>
      <c r="BT77" s="450">
        <f t="shared" si="72"/>
        <v>2436.6379999999999</v>
      </c>
      <c r="BU77" s="450">
        <f t="shared" si="73"/>
        <v>2436.6379999999999</v>
      </c>
      <c r="BV77" s="450">
        <f t="shared" si="74"/>
        <v>0</v>
      </c>
      <c r="BW77" s="450">
        <f t="shared" si="75"/>
        <v>2353.3389999999999</v>
      </c>
      <c r="CA77" s="94" t="s">
        <v>393</v>
      </c>
      <c r="CB77" s="450">
        <v>264011</v>
      </c>
      <c r="CC77" s="450">
        <f t="shared" si="76"/>
        <v>264.01100000000002</v>
      </c>
      <c r="CG77" s="448" t="s">
        <v>594</v>
      </c>
      <c r="CH77" s="449">
        <v>0</v>
      </c>
      <c r="CI77" s="449">
        <v>6580</v>
      </c>
      <c r="CJ77" s="449">
        <v>-6580</v>
      </c>
      <c r="CK77" s="449">
        <v>6580</v>
      </c>
      <c r="CL77" s="449">
        <v>0</v>
      </c>
      <c r="CM77" s="449">
        <v>6580</v>
      </c>
      <c r="CN77" s="449">
        <f t="shared" si="77"/>
        <v>6.58</v>
      </c>
      <c r="CO77" s="449">
        <f t="shared" si="78"/>
        <v>6.58</v>
      </c>
      <c r="CP77" s="449">
        <f t="shared" si="79"/>
        <v>0</v>
      </c>
      <c r="CQ77" s="449">
        <f t="shared" si="80"/>
        <v>6.58</v>
      </c>
      <c r="CU77" s="448" t="s">
        <v>595</v>
      </c>
      <c r="CV77" s="449">
        <v>202300</v>
      </c>
      <c r="CW77" s="449">
        <v>3088229</v>
      </c>
      <c r="CX77" s="450">
        <f t="shared" si="81"/>
        <v>202.3</v>
      </c>
      <c r="CY77" s="450">
        <f t="shared" si="82"/>
        <v>3088.2289999999998</v>
      </c>
      <c r="DB77" s="602" t="s">
        <v>594</v>
      </c>
      <c r="DC77" s="603">
        <v>954475</v>
      </c>
      <c r="DD77" s="603">
        <v>954475</v>
      </c>
      <c r="DE77" s="603">
        <v>0</v>
      </c>
      <c r="DF77" s="603">
        <v>6580</v>
      </c>
      <c r="DG77" s="604">
        <f t="shared" si="83"/>
        <v>954.47500000000002</v>
      </c>
      <c r="DH77" s="604">
        <f t="shared" si="84"/>
        <v>954.47500000000002</v>
      </c>
      <c r="DI77" s="604">
        <f t="shared" si="85"/>
        <v>0</v>
      </c>
      <c r="DJ77" s="604">
        <f t="shared" si="86"/>
        <v>6.58</v>
      </c>
      <c r="DN77" s="94" t="s">
        <v>600</v>
      </c>
      <c r="DO77" s="94">
        <v>6033770</v>
      </c>
      <c r="DP77" s="94">
        <v>6733770</v>
      </c>
      <c r="DQ77" s="666">
        <f t="shared" si="87"/>
        <v>6033.77</v>
      </c>
      <c r="DR77" s="666">
        <f t="shared" si="88"/>
        <v>6733.77</v>
      </c>
      <c r="DV77" s="94" t="s">
        <v>593</v>
      </c>
      <c r="DW77" s="95">
        <v>2396564</v>
      </c>
      <c r="DX77" s="95">
        <v>2396564</v>
      </c>
      <c r="DY77" s="95">
        <v>0</v>
      </c>
      <c r="DZ77" s="95">
        <v>1750028</v>
      </c>
      <c r="EA77" s="95">
        <f t="shared" si="89"/>
        <v>2396.5639999999999</v>
      </c>
      <c r="EB77" s="95">
        <f t="shared" si="90"/>
        <v>2396.5639999999999</v>
      </c>
      <c r="EC77" s="95">
        <f t="shared" si="91"/>
        <v>0</v>
      </c>
      <c r="ED77" s="95">
        <f t="shared" si="92"/>
        <v>1750.028</v>
      </c>
      <c r="EH77" s="444" t="s">
        <v>595</v>
      </c>
      <c r="EI77" s="444">
        <v>2885929</v>
      </c>
      <c r="EJ77" s="450">
        <f t="shared" si="93"/>
        <v>2885.9290000000001</v>
      </c>
      <c r="EN77" s="444" t="s">
        <v>590</v>
      </c>
      <c r="EO77" s="450">
        <v>0</v>
      </c>
      <c r="EP77" s="450">
        <v>0</v>
      </c>
      <c r="EQ77" s="450">
        <v>0</v>
      </c>
      <c r="ER77" s="450">
        <v>0</v>
      </c>
      <c r="ES77" s="746">
        <f t="shared" si="94"/>
        <v>0</v>
      </c>
      <c r="ET77" s="746">
        <f t="shared" si="95"/>
        <v>0</v>
      </c>
      <c r="EU77" s="746">
        <f t="shared" si="96"/>
        <v>0</v>
      </c>
      <c r="EV77" s="746">
        <f t="shared" si="97"/>
        <v>0</v>
      </c>
      <c r="EZ77" s="780" t="s">
        <v>553</v>
      </c>
      <c r="FA77" s="781" t="s">
        <v>598</v>
      </c>
      <c r="FB77" s="444">
        <v>749700</v>
      </c>
      <c r="FC77" s="450">
        <f t="shared" si="98"/>
        <v>749.7</v>
      </c>
      <c r="FG77" s="785" t="s">
        <v>553</v>
      </c>
      <c r="FH77" s="784" t="s">
        <v>590</v>
      </c>
      <c r="FI77" s="782">
        <v>0</v>
      </c>
      <c r="FJ77" s="783">
        <v>0</v>
      </c>
      <c r="FK77" s="783">
        <v>0</v>
      </c>
      <c r="FL77" s="783">
        <v>0</v>
      </c>
      <c r="FM77" s="450">
        <f t="shared" si="99"/>
        <v>0</v>
      </c>
      <c r="FN77" s="450">
        <f t="shared" si="100"/>
        <v>0</v>
      </c>
      <c r="FO77" s="450">
        <f t="shared" si="101"/>
        <v>0</v>
      </c>
      <c r="FP77" s="450">
        <f t="shared" si="102"/>
        <v>0</v>
      </c>
      <c r="FT77" s="451" t="s">
        <v>553</v>
      </c>
      <c r="FU77" s="94" t="s">
        <v>392</v>
      </c>
      <c r="FV77" s="95">
        <v>0</v>
      </c>
      <c r="FW77" s="95">
        <v>0</v>
      </c>
      <c r="FX77" s="95">
        <v>5465146</v>
      </c>
      <c r="FY77" s="450">
        <f t="shared" si="103"/>
        <v>0</v>
      </c>
      <c r="FZ77" s="450">
        <f t="shared" si="104"/>
        <v>0</v>
      </c>
      <c r="GA77" s="450">
        <f t="shared" si="105"/>
        <v>5465.1459999999997</v>
      </c>
      <c r="GG77" s="817" t="s">
        <v>553</v>
      </c>
      <c r="GH77" s="818" t="s">
        <v>590</v>
      </c>
      <c r="GI77" s="819">
        <v>0</v>
      </c>
      <c r="GJ77" s="819">
        <v>0</v>
      </c>
      <c r="GK77" s="819">
        <v>0</v>
      </c>
      <c r="GL77" s="819">
        <v>0</v>
      </c>
      <c r="GM77" s="819">
        <v>0</v>
      </c>
      <c r="GN77" s="450">
        <f t="shared" si="106"/>
        <v>0</v>
      </c>
      <c r="GO77" s="450">
        <f t="shared" si="107"/>
        <v>0</v>
      </c>
      <c r="GP77" s="450">
        <f t="shared" si="108"/>
        <v>0</v>
      </c>
      <c r="GQ77" s="450">
        <f t="shared" si="109"/>
        <v>0</v>
      </c>
      <c r="GR77" s="450">
        <f t="shared" si="110"/>
        <v>0</v>
      </c>
      <c r="GV77" s="841" t="s">
        <v>389</v>
      </c>
      <c r="GW77" s="840">
        <v>1477072</v>
      </c>
      <c r="GX77" s="450">
        <f t="shared" si="111"/>
        <v>1477.0719999999999</v>
      </c>
      <c r="HB77" s="843" t="s">
        <v>383</v>
      </c>
      <c r="HC77" s="819">
        <v>216080</v>
      </c>
      <c r="HD77" s="819">
        <v>216080</v>
      </c>
      <c r="HE77" s="819">
        <v>0</v>
      </c>
      <c r="HF77" s="819">
        <v>216080</v>
      </c>
      <c r="HG77" s="450">
        <f t="shared" si="112"/>
        <v>216.08</v>
      </c>
      <c r="HH77" s="450">
        <f t="shared" si="113"/>
        <v>0</v>
      </c>
      <c r="HI77" s="450">
        <f t="shared" si="114"/>
        <v>216.08</v>
      </c>
      <c r="HJ77" s="450">
        <f t="shared" si="115"/>
        <v>0</v>
      </c>
      <c r="HK77" s="450">
        <f t="shared" si="116"/>
        <v>216.08</v>
      </c>
    </row>
    <row r="78" spans="1:219" ht="15" customHeight="1" x14ac:dyDescent="0.3">
      <c r="A78" s="295" t="s">
        <v>553</v>
      </c>
      <c r="B78" s="296" t="s">
        <v>389</v>
      </c>
      <c r="C78" s="297">
        <v>11480000</v>
      </c>
      <c r="D78" s="298">
        <f t="shared" si="61"/>
        <v>12203.24</v>
      </c>
      <c r="E78" s="297">
        <v>304508</v>
      </c>
      <c r="F78" s="297">
        <f t="shared" si="62"/>
        <v>323.69200399999994</v>
      </c>
      <c r="J78" s="299" t="s">
        <v>553</v>
      </c>
      <c r="K78" s="300" t="s">
        <v>402</v>
      </c>
      <c r="L78" s="301">
        <v>773500</v>
      </c>
      <c r="M78" s="301">
        <f t="shared" si="63"/>
        <v>822.23050000000001</v>
      </c>
      <c r="Q78" s="299" t="s">
        <v>553</v>
      </c>
      <c r="R78" s="300" t="s">
        <v>388</v>
      </c>
      <c r="S78" s="301">
        <v>13222600</v>
      </c>
      <c r="T78" s="301">
        <v>754600</v>
      </c>
      <c r="U78" s="301">
        <f t="shared" si="64"/>
        <v>14055.623799999999</v>
      </c>
      <c r="V78" s="301">
        <f t="shared" si="65"/>
        <v>802.13980000000004</v>
      </c>
      <c r="Z78" s="296" t="s">
        <v>597</v>
      </c>
      <c r="AA78" s="297">
        <v>2912662</v>
      </c>
      <c r="AB78" s="297">
        <f t="shared" si="66"/>
        <v>3096.1597059999995</v>
      </c>
      <c r="AF78" s="452" t="s">
        <v>387</v>
      </c>
      <c r="AG78" s="453">
        <v>171384600</v>
      </c>
      <c r="AH78" s="453">
        <f t="shared" si="60"/>
        <v>182181.82980000001</v>
      </c>
      <c r="AI78" s="297">
        <v>31350991</v>
      </c>
      <c r="AL78" s="450"/>
      <c r="AN78" s="447" t="s">
        <v>553</v>
      </c>
      <c r="AO78" s="448" t="s">
        <v>394</v>
      </c>
      <c r="AP78" s="449">
        <v>479808</v>
      </c>
      <c r="AQ78" s="449">
        <f t="shared" si="67"/>
        <v>510.03590399999996</v>
      </c>
      <c r="AU78" s="447" t="s">
        <v>355</v>
      </c>
      <c r="AV78" s="448" t="s">
        <v>387</v>
      </c>
      <c r="AW78" s="449">
        <v>154296752</v>
      </c>
      <c r="AX78" s="449">
        <v>131872146</v>
      </c>
      <c r="AY78" s="449">
        <v>22424606</v>
      </c>
      <c r="AZ78" s="450">
        <f t="shared" si="68"/>
        <v>164017.447376</v>
      </c>
      <c r="BA78" s="450">
        <f t="shared" si="69"/>
        <v>140180.09119800001</v>
      </c>
      <c r="BB78" s="450">
        <f t="shared" si="70"/>
        <v>23837.356177999998</v>
      </c>
      <c r="BF78" s="447" t="s">
        <v>553</v>
      </c>
      <c r="BG78" s="448" t="s">
        <v>601</v>
      </c>
      <c r="BH78" s="449">
        <v>12009876</v>
      </c>
      <c r="BI78" s="450">
        <f t="shared" si="71"/>
        <v>12009.876</v>
      </c>
      <c r="BM78" s="451" t="s">
        <v>553</v>
      </c>
      <c r="BN78" s="94" t="s">
        <v>386</v>
      </c>
      <c r="BO78" s="95">
        <v>0</v>
      </c>
      <c r="BP78" s="95">
        <v>4541451</v>
      </c>
      <c r="BQ78" s="95">
        <v>4347071</v>
      </c>
      <c r="BR78" s="95">
        <v>194380</v>
      </c>
      <c r="BS78" s="95">
        <v>4347071</v>
      </c>
      <c r="BT78" s="450">
        <f t="shared" si="72"/>
        <v>4541.451</v>
      </c>
      <c r="BU78" s="450">
        <f t="shared" si="73"/>
        <v>4347.0709999999999</v>
      </c>
      <c r="BV78" s="450">
        <f t="shared" si="74"/>
        <v>194.38</v>
      </c>
      <c r="BW78" s="450">
        <f t="shared" si="75"/>
        <v>4347.0709999999999</v>
      </c>
      <c r="CA78" s="94" t="s">
        <v>394</v>
      </c>
      <c r="CB78" s="450">
        <v>479808</v>
      </c>
      <c r="CC78" s="450">
        <f t="shared" si="76"/>
        <v>479.80799999999999</v>
      </c>
      <c r="CG78" s="448" t="s">
        <v>385</v>
      </c>
      <c r="CH78" s="449">
        <v>0</v>
      </c>
      <c r="CI78" s="449">
        <v>2478741</v>
      </c>
      <c r="CJ78" s="449">
        <v>-2478741</v>
      </c>
      <c r="CK78" s="449">
        <v>2478741</v>
      </c>
      <c r="CL78" s="449">
        <v>0</v>
      </c>
      <c r="CM78" s="449">
        <v>2478741</v>
      </c>
      <c r="CN78" s="449">
        <f t="shared" si="77"/>
        <v>2478.741</v>
      </c>
      <c r="CO78" s="449">
        <f t="shared" si="78"/>
        <v>2478.741</v>
      </c>
      <c r="CP78" s="449">
        <f t="shared" si="79"/>
        <v>0</v>
      </c>
      <c r="CQ78" s="449">
        <f t="shared" si="80"/>
        <v>2478.741</v>
      </c>
      <c r="CU78" s="448" t="s">
        <v>395</v>
      </c>
      <c r="CV78" s="449">
        <v>3744207</v>
      </c>
      <c r="CW78" s="449">
        <v>1198277</v>
      </c>
      <c r="CX78" s="450">
        <f t="shared" si="81"/>
        <v>3744.2069999999999</v>
      </c>
      <c r="CY78" s="450">
        <f t="shared" si="82"/>
        <v>1198.277</v>
      </c>
      <c r="DB78" s="602" t="s">
        <v>385</v>
      </c>
      <c r="DC78" s="603">
        <v>6910326</v>
      </c>
      <c r="DD78" s="603">
        <v>6908504</v>
      </c>
      <c r="DE78" s="603">
        <v>1822</v>
      </c>
      <c r="DF78" s="603">
        <v>2773931</v>
      </c>
      <c r="DG78" s="604">
        <f t="shared" si="83"/>
        <v>6910.326</v>
      </c>
      <c r="DH78" s="604">
        <f t="shared" si="84"/>
        <v>6908.5039999999999</v>
      </c>
      <c r="DI78" s="604">
        <f t="shared" si="85"/>
        <v>1.8220000000000001</v>
      </c>
      <c r="DJ78" s="604">
        <f t="shared" si="86"/>
        <v>2773.931</v>
      </c>
      <c r="DN78" s="94" t="s">
        <v>397</v>
      </c>
      <c r="DO78" s="94">
        <v>0</v>
      </c>
      <c r="DP78" s="94">
        <v>1900525</v>
      </c>
      <c r="DQ78" s="666">
        <f t="shared" si="87"/>
        <v>0</v>
      </c>
      <c r="DR78" s="666">
        <f t="shared" si="88"/>
        <v>1900.5250000000001</v>
      </c>
      <c r="DV78" s="94" t="s">
        <v>594</v>
      </c>
      <c r="DW78" s="95">
        <v>1507825</v>
      </c>
      <c r="DX78" s="95">
        <v>1507825</v>
      </c>
      <c r="DY78" s="95">
        <v>0</v>
      </c>
      <c r="DZ78" s="95">
        <v>1507825</v>
      </c>
      <c r="EA78" s="95">
        <f t="shared" si="89"/>
        <v>1507.825</v>
      </c>
      <c r="EB78" s="95">
        <f t="shared" si="90"/>
        <v>1507.825</v>
      </c>
      <c r="EC78" s="95">
        <f t="shared" si="91"/>
        <v>0</v>
      </c>
      <c r="ED78" s="95">
        <f t="shared" si="92"/>
        <v>1507.825</v>
      </c>
      <c r="EH78" s="444" t="s">
        <v>395</v>
      </c>
      <c r="EI78" s="444">
        <v>2855205</v>
      </c>
      <c r="EJ78" s="450">
        <f t="shared" si="93"/>
        <v>2855.2049999999999</v>
      </c>
      <c r="EN78" s="444" t="s">
        <v>591</v>
      </c>
      <c r="EO78" s="450">
        <v>2902600</v>
      </c>
      <c r="EP78" s="450">
        <v>1937029</v>
      </c>
      <c r="EQ78" s="450">
        <v>965571</v>
      </c>
      <c r="ER78" s="450">
        <v>1937029</v>
      </c>
      <c r="ES78" s="746">
        <f t="shared" si="94"/>
        <v>2902.6</v>
      </c>
      <c r="ET78" s="746">
        <f t="shared" si="95"/>
        <v>1937.029</v>
      </c>
      <c r="EU78" s="746">
        <f t="shared" si="96"/>
        <v>965.57100000000003</v>
      </c>
      <c r="EV78" s="746">
        <f t="shared" si="97"/>
        <v>1937.029</v>
      </c>
      <c r="EZ78" s="780" t="s">
        <v>553</v>
      </c>
      <c r="FA78" s="781" t="s">
        <v>600</v>
      </c>
      <c r="FB78" s="444">
        <v>135620</v>
      </c>
      <c r="FC78" s="450">
        <f t="shared" si="98"/>
        <v>135.62</v>
      </c>
      <c r="FG78" s="785" t="s">
        <v>553</v>
      </c>
      <c r="FH78" s="784" t="s">
        <v>591</v>
      </c>
      <c r="FI78" s="782">
        <v>4959330</v>
      </c>
      <c r="FJ78" s="783">
        <v>4106434</v>
      </c>
      <c r="FK78" s="783">
        <v>852896</v>
      </c>
      <c r="FL78" s="783">
        <v>3843759</v>
      </c>
      <c r="FM78" s="450">
        <f t="shared" si="99"/>
        <v>4959.33</v>
      </c>
      <c r="FN78" s="450">
        <f t="shared" si="100"/>
        <v>4106.4340000000002</v>
      </c>
      <c r="FO78" s="450">
        <f t="shared" si="101"/>
        <v>852.89599999999996</v>
      </c>
      <c r="FP78" s="450">
        <f t="shared" si="102"/>
        <v>3843.759</v>
      </c>
      <c r="FT78" s="451" t="s">
        <v>553</v>
      </c>
      <c r="FU78" s="94" t="s">
        <v>393</v>
      </c>
      <c r="FV78" s="95">
        <v>-455378</v>
      </c>
      <c r="FW78" s="95">
        <v>0</v>
      </c>
      <c r="FX78" s="95">
        <v>0</v>
      </c>
      <c r="FY78" s="450">
        <f t="shared" si="103"/>
        <v>-455.37799999999999</v>
      </c>
      <c r="FZ78" s="450">
        <f t="shared" si="104"/>
        <v>0</v>
      </c>
      <c r="GA78" s="450">
        <f t="shared" si="105"/>
        <v>0</v>
      </c>
      <c r="GG78" s="817" t="s">
        <v>553</v>
      </c>
      <c r="GH78" s="818" t="s">
        <v>591</v>
      </c>
      <c r="GI78" s="819">
        <v>13809209</v>
      </c>
      <c r="GJ78" s="819">
        <v>4106434</v>
      </c>
      <c r="GK78" s="819">
        <v>9702775</v>
      </c>
      <c r="GL78" s="819">
        <v>4106434</v>
      </c>
      <c r="GM78" s="819">
        <v>0</v>
      </c>
      <c r="GN78" s="450">
        <f t="shared" si="106"/>
        <v>13809.209000000001</v>
      </c>
      <c r="GO78" s="450">
        <f t="shared" si="107"/>
        <v>4106.4340000000002</v>
      </c>
      <c r="GP78" s="450">
        <f t="shared" si="108"/>
        <v>9702.7749999999996</v>
      </c>
      <c r="GQ78" s="450">
        <f t="shared" si="109"/>
        <v>4106.4340000000002</v>
      </c>
      <c r="GR78" s="450">
        <f t="shared" si="110"/>
        <v>0</v>
      </c>
      <c r="GV78" s="841" t="s">
        <v>390</v>
      </c>
      <c r="GW78" s="840">
        <v>157350</v>
      </c>
      <c r="GX78" s="450">
        <f t="shared" si="111"/>
        <v>157.35</v>
      </c>
      <c r="HB78" s="843" t="s">
        <v>882</v>
      </c>
      <c r="HC78" s="819">
        <v>513910</v>
      </c>
      <c r="HD78" s="819">
        <v>513910</v>
      </c>
      <c r="HE78" s="819">
        <v>0</v>
      </c>
      <c r="HF78" s="819">
        <v>513910</v>
      </c>
      <c r="HG78" s="450">
        <f t="shared" si="112"/>
        <v>513.91</v>
      </c>
      <c r="HH78" s="450">
        <f t="shared" si="113"/>
        <v>0</v>
      </c>
      <c r="HI78" s="450">
        <f t="shared" si="114"/>
        <v>513.91</v>
      </c>
      <c r="HJ78" s="450">
        <f t="shared" si="115"/>
        <v>0</v>
      </c>
      <c r="HK78" s="450">
        <f t="shared" si="116"/>
        <v>513.91</v>
      </c>
    </row>
    <row r="79" spans="1:219" ht="15" customHeight="1" x14ac:dyDescent="0.3">
      <c r="A79" s="295" t="s">
        <v>553</v>
      </c>
      <c r="B79" s="296" t="s">
        <v>390</v>
      </c>
      <c r="C79" s="297">
        <v>1300000</v>
      </c>
      <c r="D79" s="298">
        <f t="shared" si="61"/>
        <v>1381.8999999999999</v>
      </c>
      <c r="E79" s="297">
        <v>0</v>
      </c>
      <c r="F79" s="297">
        <f t="shared" si="62"/>
        <v>0</v>
      </c>
      <c r="J79" s="299" t="s">
        <v>355</v>
      </c>
      <c r="K79" s="300" t="s">
        <v>403</v>
      </c>
      <c r="L79" s="301">
        <v>21216449</v>
      </c>
      <c r="M79" s="301">
        <f t="shared" si="63"/>
        <v>22553.085286999998</v>
      </c>
      <c r="Q79" s="299" t="s">
        <v>553</v>
      </c>
      <c r="R79" s="300" t="s">
        <v>389</v>
      </c>
      <c r="S79" s="301">
        <v>11480000</v>
      </c>
      <c r="T79" s="301">
        <v>874736</v>
      </c>
      <c r="U79" s="301">
        <f t="shared" si="64"/>
        <v>12203.24</v>
      </c>
      <c r="V79" s="301">
        <f t="shared" si="65"/>
        <v>929.84436799999992</v>
      </c>
      <c r="Z79" s="296" t="s">
        <v>717</v>
      </c>
      <c r="AA79" s="297">
        <v>0</v>
      </c>
      <c r="AB79" s="297">
        <f t="shared" si="66"/>
        <v>0</v>
      </c>
      <c r="AF79" s="452" t="s">
        <v>388</v>
      </c>
      <c r="AG79" s="453">
        <v>13222600</v>
      </c>
      <c r="AH79" s="453">
        <f t="shared" si="60"/>
        <v>14055.623799999999</v>
      </c>
      <c r="AI79" s="297">
        <v>1004300</v>
      </c>
      <c r="AL79" s="450"/>
      <c r="AN79" s="447" t="s">
        <v>553</v>
      </c>
      <c r="AO79" s="448" t="s">
        <v>595</v>
      </c>
      <c r="AP79" s="449">
        <v>2885929</v>
      </c>
      <c r="AQ79" s="449">
        <f t="shared" si="67"/>
        <v>3067.7425269999999</v>
      </c>
      <c r="AU79" s="447" t="s">
        <v>553</v>
      </c>
      <c r="AV79" s="448" t="s">
        <v>388</v>
      </c>
      <c r="AW79" s="449">
        <v>6610000</v>
      </c>
      <c r="AX79" s="449">
        <v>6610000</v>
      </c>
      <c r="AY79" s="449">
        <v>0</v>
      </c>
      <c r="AZ79" s="450">
        <f t="shared" si="68"/>
        <v>7026.4299999999994</v>
      </c>
      <c r="BA79" s="450">
        <f t="shared" si="69"/>
        <v>7026.4299999999994</v>
      </c>
      <c r="BB79" s="450">
        <f t="shared" si="70"/>
        <v>0</v>
      </c>
      <c r="BF79" s="447" t="s">
        <v>553</v>
      </c>
      <c r="BG79" s="448" t="s">
        <v>602</v>
      </c>
      <c r="BH79" s="449">
        <v>4779658</v>
      </c>
      <c r="BI79" s="450">
        <f t="shared" si="71"/>
        <v>4779.6580000000004</v>
      </c>
      <c r="BM79" s="451" t="s">
        <v>355</v>
      </c>
      <c r="BN79" s="94" t="s">
        <v>387</v>
      </c>
      <c r="BO79" s="95">
        <v>0</v>
      </c>
      <c r="BP79" s="95">
        <v>159221332</v>
      </c>
      <c r="BQ79" s="95">
        <v>132402657</v>
      </c>
      <c r="BR79" s="95">
        <v>26818675</v>
      </c>
      <c r="BS79" s="95">
        <v>56383778</v>
      </c>
      <c r="BT79" s="450">
        <f t="shared" si="72"/>
        <v>159221.33199999999</v>
      </c>
      <c r="BU79" s="450">
        <f t="shared" si="73"/>
        <v>132402.65700000001</v>
      </c>
      <c r="BV79" s="450">
        <f t="shared" si="74"/>
        <v>26818.674999999999</v>
      </c>
      <c r="BW79" s="450">
        <f t="shared" si="75"/>
        <v>56383.777999999998</v>
      </c>
      <c r="CA79" s="94" t="s">
        <v>595</v>
      </c>
      <c r="CB79" s="450">
        <v>2885929</v>
      </c>
      <c r="CC79" s="450">
        <f t="shared" si="76"/>
        <v>2885.9290000000001</v>
      </c>
      <c r="CG79" s="448" t="s">
        <v>386</v>
      </c>
      <c r="CH79" s="449">
        <v>0</v>
      </c>
      <c r="CI79" s="449">
        <v>4541451</v>
      </c>
      <c r="CJ79" s="449">
        <v>-4541451</v>
      </c>
      <c r="CK79" s="449">
        <v>4347071</v>
      </c>
      <c r="CL79" s="449">
        <v>194380</v>
      </c>
      <c r="CM79" s="449">
        <v>4347071</v>
      </c>
      <c r="CN79" s="449">
        <f t="shared" si="77"/>
        <v>4541.451</v>
      </c>
      <c r="CO79" s="449">
        <f t="shared" si="78"/>
        <v>4347.0709999999999</v>
      </c>
      <c r="CP79" s="449">
        <f t="shared" si="79"/>
        <v>194.38</v>
      </c>
      <c r="CQ79" s="449">
        <f t="shared" si="80"/>
        <v>4347.0709999999999</v>
      </c>
      <c r="CU79" s="448" t="s">
        <v>596</v>
      </c>
      <c r="CV79" s="449">
        <v>1200000</v>
      </c>
      <c r="CW79" s="449">
        <v>0</v>
      </c>
      <c r="CX79" s="450">
        <f t="shared" si="81"/>
        <v>1200</v>
      </c>
      <c r="CY79" s="450">
        <f t="shared" si="82"/>
        <v>0</v>
      </c>
      <c r="DB79" s="602" t="s">
        <v>386</v>
      </c>
      <c r="DC79" s="603">
        <v>4548441</v>
      </c>
      <c r="DD79" s="603">
        <v>4354061</v>
      </c>
      <c r="DE79" s="603">
        <v>194380</v>
      </c>
      <c r="DF79" s="603">
        <v>4354061</v>
      </c>
      <c r="DG79" s="604">
        <f t="shared" si="83"/>
        <v>4548.4409999999998</v>
      </c>
      <c r="DH79" s="604">
        <f t="shared" si="84"/>
        <v>4354.0609999999997</v>
      </c>
      <c r="DI79" s="604">
        <f t="shared" si="85"/>
        <v>194.38</v>
      </c>
      <c r="DJ79" s="604">
        <f t="shared" si="86"/>
        <v>4354.0609999999997</v>
      </c>
      <c r="DN79" s="94" t="s">
        <v>399</v>
      </c>
      <c r="DO79" s="94">
        <v>0</v>
      </c>
      <c r="DP79" s="94">
        <v>1900525</v>
      </c>
      <c r="DQ79" s="666">
        <f t="shared" si="87"/>
        <v>0</v>
      </c>
      <c r="DR79" s="666">
        <f t="shared" si="88"/>
        <v>1900.5250000000001</v>
      </c>
      <c r="DV79" s="94" t="s">
        <v>385</v>
      </c>
      <c r="DW79" s="95">
        <v>7229008</v>
      </c>
      <c r="DX79" s="95">
        <v>7229008</v>
      </c>
      <c r="DY79" s="95">
        <v>0</v>
      </c>
      <c r="DZ79" s="95">
        <v>3667933</v>
      </c>
      <c r="EA79" s="95">
        <f t="shared" si="89"/>
        <v>7229.0079999999998</v>
      </c>
      <c r="EB79" s="95">
        <f t="shared" si="90"/>
        <v>7229.0079999999998</v>
      </c>
      <c r="EC79" s="95">
        <f t="shared" si="91"/>
        <v>0</v>
      </c>
      <c r="ED79" s="95">
        <f t="shared" si="92"/>
        <v>3667.933</v>
      </c>
      <c r="EH79" s="444" t="s">
        <v>596</v>
      </c>
      <c r="EI79" s="444">
        <v>2018064</v>
      </c>
      <c r="EJ79" s="450">
        <f t="shared" si="93"/>
        <v>2018.0640000000001</v>
      </c>
      <c r="EN79" s="444" t="s">
        <v>592</v>
      </c>
      <c r="EO79" s="450">
        <v>329704</v>
      </c>
      <c r="EP79" s="450">
        <v>329704</v>
      </c>
      <c r="EQ79" s="450">
        <v>0</v>
      </c>
      <c r="ER79" s="450">
        <v>329704</v>
      </c>
      <c r="ES79" s="746">
        <f t="shared" si="94"/>
        <v>329.70400000000001</v>
      </c>
      <c r="ET79" s="746">
        <f t="shared" si="95"/>
        <v>329.70400000000001</v>
      </c>
      <c r="EU79" s="746">
        <f t="shared" si="96"/>
        <v>0</v>
      </c>
      <c r="EV79" s="746">
        <f t="shared" si="97"/>
        <v>329.70400000000001</v>
      </c>
      <c r="EZ79" s="780" t="s">
        <v>355</v>
      </c>
      <c r="FA79" s="781" t="s">
        <v>397</v>
      </c>
      <c r="FB79" s="444">
        <v>121805</v>
      </c>
      <c r="FC79" s="450">
        <f t="shared" si="98"/>
        <v>121.80500000000001</v>
      </c>
      <c r="FG79" s="785" t="s">
        <v>553</v>
      </c>
      <c r="FH79" s="784" t="s">
        <v>592</v>
      </c>
      <c r="FI79" s="782">
        <v>329704</v>
      </c>
      <c r="FJ79" s="783">
        <v>329704</v>
      </c>
      <c r="FK79" s="783">
        <v>0</v>
      </c>
      <c r="FL79" s="783">
        <v>329704</v>
      </c>
      <c r="FM79" s="450">
        <f t="shared" si="99"/>
        <v>329.70400000000001</v>
      </c>
      <c r="FN79" s="450">
        <f t="shared" si="100"/>
        <v>329.70400000000001</v>
      </c>
      <c r="FO79" s="450">
        <f t="shared" si="101"/>
        <v>0</v>
      </c>
      <c r="FP79" s="450">
        <f t="shared" si="102"/>
        <v>329.70400000000001</v>
      </c>
      <c r="FT79" s="451" t="s">
        <v>553</v>
      </c>
      <c r="FU79" s="94" t="s">
        <v>394</v>
      </c>
      <c r="FV79" s="95">
        <v>0</v>
      </c>
      <c r="FW79" s="95">
        <v>0</v>
      </c>
      <c r="FX79" s="95">
        <v>0</v>
      </c>
      <c r="FY79" s="450">
        <f t="shared" si="103"/>
        <v>0</v>
      </c>
      <c r="FZ79" s="450">
        <f t="shared" si="104"/>
        <v>0</v>
      </c>
      <c r="GA79" s="450">
        <f t="shared" si="105"/>
        <v>0</v>
      </c>
      <c r="GG79" s="817" t="s">
        <v>553</v>
      </c>
      <c r="GH79" s="818" t="s">
        <v>592</v>
      </c>
      <c r="GI79" s="819">
        <v>329704</v>
      </c>
      <c r="GJ79" s="819">
        <v>329704</v>
      </c>
      <c r="GK79" s="819">
        <v>0</v>
      </c>
      <c r="GL79" s="819">
        <v>329704</v>
      </c>
      <c r="GM79" s="819">
        <v>0</v>
      </c>
      <c r="GN79" s="450">
        <f t="shared" si="106"/>
        <v>329.70400000000001</v>
      </c>
      <c r="GO79" s="450">
        <f t="shared" si="107"/>
        <v>329.70400000000001</v>
      </c>
      <c r="GP79" s="450">
        <f t="shared" si="108"/>
        <v>0</v>
      </c>
      <c r="GQ79" s="450">
        <f t="shared" si="109"/>
        <v>329.70400000000001</v>
      </c>
      <c r="GR79" s="450">
        <f t="shared" si="110"/>
        <v>0</v>
      </c>
      <c r="GV79" s="841" t="s">
        <v>391</v>
      </c>
      <c r="GW79" s="840">
        <v>2668112</v>
      </c>
      <c r="GX79" s="450">
        <f t="shared" si="111"/>
        <v>2668.1120000000001</v>
      </c>
      <c r="HB79" s="843" t="s">
        <v>589</v>
      </c>
      <c r="HC79" s="819">
        <v>6953717</v>
      </c>
      <c r="HD79" s="819">
        <v>6953717</v>
      </c>
      <c r="HE79" s="819">
        <v>0</v>
      </c>
      <c r="HF79" s="819">
        <v>6953717</v>
      </c>
      <c r="HG79" s="450">
        <f t="shared" si="112"/>
        <v>6953.7169999999996</v>
      </c>
      <c r="HH79" s="450">
        <f t="shared" si="113"/>
        <v>0</v>
      </c>
      <c r="HI79" s="450">
        <f t="shared" si="114"/>
        <v>6953.7169999999996</v>
      </c>
      <c r="HJ79" s="450">
        <f t="shared" si="115"/>
        <v>0</v>
      </c>
      <c r="HK79" s="450">
        <f t="shared" si="116"/>
        <v>6953.7169999999996</v>
      </c>
    </row>
    <row r="80" spans="1:219" ht="15" customHeight="1" x14ac:dyDescent="0.3">
      <c r="A80" s="295" t="s">
        <v>553</v>
      </c>
      <c r="B80" s="296" t="s">
        <v>391</v>
      </c>
      <c r="C80" s="297">
        <v>27000000</v>
      </c>
      <c r="D80" s="298">
        <f t="shared" si="61"/>
        <v>28701</v>
      </c>
      <c r="E80" s="297">
        <v>393716</v>
      </c>
      <c r="F80" s="297">
        <f t="shared" si="62"/>
        <v>418.52010799999999</v>
      </c>
      <c r="J80" s="299" t="s">
        <v>553</v>
      </c>
      <c r="K80" s="300" t="s">
        <v>404</v>
      </c>
      <c r="L80" s="301">
        <v>18356313</v>
      </c>
      <c r="M80" s="301">
        <f t="shared" si="63"/>
        <v>19512.760718999998</v>
      </c>
      <c r="Q80" s="299" t="s">
        <v>553</v>
      </c>
      <c r="R80" s="300" t="s">
        <v>390</v>
      </c>
      <c r="S80" s="301">
        <v>1300000</v>
      </c>
      <c r="T80" s="301">
        <v>158350</v>
      </c>
      <c r="U80" s="301">
        <f t="shared" si="64"/>
        <v>1381.8999999999999</v>
      </c>
      <c r="V80" s="301">
        <f t="shared" si="65"/>
        <v>168.32604999999998</v>
      </c>
      <c r="Z80" s="296" t="s">
        <v>600</v>
      </c>
      <c r="AA80" s="297">
        <v>0</v>
      </c>
      <c r="AB80" s="297">
        <f t="shared" si="66"/>
        <v>0</v>
      </c>
      <c r="AF80" s="296" t="s">
        <v>389</v>
      </c>
      <c r="AG80" s="297">
        <v>11480000</v>
      </c>
      <c r="AH80" s="297">
        <f t="shared" si="60"/>
        <v>12203.24</v>
      </c>
      <c r="AI80" s="297">
        <v>1227980</v>
      </c>
      <c r="AL80" s="450"/>
      <c r="AN80" s="447" t="s">
        <v>355</v>
      </c>
      <c r="AO80" s="448" t="s">
        <v>395</v>
      </c>
      <c r="AP80" s="449">
        <v>1629936</v>
      </c>
      <c r="AQ80" s="449">
        <f t="shared" si="67"/>
        <v>1732.6219679999999</v>
      </c>
      <c r="AU80" s="447" t="s">
        <v>553</v>
      </c>
      <c r="AV80" s="448" t="s">
        <v>389</v>
      </c>
      <c r="AW80" s="449">
        <v>11480000</v>
      </c>
      <c r="AX80" s="449">
        <v>8073905</v>
      </c>
      <c r="AY80" s="449">
        <v>3406095</v>
      </c>
      <c r="AZ80" s="450">
        <f t="shared" si="68"/>
        <v>12203.24</v>
      </c>
      <c r="BA80" s="450">
        <f t="shared" si="69"/>
        <v>8582.5610149999993</v>
      </c>
      <c r="BB80" s="450">
        <f t="shared" si="70"/>
        <v>3620.6789849999996</v>
      </c>
      <c r="BF80" s="447" t="s">
        <v>553</v>
      </c>
      <c r="BG80" s="448" t="s">
        <v>603</v>
      </c>
      <c r="BH80" s="449">
        <v>503117</v>
      </c>
      <c r="BI80" s="450">
        <f t="shared" si="71"/>
        <v>503.11700000000002</v>
      </c>
      <c r="BM80" s="451" t="s">
        <v>553</v>
      </c>
      <c r="BN80" s="94" t="s">
        <v>388</v>
      </c>
      <c r="BO80" s="95">
        <v>0</v>
      </c>
      <c r="BP80" s="95">
        <v>6610000</v>
      </c>
      <c r="BQ80" s="95">
        <v>6610000</v>
      </c>
      <c r="BR80" s="95">
        <v>0</v>
      </c>
      <c r="BS80" s="95">
        <v>2694600</v>
      </c>
      <c r="BT80" s="450">
        <f t="shared" si="72"/>
        <v>6610</v>
      </c>
      <c r="BU80" s="450">
        <f t="shared" si="73"/>
        <v>6610</v>
      </c>
      <c r="BV80" s="450">
        <f t="shared" si="74"/>
        <v>0</v>
      </c>
      <c r="BW80" s="450">
        <f t="shared" si="75"/>
        <v>2694.6</v>
      </c>
      <c r="CA80" s="94" t="s">
        <v>395</v>
      </c>
      <c r="CB80" s="450">
        <v>1105519</v>
      </c>
      <c r="CC80" s="450">
        <f t="shared" si="76"/>
        <v>1105.519</v>
      </c>
      <c r="CG80" s="448" t="s">
        <v>387</v>
      </c>
      <c r="CH80" s="449">
        <v>0</v>
      </c>
      <c r="CI80" s="449">
        <v>151929452</v>
      </c>
      <c r="CJ80" s="449">
        <v>-151929452</v>
      </c>
      <c r="CK80" s="449">
        <v>142524121</v>
      </c>
      <c r="CL80" s="449">
        <v>9405331</v>
      </c>
      <c r="CM80" s="449">
        <v>68500190</v>
      </c>
      <c r="CN80" s="449">
        <f t="shared" si="77"/>
        <v>151929.45199999999</v>
      </c>
      <c r="CO80" s="449">
        <f t="shared" si="78"/>
        <v>142524.12100000001</v>
      </c>
      <c r="CP80" s="449">
        <f t="shared" si="79"/>
        <v>9405.3310000000001</v>
      </c>
      <c r="CQ80" s="449">
        <f t="shared" si="80"/>
        <v>68500.19</v>
      </c>
      <c r="CU80" s="448" t="s">
        <v>597</v>
      </c>
      <c r="CV80" s="449">
        <v>2544207</v>
      </c>
      <c r="CW80" s="449">
        <v>777216</v>
      </c>
      <c r="CX80" s="450">
        <f t="shared" si="81"/>
        <v>2544.2069999999999</v>
      </c>
      <c r="CY80" s="450">
        <f t="shared" si="82"/>
        <v>777.21600000000001</v>
      </c>
      <c r="DB80" s="602" t="s">
        <v>387</v>
      </c>
      <c r="DC80" s="603">
        <v>152487257</v>
      </c>
      <c r="DD80" s="603">
        <v>144264800</v>
      </c>
      <c r="DE80" s="603">
        <v>8222457</v>
      </c>
      <c r="DF80" s="603">
        <v>81956967</v>
      </c>
      <c r="DG80" s="604">
        <f t="shared" si="83"/>
        <v>152487.25700000001</v>
      </c>
      <c r="DH80" s="604">
        <f t="shared" si="84"/>
        <v>144264.79999999999</v>
      </c>
      <c r="DI80" s="604">
        <f t="shared" si="85"/>
        <v>8222.4570000000003</v>
      </c>
      <c r="DJ80" s="604">
        <f t="shared" si="86"/>
        <v>81956.967000000004</v>
      </c>
      <c r="DN80" s="94" t="s">
        <v>400</v>
      </c>
      <c r="DO80" s="94">
        <v>32730857</v>
      </c>
      <c r="DP80" s="94">
        <v>32769837</v>
      </c>
      <c r="DQ80" s="666">
        <f t="shared" si="87"/>
        <v>32730.857</v>
      </c>
      <c r="DR80" s="666">
        <f t="shared" si="88"/>
        <v>32769.837</v>
      </c>
      <c r="DV80" s="94" t="s">
        <v>386</v>
      </c>
      <c r="DW80" s="95">
        <v>4354061</v>
      </c>
      <c r="DX80" s="95">
        <v>4354061</v>
      </c>
      <c r="DY80" s="95">
        <v>0</v>
      </c>
      <c r="DZ80" s="95">
        <v>4354061</v>
      </c>
      <c r="EA80" s="95">
        <f t="shared" si="89"/>
        <v>4354.0609999999997</v>
      </c>
      <c r="EB80" s="95">
        <f t="shared" si="90"/>
        <v>4354.0609999999997</v>
      </c>
      <c r="EC80" s="95">
        <f t="shared" si="91"/>
        <v>0</v>
      </c>
      <c r="ED80" s="95">
        <f t="shared" si="92"/>
        <v>4354.0609999999997</v>
      </c>
      <c r="EH80" s="444" t="s">
        <v>597</v>
      </c>
      <c r="EI80" s="444">
        <v>416080</v>
      </c>
      <c r="EJ80" s="450">
        <f t="shared" si="93"/>
        <v>416.08</v>
      </c>
      <c r="EN80" s="444" t="s">
        <v>593</v>
      </c>
      <c r="EO80" s="450">
        <v>3076568</v>
      </c>
      <c r="EP80" s="450">
        <v>3076568</v>
      </c>
      <c r="EQ80" s="450">
        <v>0</v>
      </c>
      <c r="ER80" s="450">
        <v>2512666</v>
      </c>
      <c r="ES80" s="746">
        <f t="shared" si="94"/>
        <v>3076.5680000000002</v>
      </c>
      <c r="ET80" s="746">
        <f t="shared" si="95"/>
        <v>3076.5680000000002</v>
      </c>
      <c r="EU80" s="746">
        <f t="shared" si="96"/>
        <v>0</v>
      </c>
      <c r="EV80" s="746">
        <f t="shared" si="97"/>
        <v>2512.6660000000002</v>
      </c>
      <c r="EZ80" s="780" t="s">
        <v>553</v>
      </c>
      <c r="FA80" s="781" t="s">
        <v>398</v>
      </c>
      <c r="FB80" s="444">
        <v>121805</v>
      </c>
      <c r="FC80" s="450">
        <f t="shared" si="98"/>
        <v>121.80500000000001</v>
      </c>
      <c r="FG80" s="785" t="s">
        <v>553</v>
      </c>
      <c r="FH80" s="784" t="s">
        <v>593</v>
      </c>
      <c r="FI80" s="782">
        <v>3636568</v>
      </c>
      <c r="FJ80" s="783">
        <v>3636568</v>
      </c>
      <c r="FK80" s="783">
        <v>0</v>
      </c>
      <c r="FL80" s="783">
        <v>2512666</v>
      </c>
      <c r="FM80" s="450">
        <f t="shared" si="99"/>
        <v>3636.5680000000002</v>
      </c>
      <c r="FN80" s="450">
        <f t="shared" si="100"/>
        <v>3636.5680000000002</v>
      </c>
      <c r="FO80" s="450">
        <f t="shared" si="101"/>
        <v>0</v>
      </c>
      <c r="FP80" s="450">
        <f t="shared" si="102"/>
        <v>2512.6660000000002</v>
      </c>
      <c r="FT80" s="451" t="s">
        <v>553</v>
      </c>
      <c r="FU80" s="94" t="s">
        <v>595</v>
      </c>
      <c r="FV80" s="95">
        <v>-64194</v>
      </c>
      <c r="FW80" s="95">
        <v>3135806</v>
      </c>
      <c r="FX80" s="95">
        <v>2885929</v>
      </c>
      <c r="FY80" s="450">
        <f t="shared" si="103"/>
        <v>-64.194000000000003</v>
      </c>
      <c r="FZ80" s="450">
        <f t="shared" si="104"/>
        <v>3135.806</v>
      </c>
      <c r="GA80" s="450">
        <f t="shared" si="105"/>
        <v>2885.9290000000001</v>
      </c>
      <c r="GG80" s="817" t="s">
        <v>553</v>
      </c>
      <c r="GH80" s="818" t="s">
        <v>593</v>
      </c>
      <c r="GI80" s="819">
        <v>4074488</v>
      </c>
      <c r="GJ80" s="819">
        <v>4074488</v>
      </c>
      <c r="GK80" s="819">
        <v>0</v>
      </c>
      <c r="GL80" s="819">
        <v>3076568</v>
      </c>
      <c r="GM80" s="819">
        <v>997920</v>
      </c>
      <c r="GN80" s="450">
        <f t="shared" si="106"/>
        <v>4074.4879999999998</v>
      </c>
      <c r="GO80" s="450">
        <f t="shared" si="107"/>
        <v>4074.4879999999998</v>
      </c>
      <c r="GP80" s="450">
        <f t="shared" si="108"/>
        <v>0</v>
      </c>
      <c r="GQ80" s="450">
        <f t="shared" si="109"/>
        <v>3076.5680000000002</v>
      </c>
      <c r="GR80" s="450">
        <f t="shared" si="110"/>
        <v>997.92</v>
      </c>
      <c r="GV80" s="841" t="s">
        <v>392</v>
      </c>
      <c r="GW80" s="840">
        <v>5465146</v>
      </c>
      <c r="GX80" s="450">
        <f t="shared" si="111"/>
        <v>5465.1459999999997</v>
      </c>
      <c r="HB80" s="843" t="s">
        <v>384</v>
      </c>
      <c r="HC80" s="819">
        <v>20389083</v>
      </c>
      <c r="HD80" s="819">
        <v>20389083</v>
      </c>
      <c r="HE80" s="819">
        <v>0</v>
      </c>
      <c r="HF80" s="819">
        <v>20389083</v>
      </c>
      <c r="HG80" s="450">
        <f t="shared" si="112"/>
        <v>20389.082999999999</v>
      </c>
      <c r="HH80" s="450">
        <f t="shared" si="113"/>
        <v>0</v>
      </c>
      <c r="HI80" s="450">
        <f t="shared" si="114"/>
        <v>20389.082999999999</v>
      </c>
      <c r="HJ80" s="450">
        <f t="shared" si="115"/>
        <v>0</v>
      </c>
      <c r="HK80" s="450">
        <f t="shared" si="116"/>
        <v>20389.082999999999</v>
      </c>
    </row>
    <row r="81" spans="1:219" ht="15" customHeight="1" x14ac:dyDescent="0.3">
      <c r="A81" s="295" t="s">
        <v>553</v>
      </c>
      <c r="B81" s="296" t="s">
        <v>392</v>
      </c>
      <c r="C81" s="297">
        <v>66282000</v>
      </c>
      <c r="D81" s="298">
        <f t="shared" si="61"/>
        <v>70457.766000000003</v>
      </c>
      <c r="E81" s="297">
        <v>5465146</v>
      </c>
      <c r="F81" s="297">
        <f t="shared" si="62"/>
        <v>5809.4501979999995</v>
      </c>
      <c r="J81" s="299" t="s">
        <v>553</v>
      </c>
      <c r="K81" s="300" t="s">
        <v>604</v>
      </c>
      <c r="L81" s="301">
        <v>1818886</v>
      </c>
      <c r="M81" s="301">
        <f t="shared" si="63"/>
        <v>1933.4758179999999</v>
      </c>
      <c r="Q81" s="299" t="s">
        <v>553</v>
      </c>
      <c r="R81" s="300" t="s">
        <v>391</v>
      </c>
      <c r="S81" s="301">
        <v>27000000</v>
      </c>
      <c r="T81" s="301">
        <v>1295428</v>
      </c>
      <c r="U81" s="301">
        <f t="shared" si="64"/>
        <v>28701</v>
      </c>
      <c r="V81" s="301">
        <f t="shared" si="65"/>
        <v>1377.0399640000001</v>
      </c>
      <c r="Z81" s="296" t="s">
        <v>397</v>
      </c>
      <c r="AA81" s="297">
        <v>102858</v>
      </c>
      <c r="AB81" s="297">
        <f t="shared" si="66"/>
        <v>109.338054</v>
      </c>
      <c r="AF81" s="296" t="s">
        <v>390</v>
      </c>
      <c r="AG81" s="297">
        <v>1300000</v>
      </c>
      <c r="AH81" s="297">
        <f t="shared" si="60"/>
        <v>1381.8999999999999</v>
      </c>
      <c r="AI81" s="297">
        <v>243250</v>
      </c>
      <c r="AL81" s="450"/>
      <c r="AN81" s="447" t="s">
        <v>553</v>
      </c>
      <c r="AO81" s="448" t="s">
        <v>596</v>
      </c>
      <c r="AP81" s="449">
        <v>261800</v>
      </c>
      <c r="AQ81" s="449">
        <f t="shared" si="67"/>
        <v>278.29340000000002</v>
      </c>
      <c r="AU81" s="447" t="s">
        <v>553</v>
      </c>
      <c r="AV81" s="448" t="s">
        <v>390</v>
      </c>
      <c r="AW81" s="449">
        <v>1300000</v>
      </c>
      <c r="AX81" s="449">
        <v>1000000</v>
      </c>
      <c r="AY81" s="449">
        <v>300000</v>
      </c>
      <c r="AZ81" s="450">
        <f t="shared" si="68"/>
        <v>1381.8999999999999</v>
      </c>
      <c r="BA81" s="450">
        <f t="shared" si="69"/>
        <v>1063</v>
      </c>
      <c r="BB81" s="450">
        <f t="shared" si="70"/>
        <v>318.89999999999998</v>
      </c>
      <c r="BF81" s="447" t="s">
        <v>553</v>
      </c>
      <c r="BG81" s="448" t="s">
        <v>402</v>
      </c>
      <c r="BH81" s="449">
        <v>1130500</v>
      </c>
      <c r="BI81" s="450">
        <f t="shared" si="71"/>
        <v>1130.5</v>
      </c>
      <c r="BM81" s="451" t="s">
        <v>553</v>
      </c>
      <c r="BN81" s="94" t="s">
        <v>389</v>
      </c>
      <c r="BO81" s="95">
        <v>0</v>
      </c>
      <c r="BP81" s="95">
        <v>11502000</v>
      </c>
      <c r="BQ81" s="95">
        <v>8095905</v>
      </c>
      <c r="BR81" s="95">
        <v>3406095</v>
      </c>
      <c r="BS81" s="95">
        <v>4259648</v>
      </c>
      <c r="BT81" s="450">
        <f t="shared" si="72"/>
        <v>11502</v>
      </c>
      <c r="BU81" s="450">
        <f t="shared" si="73"/>
        <v>8095.9049999999997</v>
      </c>
      <c r="BV81" s="450">
        <f t="shared" si="74"/>
        <v>3406.0949999999998</v>
      </c>
      <c r="BW81" s="450">
        <f t="shared" si="75"/>
        <v>4259.6480000000001</v>
      </c>
      <c r="CA81" s="94" t="s">
        <v>596</v>
      </c>
      <c r="CB81" s="450">
        <v>140000</v>
      </c>
      <c r="CC81" s="450">
        <f t="shared" si="76"/>
        <v>140</v>
      </c>
      <c r="CG81" s="448" t="s">
        <v>388</v>
      </c>
      <c r="CH81" s="449">
        <v>0</v>
      </c>
      <c r="CI81" s="449">
        <v>7275000</v>
      </c>
      <c r="CJ81" s="449">
        <v>-7275000</v>
      </c>
      <c r="CK81" s="449">
        <v>7275000</v>
      </c>
      <c r="CL81" s="449">
        <v>0</v>
      </c>
      <c r="CM81" s="449">
        <v>3633600</v>
      </c>
      <c r="CN81" s="449">
        <f t="shared" si="77"/>
        <v>7275</v>
      </c>
      <c r="CO81" s="449">
        <f t="shared" si="78"/>
        <v>7275</v>
      </c>
      <c r="CP81" s="449">
        <f t="shared" si="79"/>
        <v>0</v>
      </c>
      <c r="CQ81" s="449">
        <f t="shared" si="80"/>
        <v>3633.6</v>
      </c>
      <c r="CU81" s="448" t="s">
        <v>717</v>
      </c>
      <c r="CV81" s="449">
        <v>0</v>
      </c>
      <c r="CW81" s="449">
        <v>0</v>
      </c>
      <c r="CX81" s="450">
        <f t="shared" si="81"/>
        <v>0</v>
      </c>
      <c r="CY81" s="450">
        <f t="shared" si="82"/>
        <v>0</v>
      </c>
      <c r="DB81" s="602" t="s">
        <v>388</v>
      </c>
      <c r="DC81" s="603">
        <v>7275000</v>
      </c>
      <c r="DD81" s="603">
        <v>7275000</v>
      </c>
      <c r="DE81" s="603">
        <v>0</v>
      </c>
      <c r="DF81" s="603">
        <v>4767200</v>
      </c>
      <c r="DG81" s="604">
        <f t="shared" si="83"/>
        <v>7275</v>
      </c>
      <c r="DH81" s="604">
        <f t="shared" si="84"/>
        <v>7275</v>
      </c>
      <c r="DI81" s="604">
        <f t="shared" si="85"/>
        <v>0</v>
      </c>
      <c r="DJ81" s="604">
        <f t="shared" si="86"/>
        <v>4767.2</v>
      </c>
      <c r="DN81" s="94" t="s">
        <v>401</v>
      </c>
      <c r="DO81" s="94">
        <v>0</v>
      </c>
      <c r="DP81" s="94">
        <v>5212915</v>
      </c>
      <c r="DQ81" s="666">
        <f t="shared" si="87"/>
        <v>0</v>
      </c>
      <c r="DR81" s="666">
        <f t="shared" si="88"/>
        <v>5212.915</v>
      </c>
      <c r="DV81" s="94" t="s">
        <v>387</v>
      </c>
      <c r="DW81" s="95">
        <v>161234437</v>
      </c>
      <c r="DX81" s="95">
        <v>157069328</v>
      </c>
      <c r="DY81" s="95">
        <v>4165109</v>
      </c>
      <c r="DZ81" s="95">
        <v>93519869</v>
      </c>
      <c r="EA81" s="95">
        <f t="shared" si="89"/>
        <v>161234.43700000001</v>
      </c>
      <c r="EB81" s="95">
        <f t="shared" si="90"/>
        <v>157069.32800000001</v>
      </c>
      <c r="EC81" s="95">
        <f t="shared" si="91"/>
        <v>4165.1090000000004</v>
      </c>
      <c r="ED81" s="95">
        <f t="shared" si="92"/>
        <v>93519.869000000006</v>
      </c>
      <c r="EH81" s="444" t="s">
        <v>600</v>
      </c>
      <c r="EI81" s="444">
        <v>421061</v>
      </c>
      <c r="EJ81" s="450">
        <f t="shared" si="93"/>
        <v>421.06099999999998</v>
      </c>
      <c r="EN81" s="444" t="s">
        <v>594</v>
      </c>
      <c r="EO81" s="450">
        <v>1675972</v>
      </c>
      <c r="EP81" s="450">
        <v>1507825</v>
      </c>
      <c r="EQ81" s="450">
        <v>168147</v>
      </c>
      <c r="ER81" s="450">
        <v>1507825</v>
      </c>
      <c r="ES81" s="746">
        <f t="shared" si="94"/>
        <v>1675.972</v>
      </c>
      <c r="ET81" s="746">
        <f t="shared" si="95"/>
        <v>1507.825</v>
      </c>
      <c r="EU81" s="746">
        <f t="shared" si="96"/>
        <v>168.14699999999999</v>
      </c>
      <c r="EV81" s="746">
        <f t="shared" si="97"/>
        <v>1507.825</v>
      </c>
      <c r="EZ81" s="780" t="s">
        <v>553</v>
      </c>
      <c r="FA81" s="781" t="s">
        <v>399</v>
      </c>
      <c r="FB81" s="444">
        <v>0</v>
      </c>
      <c r="FC81" s="450">
        <f t="shared" si="98"/>
        <v>0</v>
      </c>
      <c r="FG81" s="785" t="s">
        <v>553</v>
      </c>
      <c r="FH81" s="784" t="s">
        <v>594</v>
      </c>
      <c r="FI81" s="782">
        <v>1675972</v>
      </c>
      <c r="FJ81" s="783">
        <v>1675972</v>
      </c>
      <c r="FK81" s="783">
        <v>0</v>
      </c>
      <c r="FL81" s="783">
        <v>1675972</v>
      </c>
      <c r="FM81" s="450">
        <f t="shared" si="99"/>
        <v>1675.972</v>
      </c>
      <c r="FN81" s="450">
        <f t="shared" si="100"/>
        <v>1675.972</v>
      </c>
      <c r="FO81" s="450">
        <f t="shared" si="101"/>
        <v>0</v>
      </c>
      <c r="FP81" s="450">
        <f t="shared" si="102"/>
        <v>1675.972</v>
      </c>
      <c r="FT81" s="451" t="s">
        <v>355</v>
      </c>
      <c r="FU81" s="94" t="s">
        <v>395</v>
      </c>
      <c r="FV81" s="95">
        <v>491738</v>
      </c>
      <c r="FW81" s="95">
        <v>1791738</v>
      </c>
      <c r="FX81" s="95">
        <v>3583338</v>
      </c>
      <c r="FY81" s="450">
        <f t="shared" si="103"/>
        <v>491.738</v>
      </c>
      <c r="FZ81" s="450">
        <f t="shared" si="104"/>
        <v>1791.7380000000001</v>
      </c>
      <c r="GA81" s="450">
        <f t="shared" si="105"/>
        <v>3583.3380000000002</v>
      </c>
      <c r="GG81" s="817" t="s">
        <v>553</v>
      </c>
      <c r="GH81" s="818" t="s">
        <v>594</v>
      </c>
      <c r="GI81" s="819">
        <v>2007280</v>
      </c>
      <c r="GJ81" s="819">
        <v>1675972</v>
      </c>
      <c r="GK81" s="819">
        <v>331308</v>
      </c>
      <c r="GL81" s="819">
        <v>1675972</v>
      </c>
      <c r="GM81" s="819">
        <v>0</v>
      </c>
      <c r="GN81" s="450">
        <f t="shared" si="106"/>
        <v>2007.28</v>
      </c>
      <c r="GO81" s="450">
        <f t="shared" si="107"/>
        <v>1675.972</v>
      </c>
      <c r="GP81" s="450">
        <f t="shared" si="108"/>
        <v>331.30799999999999</v>
      </c>
      <c r="GQ81" s="450">
        <f t="shared" si="109"/>
        <v>1675.972</v>
      </c>
      <c r="GR81" s="450">
        <f t="shared" si="110"/>
        <v>0</v>
      </c>
      <c r="GV81" s="841" t="s">
        <v>393</v>
      </c>
      <c r="GW81" s="840">
        <v>320326</v>
      </c>
      <c r="GX81" s="450">
        <f t="shared" si="111"/>
        <v>320.32600000000002</v>
      </c>
      <c r="HB81" s="843" t="s">
        <v>590</v>
      </c>
      <c r="HC81" s="819">
        <v>0</v>
      </c>
      <c r="HD81" s="819">
        <v>0</v>
      </c>
      <c r="HE81" s="819">
        <v>0</v>
      </c>
      <c r="HF81" s="819">
        <v>0</v>
      </c>
      <c r="HG81" s="450">
        <f t="shared" si="112"/>
        <v>0</v>
      </c>
      <c r="HH81" s="450">
        <f t="shared" si="113"/>
        <v>0</v>
      </c>
      <c r="HI81" s="450">
        <f t="shared" si="114"/>
        <v>0</v>
      </c>
      <c r="HJ81" s="450">
        <f t="shared" si="115"/>
        <v>0</v>
      </c>
      <c r="HK81" s="450">
        <f t="shared" si="116"/>
        <v>0</v>
      </c>
    </row>
    <row r="82" spans="1:219" ht="15" customHeight="1" x14ac:dyDescent="0.3">
      <c r="A82" s="295" t="s">
        <v>553</v>
      </c>
      <c r="B82" s="296" t="s">
        <v>393</v>
      </c>
      <c r="C82" s="297">
        <v>10000000</v>
      </c>
      <c r="D82" s="298">
        <f t="shared" si="61"/>
        <v>10630</v>
      </c>
      <c r="E82" s="297">
        <v>249522</v>
      </c>
      <c r="F82" s="297">
        <f t="shared" si="62"/>
        <v>265.24188599999997</v>
      </c>
      <c r="J82" s="299" t="s">
        <v>553</v>
      </c>
      <c r="K82" s="300" t="s">
        <v>605</v>
      </c>
      <c r="L82" s="301">
        <v>0</v>
      </c>
      <c r="M82" s="301">
        <f t="shared" si="63"/>
        <v>0</v>
      </c>
      <c r="Q82" s="299" t="s">
        <v>553</v>
      </c>
      <c r="R82" s="300" t="s">
        <v>392</v>
      </c>
      <c r="S82" s="301">
        <v>66282000</v>
      </c>
      <c r="T82" s="301">
        <v>10930292</v>
      </c>
      <c r="U82" s="301">
        <f t="shared" si="64"/>
        <v>70457.766000000003</v>
      </c>
      <c r="V82" s="301">
        <f t="shared" si="65"/>
        <v>11618.900395999999</v>
      </c>
      <c r="Z82" s="296" t="s">
        <v>398</v>
      </c>
      <c r="AA82" s="297">
        <v>102858</v>
      </c>
      <c r="AB82" s="297">
        <f t="shared" si="66"/>
        <v>109.338054</v>
      </c>
      <c r="AF82" s="296" t="s">
        <v>391</v>
      </c>
      <c r="AG82" s="297">
        <v>27000000</v>
      </c>
      <c r="AH82" s="297">
        <f t="shared" si="60"/>
        <v>28701</v>
      </c>
      <c r="AI82" s="297">
        <v>2008552</v>
      </c>
      <c r="AL82" s="450"/>
      <c r="AN82" s="447" t="s">
        <v>553</v>
      </c>
      <c r="AO82" s="448" t="s">
        <v>597</v>
      </c>
      <c r="AP82" s="449">
        <v>947075</v>
      </c>
      <c r="AQ82" s="449">
        <f t="shared" si="67"/>
        <v>1006.740725</v>
      </c>
      <c r="AU82" s="447" t="s">
        <v>553</v>
      </c>
      <c r="AV82" s="448" t="s">
        <v>391</v>
      </c>
      <c r="AW82" s="449">
        <v>17225000</v>
      </c>
      <c r="AX82" s="449">
        <v>12611358</v>
      </c>
      <c r="AY82" s="449">
        <v>4613642</v>
      </c>
      <c r="AZ82" s="450">
        <f t="shared" si="68"/>
        <v>18310.174999999999</v>
      </c>
      <c r="BA82" s="450">
        <f t="shared" si="69"/>
        <v>13405.873554</v>
      </c>
      <c r="BB82" s="450">
        <f t="shared" si="70"/>
        <v>4904.3014459999995</v>
      </c>
      <c r="BF82" s="447" t="s">
        <v>355</v>
      </c>
      <c r="BG82" s="448" t="s">
        <v>403</v>
      </c>
      <c r="BH82" s="449">
        <v>54066903</v>
      </c>
      <c r="BI82" s="450">
        <f t="shared" si="71"/>
        <v>54066.902999999998</v>
      </c>
      <c r="BM82" s="451" t="s">
        <v>553</v>
      </c>
      <c r="BN82" s="94" t="s">
        <v>390</v>
      </c>
      <c r="BO82" s="95">
        <v>0</v>
      </c>
      <c r="BP82" s="95">
        <v>1816222</v>
      </c>
      <c r="BQ82" s="95">
        <v>1508511</v>
      </c>
      <c r="BR82" s="95">
        <v>307711</v>
      </c>
      <c r="BS82" s="95">
        <v>359650</v>
      </c>
      <c r="BT82" s="450">
        <f t="shared" si="72"/>
        <v>1816.222</v>
      </c>
      <c r="BU82" s="450">
        <f t="shared" si="73"/>
        <v>1508.511</v>
      </c>
      <c r="BV82" s="450">
        <f t="shared" si="74"/>
        <v>307.71100000000001</v>
      </c>
      <c r="BW82" s="450">
        <f t="shared" si="75"/>
        <v>359.65</v>
      </c>
      <c r="CA82" s="94" t="s">
        <v>597</v>
      </c>
      <c r="CB82" s="450">
        <v>544458</v>
      </c>
      <c r="CC82" s="450">
        <f t="shared" si="76"/>
        <v>544.45799999999997</v>
      </c>
      <c r="CG82" s="448" t="s">
        <v>389</v>
      </c>
      <c r="CH82" s="449">
        <v>0</v>
      </c>
      <c r="CI82" s="449">
        <v>11502000</v>
      </c>
      <c r="CJ82" s="449">
        <v>-11502000</v>
      </c>
      <c r="CK82" s="449">
        <v>8095905</v>
      </c>
      <c r="CL82" s="449">
        <v>3406095</v>
      </c>
      <c r="CM82" s="449">
        <v>4445571</v>
      </c>
      <c r="CN82" s="449">
        <f t="shared" si="77"/>
        <v>11502</v>
      </c>
      <c r="CO82" s="449">
        <f t="shared" si="78"/>
        <v>8095.9049999999997</v>
      </c>
      <c r="CP82" s="449">
        <f t="shared" si="79"/>
        <v>3406.0949999999998</v>
      </c>
      <c r="CQ82" s="449">
        <f t="shared" si="80"/>
        <v>4445.5709999999999</v>
      </c>
      <c r="CU82" s="448" t="s">
        <v>600</v>
      </c>
      <c r="CV82" s="449">
        <v>0</v>
      </c>
      <c r="CW82" s="449">
        <v>421061</v>
      </c>
      <c r="CX82" s="450">
        <f t="shared" si="81"/>
        <v>0</v>
      </c>
      <c r="CY82" s="450">
        <f t="shared" si="82"/>
        <v>421.06099999999998</v>
      </c>
      <c r="DB82" s="602" t="s">
        <v>389</v>
      </c>
      <c r="DC82" s="603">
        <v>11502000</v>
      </c>
      <c r="DD82" s="603">
        <v>9076479</v>
      </c>
      <c r="DE82" s="603">
        <v>2425521</v>
      </c>
      <c r="DF82" s="603">
        <v>6041187</v>
      </c>
      <c r="DG82" s="604">
        <f t="shared" si="83"/>
        <v>11502</v>
      </c>
      <c r="DH82" s="604">
        <f t="shared" si="84"/>
        <v>9076.4789999999994</v>
      </c>
      <c r="DI82" s="604">
        <f t="shared" si="85"/>
        <v>2425.5210000000002</v>
      </c>
      <c r="DJ82" s="604">
        <f t="shared" si="86"/>
        <v>6041.1869999999999</v>
      </c>
      <c r="DN82" s="94" t="s">
        <v>601</v>
      </c>
      <c r="DO82" s="94">
        <v>25122485</v>
      </c>
      <c r="DP82" s="94">
        <v>13237272</v>
      </c>
      <c r="DQ82" s="666">
        <f t="shared" si="87"/>
        <v>25122.485000000001</v>
      </c>
      <c r="DR82" s="666">
        <f t="shared" si="88"/>
        <v>13237.272000000001</v>
      </c>
      <c r="DV82" s="94" t="s">
        <v>388</v>
      </c>
      <c r="DW82" s="95">
        <v>9375000</v>
      </c>
      <c r="DX82" s="95">
        <v>9375000</v>
      </c>
      <c r="DY82" s="95">
        <v>0</v>
      </c>
      <c r="DZ82" s="95">
        <v>6026300</v>
      </c>
      <c r="EA82" s="95">
        <f t="shared" si="89"/>
        <v>9375</v>
      </c>
      <c r="EB82" s="95">
        <f t="shared" si="90"/>
        <v>9375</v>
      </c>
      <c r="EC82" s="95">
        <f t="shared" si="91"/>
        <v>0</v>
      </c>
      <c r="ED82" s="95">
        <f t="shared" si="92"/>
        <v>6026.3</v>
      </c>
      <c r="EH82" s="444" t="s">
        <v>397</v>
      </c>
      <c r="EI82" s="444">
        <v>150458</v>
      </c>
      <c r="EJ82" s="450">
        <f t="shared" si="93"/>
        <v>150.458</v>
      </c>
      <c r="EN82" s="444" t="s">
        <v>385</v>
      </c>
      <c r="EO82" s="450">
        <v>7403819</v>
      </c>
      <c r="EP82" s="450">
        <v>7403819</v>
      </c>
      <c r="EQ82" s="450">
        <v>0</v>
      </c>
      <c r="ER82" s="450">
        <v>7403819</v>
      </c>
      <c r="ES82" s="746">
        <f t="shared" si="94"/>
        <v>7403.8190000000004</v>
      </c>
      <c r="ET82" s="746">
        <f t="shared" si="95"/>
        <v>7403.8190000000004</v>
      </c>
      <c r="EU82" s="746">
        <f t="shared" si="96"/>
        <v>0</v>
      </c>
      <c r="EV82" s="746">
        <f t="shared" si="97"/>
        <v>7403.8190000000004</v>
      </c>
      <c r="EZ82" s="780" t="s">
        <v>355</v>
      </c>
      <c r="FA82" s="781" t="s">
        <v>400</v>
      </c>
      <c r="FB82" s="444">
        <v>40505150</v>
      </c>
      <c r="FC82" s="450">
        <f t="shared" si="98"/>
        <v>40505.15</v>
      </c>
      <c r="FG82" s="785" t="s">
        <v>553</v>
      </c>
      <c r="FH82" s="784" t="s">
        <v>385</v>
      </c>
      <c r="FI82" s="782">
        <v>7403819</v>
      </c>
      <c r="FJ82" s="783">
        <v>7403819</v>
      </c>
      <c r="FK82" s="783">
        <v>0</v>
      </c>
      <c r="FL82" s="783">
        <v>7403819</v>
      </c>
      <c r="FM82" s="450">
        <f t="shared" si="99"/>
        <v>7403.8190000000004</v>
      </c>
      <c r="FN82" s="450">
        <f t="shared" si="100"/>
        <v>7403.8190000000004</v>
      </c>
      <c r="FO82" s="450">
        <f t="shared" si="101"/>
        <v>0</v>
      </c>
      <c r="FP82" s="450">
        <f t="shared" si="102"/>
        <v>7403.8190000000004</v>
      </c>
      <c r="FT82" s="451" t="s">
        <v>553</v>
      </c>
      <c r="FU82" s="94" t="s">
        <v>597</v>
      </c>
      <c r="FV82" s="95">
        <v>803407</v>
      </c>
      <c r="FW82" s="95">
        <v>803407</v>
      </c>
      <c r="FX82" s="95">
        <v>3162277</v>
      </c>
      <c r="FY82" s="450">
        <f t="shared" si="103"/>
        <v>803.40700000000004</v>
      </c>
      <c r="FZ82" s="450">
        <f t="shared" si="104"/>
        <v>803.40700000000004</v>
      </c>
      <c r="GA82" s="450">
        <f t="shared" si="105"/>
        <v>3162.277</v>
      </c>
      <c r="GG82" s="817" t="s">
        <v>553</v>
      </c>
      <c r="GH82" s="818" t="s">
        <v>385</v>
      </c>
      <c r="GI82" s="819">
        <v>7851259</v>
      </c>
      <c r="GJ82" s="819">
        <v>7522819</v>
      </c>
      <c r="GK82" s="819">
        <v>328440</v>
      </c>
      <c r="GL82" s="819">
        <v>7403819</v>
      </c>
      <c r="GM82" s="819">
        <v>119000</v>
      </c>
      <c r="GN82" s="450">
        <f t="shared" si="106"/>
        <v>7851.259</v>
      </c>
      <c r="GO82" s="450">
        <f t="shared" si="107"/>
        <v>7522.8190000000004</v>
      </c>
      <c r="GP82" s="450">
        <f t="shared" si="108"/>
        <v>328.44</v>
      </c>
      <c r="GQ82" s="450">
        <f t="shared" si="109"/>
        <v>7403.8190000000004</v>
      </c>
      <c r="GR82" s="450">
        <f t="shared" si="110"/>
        <v>119</v>
      </c>
      <c r="GV82" s="841" t="s">
        <v>395</v>
      </c>
      <c r="GW82" s="840">
        <v>13902291</v>
      </c>
      <c r="GX82" s="450">
        <f t="shared" si="111"/>
        <v>13902.290999999999</v>
      </c>
      <c r="HB82" s="843" t="s">
        <v>591</v>
      </c>
      <c r="HC82" s="819">
        <v>10862243</v>
      </c>
      <c r="HD82" s="819">
        <v>10862243</v>
      </c>
      <c r="HE82" s="819">
        <v>0</v>
      </c>
      <c r="HF82" s="819">
        <v>10862243</v>
      </c>
      <c r="HG82" s="450">
        <f t="shared" si="112"/>
        <v>10862.243</v>
      </c>
      <c r="HH82" s="450">
        <f t="shared" si="113"/>
        <v>0</v>
      </c>
      <c r="HI82" s="450">
        <f t="shared" si="114"/>
        <v>10862.243</v>
      </c>
      <c r="HJ82" s="450">
        <f t="shared" si="115"/>
        <v>0</v>
      </c>
      <c r="HK82" s="450">
        <f t="shared" si="116"/>
        <v>10862.243</v>
      </c>
    </row>
    <row r="83" spans="1:219" ht="15" customHeight="1" x14ac:dyDescent="0.3">
      <c r="A83" s="295" t="s">
        <v>553</v>
      </c>
      <c r="B83" s="296" t="s">
        <v>394</v>
      </c>
      <c r="C83" s="297">
        <v>6100000</v>
      </c>
      <c r="D83" s="298">
        <f t="shared" si="61"/>
        <v>6484.2999999999993</v>
      </c>
      <c r="E83" s="297">
        <v>479808</v>
      </c>
      <c r="F83" s="297">
        <f t="shared" si="62"/>
        <v>510.03590399999996</v>
      </c>
      <c r="J83" s="299" t="s">
        <v>553</v>
      </c>
      <c r="K83" s="300" t="s">
        <v>494</v>
      </c>
      <c r="L83" s="301">
        <v>1041250</v>
      </c>
      <c r="M83" s="301">
        <f t="shared" si="63"/>
        <v>1106.8487499999999</v>
      </c>
      <c r="Q83" s="299" t="s">
        <v>553</v>
      </c>
      <c r="R83" s="300" t="s">
        <v>393</v>
      </c>
      <c r="S83" s="301">
        <v>10000000</v>
      </c>
      <c r="T83" s="301">
        <v>249522</v>
      </c>
      <c r="U83" s="301">
        <f t="shared" si="64"/>
        <v>10630</v>
      </c>
      <c r="V83" s="301">
        <f t="shared" si="65"/>
        <v>265.24188599999997</v>
      </c>
      <c r="Z83" s="296" t="s">
        <v>399</v>
      </c>
      <c r="AA83" s="297">
        <v>0</v>
      </c>
      <c r="AB83" s="297">
        <f t="shared" si="66"/>
        <v>0</v>
      </c>
      <c r="AF83" s="296" t="s">
        <v>392</v>
      </c>
      <c r="AG83" s="297">
        <v>66282000</v>
      </c>
      <c r="AH83" s="297">
        <f t="shared" si="60"/>
        <v>70457.766000000003</v>
      </c>
      <c r="AI83" s="297">
        <v>16395438</v>
      </c>
      <c r="AL83" s="450"/>
      <c r="AN83" s="447" t="s">
        <v>553</v>
      </c>
      <c r="AO83" s="448" t="s">
        <v>717</v>
      </c>
      <c r="AP83" s="449">
        <v>0</v>
      </c>
      <c r="AQ83" s="449">
        <f t="shared" si="67"/>
        <v>0</v>
      </c>
      <c r="AU83" s="447" t="s">
        <v>553</v>
      </c>
      <c r="AV83" s="448" t="s">
        <v>392</v>
      </c>
      <c r="AW83" s="449">
        <v>65581752</v>
      </c>
      <c r="AX83" s="449">
        <v>65581752</v>
      </c>
      <c r="AY83" s="449">
        <v>0</v>
      </c>
      <c r="AZ83" s="450">
        <f t="shared" si="68"/>
        <v>69713.402375999984</v>
      </c>
      <c r="BA83" s="450">
        <f t="shared" si="69"/>
        <v>69713.402375999984</v>
      </c>
      <c r="BB83" s="450">
        <f t="shared" si="70"/>
        <v>0</v>
      </c>
      <c r="BF83" s="447" t="s">
        <v>553</v>
      </c>
      <c r="BG83" s="448" t="s">
        <v>404</v>
      </c>
      <c r="BH83" s="449">
        <v>45659023</v>
      </c>
      <c r="BI83" s="450">
        <f t="shared" si="71"/>
        <v>45659.023000000001</v>
      </c>
      <c r="BM83" s="451" t="s">
        <v>553</v>
      </c>
      <c r="BN83" s="94" t="s">
        <v>391</v>
      </c>
      <c r="BO83" s="95">
        <v>0</v>
      </c>
      <c r="BP83" s="95">
        <v>21611358</v>
      </c>
      <c r="BQ83" s="95">
        <v>12611358</v>
      </c>
      <c r="BR83" s="95">
        <v>9000000</v>
      </c>
      <c r="BS83" s="95">
        <v>4416488</v>
      </c>
      <c r="BT83" s="450">
        <f t="shared" si="72"/>
        <v>21611.358</v>
      </c>
      <c r="BU83" s="450">
        <f t="shared" si="73"/>
        <v>12611.358</v>
      </c>
      <c r="BV83" s="450">
        <f t="shared" si="74"/>
        <v>9000</v>
      </c>
      <c r="BW83" s="450">
        <f t="shared" si="75"/>
        <v>4416.4880000000003</v>
      </c>
      <c r="CA83" s="94" t="s">
        <v>600</v>
      </c>
      <c r="CB83" s="450">
        <v>421061</v>
      </c>
      <c r="CC83" s="450">
        <f t="shared" si="76"/>
        <v>421.06099999999998</v>
      </c>
      <c r="CG83" s="448" t="s">
        <v>390</v>
      </c>
      <c r="CH83" s="449">
        <v>0</v>
      </c>
      <c r="CI83" s="449">
        <v>1516222</v>
      </c>
      <c r="CJ83" s="449">
        <v>-1516222</v>
      </c>
      <c r="CK83" s="449">
        <v>1484486</v>
      </c>
      <c r="CL83" s="449">
        <v>31736</v>
      </c>
      <c r="CM83" s="449">
        <v>485650</v>
      </c>
      <c r="CN83" s="449">
        <f t="shared" si="77"/>
        <v>1516.222</v>
      </c>
      <c r="CO83" s="449">
        <f t="shared" si="78"/>
        <v>1484.4860000000001</v>
      </c>
      <c r="CP83" s="449">
        <f t="shared" si="79"/>
        <v>31.736000000000001</v>
      </c>
      <c r="CQ83" s="449">
        <f t="shared" si="80"/>
        <v>485.65</v>
      </c>
      <c r="CU83" s="448" t="s">
        <v>397</v>
      </c>
      <c r="CV83" s="449">
        <v>147750</v>
      </c>
      <c r="CW83" s="449">
        <v>100150</v>
      </c>
      <c r="CX83" s="450">
        <f t="shared" si="81"/>
        <v>147.75</v>
      </c>
      <c r="CY83" s="450">
        <f t="shared" si="82"/>
        <v>100.15</v>
      </c>
      <c r="DB83" s="602" t="s">
        <v>390</v>
      </c>
      <c r="DC83" s="603">
        <v>2034027</v>
      </c>
      <c r="DD83" s="603">
        <v>2002291</v>
      </c>
      <c r="DE83" s="603">
        <v>31736</v>
      </c>
      <c r="DF83" s="603">
        <v>1659841</v>
      </c>
      <c r="DG83" s="604">
        <f t="shared" si="83"/>
        <v>2034.027</v>
      </c>
      <c r="DH83" s="604">
        <f t="shared" si="84"/>
        <v>2002.2909999999999</v>
      </c>
      <c r="DI83" s="604">
        <f t="shared" si="85"/>
        <v>31.736000000000001</v>
      </c>
      <c r="DJ83" s="604">
        <f t="shared" si="86"/>
        <v>1659.8409999999999</v>
      </c>
      <c r="DN83" s="94" t="s">
        <v>602</v>
      </c>
      <c r="DO83" s="94">
        <v>2098000</v>
      </c>
      <c r="DP83" s="94">
        <v>4607000</v>
      </c>
      <c r="DQ83" s="666">
        <f t="shared" si="87"/>
        <v>2098</v>
      </c>
      <c r="DR83" s="666">
        <f t="shared" si="88"/>
        <v>4607</v>
      </c>
      <c r="DV83" s="94" t="s">
        <v>389</v>
      </c>
      <c r="DW83" s="95">
        <v>14691479</v>
      </c>
      <c r="DX83" s="95">
        <v>14691479</v>
      </c>
      <c r="DY83" s="95">
        <v>0</v>
      </c>
      <c r="DZ83" s="95">
        <v>6277703</v>
      </c>
      <c r="EA83" s="95">
        <f t="shared" si="89"/>
        <v>14691.478999999999</v>
      </c>
      <c r="EB83" s="95">
        <f t="shared" si="90"/>
        <v>14691.478999999999</v>
      </c>
      <c r="EC83" s="95">
        <f t="shared" si="91"/>
        <v>0</v>
      </c>
      <c r="ED83" s="95">
        <f t="shared" si="92"/>
        <v>6277.7030000000004</v>
      </c>
      <c r="EH83" s="444" t="s">
        <v>398</v>
      </c>
      <c r="EI83" s="444">
        <v>102858</v>
      </c>
      <c r="EJ83" s="450">
        <f t="shared" si="93"/>
        <v>102.858</v>
      </c>
      <c r="EN83" s="444" t="s">
        <v>386</v>
      </c>
      <c r="EO83" s="450">
        <v>4354061</v>
      </c>
      <c r="EP83" s="450">
        <v>4354061</v>
      </c>
      <c r="EQ83" s="450">
        <v>0</v>
      </c>
      <c r="ER83" s="450">
        <v>4354061</v>
      </c>
      <c r="ES83" s="746">
        <f t="shared" si="94"/>
        <v>4354.0609999999997</v>
      </c>
      <c r="ET83" s="746">
        <f t="shared" si="95"/>
        <v>4354.0609999999997</v>
      </c>
      <c r="EU83" s="746">
        <f t="shared" si="96"/>
        <v>0</v>
      </c>
      <c r="EV83" s="746">
        <f t="shared" si="97"/>
        <v>4354.0609999999997</v>
      </c>
      <c r="EZ83" s="780" t="s">
        <v>553</v>
      </c>
      <c r="FA83" s="781" t="s">
        <v>401</v>
      </c>
      <c r="FB83" s="444">
        <v>8630449</v>
      </c>
      <c r="FC83" s="450">
        <f t="shared" si="98"/>
        <v>8630.4490000000005</v>
      </c>
      <c r="FG83" s="785" t="s">
        <v>553</v>
      </c>
      <c r="FH83" s="784" t="s">
        <v>386</v>
      </c>
      <c r="FI83" s="782">
        <v>4354061</v>
      </c>
      <c r="FJ83" s="783">
        <v>4354061</v>
      </c>
      <c r="FK83" s="783">
        <v>0</v>
      </c>
      <c r="FL83" s="783">
        <v>4354061</v>
      </c>
      <c r="FM83" s="450">
        <f t="shared" si="99"/>
        <v>4354.0609999999997</v>
      </c>
      <c r="FN83" s="450">
        <f t="shared" si="100"/>
        <v>4354.0609999999997</v>
      </c>
      <c r="FO83" s="450">
        <f t="shared" si="101"/>
        <v>0</v>
      </c>
      <c r="FP83" s="450">
        <f t="shared" si="102"/>
        <v>4354.0609999999997</v>
      </c>
      <c r="FT83" s="451" t="s">
        <v>553</v>
      </c>
      <c r="FU83" s="94" t="s">
        <v>598</v>
      </c>
      <c r="FV83" s="95">
        <v>0</v>
      </c>
      <c r="FW83" s="95">
        <v>0</v>
      </c>
      <c r="FX83" s="95">
        <v>0</v>
      </c>
      <c r="FY83" s="450">
        <f t="shared" si="103"/>
        <v>0</v>
      </c>
      <c r="FZ83" s="450">
        <f t="shared" si="104"/>
        <v>0</v>
      </c>
      <c r="GA83" s="450">
        <f t="shared" si="105"/>
        <v>0</v>
      </c>
      <c r="GG83" s="817" t="s">
        <v>553</v>
      </c>
      <c r="GH83" s="818" t="s">
        <v>386</v>
      </c>
      <c r="GI83" s="819">
        <v>4354061</v>
      </c>
      <c r="GJ83" s="819">
        <v>4354061</v>
      </c>
      <c r="GK83" s="819">
        <v>0</v>
      </c>
      <c r="GL83" s="819">
        <v>4354061</v>
      </c>
      <c r="GM83" s="819">
        <v>0</v>
      </c>
      <c r="GN83" s="450">
        <f t="shared" si="106"/>
        <v>4354.0609999999997</v>
      </c>
      <c r="GO83" s="450">
        <f t="shared" si="107"/>
        <v>4354.0609999999997</v>
      </c>
      <c r="GP83" s="450">
        <f t="shared" si="108"/>
        <v>0</v>
      </c>
      <c r="GQ83" s="450">
        <f t="shared" si="109"/>
        <v>4354.0609999999997</v>
      </c>
      <c r="GR83" s="450">
        <f t="shared" si="110"/>
        <v>0</v>
      </c>
      <c r="GV83" s="841" t="s">
        <v>596</v>
      </c>
      <c r="GW83" s="840">
        <v>12599601</v>
      </c>
      <c r="GX83" s="450">
        <f t="shared" si="111"/>
        <v>12599.601000000001</v>
      </c>
      <c r="HB83" s="843" t="s">
        <v>592</v>
      </c>
      <c r="HC83" s="819">
        <v>407374</v>
      </c>
      <c r="HD83" s="819">
        <v>407374</v>
      </c>
      <c r="HE83" s="819">
        <v>0</v>
      </c>
      <c r="HF83" s="819">
        <v>407374</v>
      </c>
      <c r="HG83" s="450">
        <f t="shared" si="112"/>
        <v>407.37400000000002</v>
      </c>
      <c r="HH83" s="450">
        <f t="shared" si="113"/>
        <v>0</v>
      </c>
      <c r="HI83" s="450">
        <f t="shared" si="114"/>
        <v>407.37400000000002</v>
      </c>
      <c r="HJ83" s="450">
        <f t="shared" si="115"/>
        <v>0</v>
      </c>
      <c r="HK83" s="450">
        <f t="shared" si="116"/>
        <v>407.37400000000002</v>
      </c>
    </row>
    <row r="84" spans="1:219" ht="15" customHeight="1" x14ac:dyDescent="0.3">
      <c r="A84" s="295" t="s">
        <v>553</v>
      </c>
      <c r="B84" s="296" t="s">
        <v>595</v>
      </c>
      <c r="C84" s="297">
        <v>36000000</v>
      </c>
      <c r="D84" s="298">
        <f t="shared" si="61"/>
        <v>38268</v>
      </c>
      <c r="E84" s="297">
        <v>2885929</v>
      </c>
      <c r="F84" s="297">
        <f t="shared" si="62"/>
        <v>3067.7425269999999</v>
      </c>
      <c r="J84" s="299" t="s">
        <v>355</v>
      </c>
      <c r="K84" s="300" t="s">
        <v>606</v>
      </c>
      <c r="L84" s="301">
        <v>0</v>
      </c>
      <c r="M84" s="301">
        <f t="shared" si="63"/>
        <v>0</v>
      </c>
      <c r="Q84" s="299" t="s">
        <v>553</v>
      </c>
      <c r="R84" s="300" t="s">
        <v>394</v>
      </c>
      <c r="S84" s="301">
        <v>6100000</v>
      </c>
      <c r="T84" s="301">
        <v>959616</v>
      </c>
      <c r="U84" s="301">
        <f t="shared" si="64"/>
        <v>6484.2999999999993</v>
      </c>
      <c r="V84" s="301">
        <f t="shared" si="65"/>
        <v>1020.0718079999999</v>
      </c>
      <c r="Z84" s="296" t="s">
        <v>400</v>
      </c>
      <c r="AA84" s="297">
        <v>24340126</v>
      </c>
      <c r="AB84" s="297">
        <f t="shared" si="66"/>
        <v>25873.553937999997</v>
      </c>
      <c r="AF84" s="296" t="s">
        <v>393</v>
      </c>
      <c r="AG84" s="297">
        <v>10000000</v>
      </c>
      <c r="AH84" s="297">
        <f t="shared" si="60"/>
        <v>10630</v>
      </c>
      <c r="AI84" s="297">
        <v>374260</v>
      </c>
      <c r="AL84" s="450"/>
      <c r="AN84" s="447" t="s">
        <v>553</v>
      </c>
      <c r="AO84" s="448" t="s">
        <v>600</v>
      </c>
      <c r="AP84" s="449">
        <v>421061</v>
      </c>
      <c r="AQ84" s="449">
        <f t="shared" si="67"/>
        <v>447.58784299999996</v>
      </c>
      <c r="AU84" s="447" t="s">
        <v>553</v>
      </c>
      <c r="AV84" s="448" t="s">
        <v>393</v>
      </c>
      <c r="AW84" s="449">
        <v>10000000</v>
      </c>
      <c r="AX84" s="449">
        <v>1451832</v>
      </c>
      <c r="AY84" s="449">
        <v>8548168</v>
      </c>
      <c r="AZ84" s="450">
        <f t="shared" si="68"/>
        <v>10630</v>
      </c>
      <c r="BA84" s="450">
        <f t="shared" si="69"/>
        <v>1543.2974160000001</v>
      </c>
      <c r="BB84" s="450">
        <f t="shared" si="70"/>
        <v>9086.7025839999988</v>
      </c>
      <c r="BF84" s="447" t="s">
        <v>553</v>
      </c>
      <c r="BG84" s="448" t="s">
        <v>604</v>
      </c>
      <c r="BH84" s="449">
        <v>2041190</v>
      </c>
      <c r="BI84" s="450">
        <f t="shared" si="71"/>
        <v>2041.19</v>
      </c>
      <c r="BM84" s="451" t="s">
        <v>553</v>
      </c>
      <c r="BN84" s="94" t="s">
        <v>392</v>
      </c>
      <c r="BO84" s="95">
        <v>0</v>
      </c>
      <c r="BP84" s="95">
        <v>65581752</v>
      </c>
      <c r="BQ84" s="95">
        <v>65581752</v>
      </c>
      <c r="BR84" s="95">
        <v>0</v>
      </c>
      <c r="BS84" s="95">
        <v>27325730</v>
      </c>
      <c r="BT84" s="450">
        <f t="shared" si="72"/>
        <v>65581.751999999993</v>
      </c>
      <c r="BU84" s="450">
        <f t="shared" si="73"/>
        <v>65581.751999999993</v>
      </c>
      <c r="BV84" s="450">
        <f t="shared" si="74"/>
        <v>0</v>
      </c>
      <c r="BW84" s="450">
        <f t="shared" si="75"/>
        <v>27325.73</v>
      </c>
      <c r="CA84" s="94" t="s">
        <v>397</v>
      </c>
      <c r="CB84" s="450">
        <v>1058348</v>
      </c>
      <c r="CC84" s="450">
        <f t="shared" si="76"/>
        <v>1058.348</v>
      </c>
      <c r="CG84" s="448" t="s">
        <v>391</v>
      </c>
      <c r="CH84" s="449">
        <v>0</v>
      </c>
      <c r="CI84" s="449">
        <v>21611358</v>
      </c>
      <c r="CJ84" s="449">
        <v>-21611358</v>
      </c>
      <c r="CK84" s="449">
        <v>21611358</v>
      </c>
      <c r="CL84" s="449">
        <v>0</v>
      </c>
      <c r="CM84" s="449">
        <v>6187083</v>
      </c>
      <c r="CN84" s="449">
        <f t="shared" si="77"/>
        <v>21611.358</v>
      </c>
      <c r="CO84" s="449">
        <f t="shared" si="78"/>
        <v>21611.358</v>
      </c>
      <c r="CP84" s="449">
        <f t="shared" si="79"/>
        <v>0</v>
      </c>
      <c r="CQ84" s="449">
        <f t="shared" si="80"/>
        <v>6187.0829999999996</v>
      </c>
      <c r="CU84" s="448" t="s">
        <v>398</v>
      </c>
      <c r="CV84" s="449">
        <v>100150</v>
      </c>
      <c r="CW84" s="449">
        <v>100150</v>
      </c>
      <c r="CX84" s="450">
        <f t="shared" si="81"/>
        <v>100.15</v>
      </c>
      <c r="CY84" s="450">
        <f t="shared" si="82"/>
        <v>100.15</v>
      </c>
      <c r="DB84" s="602" t="s">
        <v>391</v>
      </c>
      <c r="DC84" s="603">
        <v>21651358</v>
      </c>
      <c r="DD84" s="603">
        <v>21651358</v>
      </c>
      <c r="DE84" s="603">
        <v>0</v>
      </c>
      <c r="DF84" s="603">
        <v>6707270</v>
      </c>
      <c r="DG84" s="604">
        <f t="shared" si="83"/>
        <v>21651.358</v>
      </c>
      <c r="DH84" s="604">
        <f t="shared" si="84"/>
        <v>21651.358</v>
      </c>
      <c r="DI84" s="604">
        <f t="shared" si="85"/>
        <v>0</v>
      </c>
      <c r="DJ84" s="604">
        <f t="shared" si="86"/>
        <v>6707.27</v>
      </c>
      <c r="DN84" s="94" t="s">
        <v>603</v>
      </c>
      <c r="DO84" s="94">
        <v>72009</v>
      </c>
      <c r="DP84" s="94">
        <v>72009</v>
      </c>
      <c r="DQ84" s="666">
        <f t="shared" si="87"/>
        <v>72.009</v>
      </c>
      <c r="DR84" s="666">
        <f t="shared" si="88"/>
        <v>72.009</v>
      </c>
      <c r="DV84" s="94" t="s">
        <v>390</v>
      </c>
      <c r="DW84" s="95">
        <v>2002291</v>
      </c>
      <c r="DX84" s="95">
        <v>2002291</v>
      </c>
      <c r="DY84" s="95">
        <v>0</v>
      </c>
      <c r="DZ84" s="95">
        <v>1974341</v>
      </c>
      <c r="EA84" s="95">
        <f t="shared" si="89"/>
        <v>2002.2909999999999</v>
      </c>
      <c r="EB84" s="95">
        <f t="shared" si="90"/>
        <v>2002.2909999999999</v>
      </c>
      <c r="EC84" s="95">
        <f t="shared" si="91"/>
        <v>0</v>
      </c>
      <c r="ED84" s="95">
        <f t="shared" si="92"/>
        <v>1974.3409999999999</v>
      </c>
      <c r="EH84" s="444" t="s">
        <v>399</v>
      </c>
      <c r="EI84" s="444">
        <v>47600</v>
      </c>
      <c r="EJ84" s="450">
        <f t="shared" si="93"/>
        <v>47.6</v>
      </c>
      <c r="EN84" s="444" t="s">
        <v>387</v>
      </c>
      <c r="EO84" s="450">
        <v>147292680</v>
      </c>
      <c r="EP84" s="450">
        <v>142887302</v>
      </c>
      <c r="EQ84" s="450">
        <v>4405378</v>
      </c>
      <c r="ER84" s="450">
        <v>106249600</v>
      </c>
      <c r="ES84" s="746">
        <f t="shared" si="94"/>
        <v>147292.68</v>
      </c>
      <c r="ET84" s="746">
        <f t="shared" si="95"/>
        <v>142887.302</v>
      </c>
      <c r="EU84" s="746">
        <f t="shared" si="96"/>
        <v>4405.3779999999997</v>
      </c>
      <c r="EV84" s="746">
        <f t="shared" si="97"/>
        <v>106249.60000000001</v>
      </c>
      <c r="EZ84" s="780" t="s">
        <v>553</v>
      </c>
      <c r="FA84" s="781" t="s">
        <v>601</v>
      </c>
      <c r="FB84" s="444">
        <v>19991321</v>
      </c>
      <c r="FC84" s="450">
        <f t="shared" si="98"/>
        <v>19991.321</v>
      </c>
      <c r="FG84" s="785" t="s">
        <v>355</v>
      </c>
      <c r="FH84" s="784" t="s">
        <v>387</v>
      </c>
      <c r="FI84" s="782">
        <v>147766664</v>
      </c>
      <c r="FJ84" s="783">
        <v>143760546</v>
      </c>
      <c r="FK84" s="783">
        <v>4006118</v>
      </c>
      <c r="FL84" s="783">
        <v>117949872</v>
      </c>
      <c r="FM84" s="450">
        <f t="shared" si="99"/>
        <v>147766.66399999999</v>
      </c>
      <c r="FN84" s="450">
        <f t="shared" si="100"/>
        <v>143760.546</v>
      </c>
      <c r="FO84" s="450">
        <f t="shared" si="101"/>
        <v>4006.1179999999999</v>
      </c>
      <c r="FP84" s="450">
        <f t="shared" si="102"/>
        <v>117949.872</v>
      </c>
      <c r="FT84" s="451" t="s">
        <v>553</v>
      </c>
      <c r="FU84" s="94" t="s">
        <v>600</v>
      </c>
      <c r="FV84" s="95">
        <v>-311669</v>
      </c>
      <c r="FW84" s="95">
        <v>988331</v>
      </c>
      <c r="FX84" s="95">
        <v>421061</v>
      </c>
      <c r="FY84" s="450">
        <f t="shared" si="103"/>
        <v>-311.66899999999998</v>
      </c>
      <c r="FZ84" s="450">
        <f t="shared" si="104"/>
        <v>988.33100000000002</v>
      </c>
      <c r="GA84" s="450">
        <f t="shared" si="105"/>
        <v>421.06099999999998</v>
      </c>
      <c r="GG84" s="817" t="s">
        <v>355</v>
      </c>
      <c r="GH84" s="818" t="s">
        <v>387</v>
      </c>
      <c r="GI84" s="819">
        <v>143472944</v>
      </c>
      <c r="GJ84" s="819">
        <v>143122204</v>
      </c>
      <c r="GK84" s="819">
        <v>350740</v>
      </c>
      <c r="GL84" s="819">
        <v>128164167</v>
      </c>
      <c r="GM84" s="819">
        <v>14958037</v>
      </c>
      <c r="GN84" s="450">
        <f t="shared" si="106"/>
        <v>143472.94399999999</v>
      </c>
      <c r="GO84" s="450">
        <f t="shared" si="107"/>
        <v>143122.204</v>
      </c>
      <c r="GP84" s="450">
        <f t="shared" si="108"/>
        <v>350.74</v>
      </c>
      <c r="GQ84" s="450">
        <f t="shared" si="109"/>
        <v>128164.167</v>
      </c>
      <c r="GR84" s="450">
        <f t="shared" si="110"/>
        <v>14958.037</v>
      </c>
      <c r="GV84" s="841" t="s">
        <v>597</v>
      </c>
      <c r="GW84" s="840">
        <v>1302690</v>
      </c>
      <c r="GX84" s="450">
        <f t="shared" si="111"/>
        <v>1302.69</v>
      </c>
      <c r="HB84" s="843" t="s">
        <v>593</v>
      </c>
      <c r="HC84" s="819">
        <v>4506089</v>
      </c>
      <c r="HD84" s="819">
        <v>4506089</v>
      </c>
      <c r="HE84" s="819">
        <v>0</v>
      </c>
      <c r="HF84" s="819">
        <v>3946089</v>
      </c>
      <c r="HG84" s="450">
        <f t="shared" si="112"/>
        <v>4506.0889999999999</v>
      </c>
      <c r="HH84" s="450">
        <f t="shared" si="113"/>
        <v>0</v>
      </c>
      <c r="HI84" s="450">
        <f t="shared" si="114"/>
        <v>4506.0889999999999</v>
      </c>
      <c r="HJ84" s="450">
        <f t="shared" si="115"/>
        <v>0</v>
      </c>
      <c r="HK84" s="450">
        <f t="shared" si="116"/>
        <v>3946.0889999999999</v>
      </c>
    </row>
    <row r="85" spans="1:219" ht="15" customHeight="1" x14ac:dyDescent="0.3">
      <c r="A85" s="295" t="s">
        <v>355</v>
      </c>
      <c r="B85" s="296" t="s">
        <v>395</v>
      </c>
      <c r="C85" s="297">
        <v>20900000</v>
      </c>
      <c r="D85" s="298">
        <f t="shared" si="61"/>
        <v>22216.699999999997</v>
      </c>
      <c r="E85" s="297">
        <v>0</v>
      </c>
      <c r="F85" s="297">
        <f t="shared" si="62"/>
        <v>0</v>
      </c>
      <c r="J85" s="299" t="s">
        <v>553</v>
      </c>
      <c r="K85" s="300" t="s">
        <v>405</v>
      </c>
      <c r="L85" s="301">
        <v>0</v>
      </c>
      <c r="M85" s="301">
        <f t="shared" si="63"/>
        <v>0</v>
      </c>
      <c r="Q85" s="299" t="s">
        <v>553</v>
      </c>
      <c r="R85" s="300" t="s">
        <v>595</v>
      </c>
      <c r="S85" s="301">
        <v>36000000</v>
      </c>
      <c r="T85" s="301">
        <v>5771858</v>
      </c>
      <c r="U85" s="301">
        <f t="shared" si="64"/>
        <v>38268</v>
      </c>
      <c r="V85" s="301">
        <f t="shared" si="65"/>
        <v>6135.4850539999998</v>
      </c>
      <c r="Z85" s="296" t="s">
        <v>401</v>
      </c>
      <c r="AA85" s="297">
        <v>8040807</v>
      </c>
      <c r="AB85" s="297">
        <f t="shared" si="66"/>
        <v>8547.3778409999995</v>
      </c>
      <c r="AF85" s="296" t="s">
        <v>394</v>
      </c>
      <c r="AG85" s="297">
        <v>6100000</v>
      </c>
      <c r="AH85" s="297">
        <f t="shared" si="60"/>
        <v>6484.2999999999993</v>
      </c>
      <c r="AI85" s="297">
        <v>1439424</v>
      </c>
      <c r="AL85" s="450"/>
      <c r="AN85" s="447" t="s">
        <v>355</v>
      </c>
      <c r="AO85" s="448" t="s">
        <v>397</v>
      </c>
      <c r="AP85" s="449">
        <v>614437</v>
      </c>
      <c r="AQ85" s="449">
        <f t="shared" si="67"/>
        <v>653.14653099999998</v>
      </c>
      <c r="AU85" s="447" t="s">
        <v>553</v>
      </c>
      <c r="AV85" s="448" t="s">
        <v>394</v>
      </c>
      <c r="AW85" s="449">
        <v>6100000</v>
      </c>
      <c r="AX85" s="449">
        <v>4798080</v>
      </c>
      <c r="AY85" s="449">
        <v>1301920</v>
      </c>
      <c r="AZ85" s="450">
        <f t="shared" si="68"/>
        <v>6484.2999999999993</v>
      </c>
      <c r="BA85" s="450">
        <f t="shared" si="69"/>
        <v>5100.3590399999994</v>
      </c>
      <c r="BB85" s="450">
        <f t="shared" si="70"/>
        <v>1383.9409599999999</v>
      </c>
      <c r="BF85" s="447" t="s">
        <v>553</v>
      </c>
      <c r="BG85" s="448" t="s">
        <v>605</v>
      </c>
      <c r="BH85" s="449">
        <v>5325440</v>
      </c>
      <c r="BI85" s="450">
        <f t="shared" si="71"/>
        <v>5325.44</v>
      </c>
      <c r="BM85" s="451" t="s">
        <v>553</v>
      </c>
      <c r="BN85" s="94" t="s">
        <v>393</v>
      </c>
      <c r="BO85" s="95">
        <v>0</v>
      </c>
      <c r="BP85" s="95">
        <v>10000000</v>
      </c>
      <c r="BQ85" s="95">
        <v>1451832</v>
      </c>
      <c r="BR85" s="95">
        <v>8548168</v>
      </c>
      <c r="BS85" s="95">
        <v>498977</v>
      </c>
      <c r="BT85" s="450">
        <f t="shared" si="72"/>
        <v>10000</v>
      </c>
      <c r="BU85" s="450">
        <f t="shared" si="73"/>
        <v>1451.8320000000001</v>
      </c>
      <c r="BV85" s="450">
        <f t="shared" si="74"/>
        <v>8548.1679999999997</v>
      </c>
      <c r="BW85" s="450">
        <f t="shared" si="75"/>
        <v>498.97699999999998</v>
      </c>
      <c r="CA85" s="94" t="s">
        <v>398</v>
      </c>
      <c r="CB85" s="450">
        <v>1058348</v>
      </c>
      <c r="CC85" s="450">
        <f t="shared" si="76"/>
        <v>1058.348</v>
      </c>
      <c r="CG85" s="448" t="s">
        <v>392</v>
      </c>
      <c r="CH85" s="449">
        <v>0</v>
      </c>
      <c r="CI85" s="449">
        <v>65581752</v>
      </c>
      <c r="CJ85" s="449">
        <v>-65581752</v>
      </c>
      <c r="CK85" s="449">
        <v>65581752</v>
      </c>
      <c r="CL85" s="449">
        <v>0</v>
      </c>
      <c r="CM85" s="449">
        <v>32790876</v>
      </c>
      <c r="CN85" s="449">
        <f t="shared" si="77"/>
        <v>65581.751999999993</v>
      </c>
      <c r="CO85" s="449">
        <f t="shared" si="78"/>
        <v>65581.751999999993</v>
      </c>
      <c r="CP85" s="449">
        <f t="shared" si="79"/>
        <v>0</v>
      </c>
      <c r="CQ85" s="449">
        <f t="shared" si="80"/>
        <v>32790.875999999997</v>
      </c>
      <c r="CU85" s="448" t="s">
        <v>399</v>
      </c>
      <c r="CV85" s="449">
        <v>47600</v>
      </c>
      <c r="CW85" s="449">
        <v>0</v>
      </c>
      <c r="CX85" s="450">
        <f t="shared" si="81"/>
        <v>47.6</v>
      </c>
      <c r="CY85" s="450">
        <f t="shared" si="82"/>
        <v>0</v>
      </c>
      <c r="DB85" s="602" t="s">
        <v>392</v>
      </c>
      <c r="DC85" s="603">
        <v>65581752</v>
      </c>
      <c r="DD85" s="603">
        <v>65581752</v>
      </c>
      <c r="DE85" s="603">
        <v>0</v>
      </c>
      <c r="DF85" s="603">
        <v>38256022</v>
      </c>
      <c r="DG85" s="604">
        <f t="shared" si="83"/>
        <v>65581.751999999993</v>
      </c>
      <c r="DH85" s="604">
        <f t="shared" si="84"/>
        <v>65581.751999999993</v>
      </c>
      <c r="DI85" s="604">
        <f t="shared" si="85"/>
        <v>0</v>
      </c>
      <c r="DJ85" s="604">
        <f t="shared" si="86"/>
        <v>38256.021999999997</v>
      </c>
      <c r="DN85" s="94" t="s">
        <v>402</v>
      </c>
      <c r="DO85" s="94">
        <v>5438363</v>
      </c>
      <c r="DP85" s="94">
        <v>9640641</v>
      </c>
      <c r="DQ85" s="666">
        <f t="shared" si="87"/>
        <v>5438.3630000000003</v>
      </c>
      <c r="DR85" s="666">
        <f t="shared" si="88"/>
        <v>9640.6409999999996</v>
      </c>
      <c r="DV85" s="94" t="s">
        <v>391</v>
      </c>
      <c r="DW85" s="95">
        <v>15807270</v>
      </c>
      <c r="DX85" s="95">
        <v>15807270</v>
      </c>
      <c r="DY85" s="95">
        <v>0</v>
      </c>
      <c r="DZ85" s="95">
        <v>7629173</v>
      </c>
      <c r="EA85" s="95">
        <f t="shared" si="89"/>
        <v>15807.27</v>
      </c>
      <c r="EB85" s="95">
        <f t="shared" si="90"/>
        <v>15807.27</v>
      </c>
      <c r="EC85" s="95">
        <f t="shared" si="91"/>
        <v>0</v>
      </c>
      <c r="ED85" s="95">
        <f t="shared" si="92"/>
        <v>7629.1729999999998</v>
      </c>
      <c r="EH85" s="444" t="s">
        <v>400</v>
      </c>
      <c r="EI85" s="444">
        <v>47073415</v>
      </c>
      <c r="EJ85" s="450">
        <f t="shared" si="93"/>
        <v>47073.415000000001</v>
      </c>
      <c r="EN85" s="444" t="s">
        <v>388</v>
      </c>
      <c r="EO85" s="450">
        <v>9375000</v>
      </c>
      <c r="EP85" s="450">
        <v>9375000</v>
      </c>
      <c r="EQ85" s="450">
        <v>0</v>
      </c>
      <c r="ER85" s="450">
        <v>7138200</v>
      </c>
      <c r="ES85" s="746">
        <f t="shared" si="94"/>
        <v>9375</v>
      </c>
      <c r="ET85" s="746">
        <f t="shared" si="95"/>
        <v>9375</v>
      </c>
      <c r="EU85" s="746">
        <f t="shared" si="96"/>
        <v>0</v>
      </c>
      <c r="EV85" s="746">
        <f t="shared" si="97"/>
        <v>7138.2</v>
      </c>
      <c r="EZ85" s="780" t="s">
        <v>553</v>
      </c>
      <c r="FA85" s="781" t="s">
        <v>602</v>
      </c>
      <c r="FB85" s="444">
        <v>3526000</v>
      </c>
      <c r="FC85" s="450">
        <f t="shared" si="98"/>
        <v>3526</v>
      </c>
      <c r="FG85" s="785" t="s">
        <v>553</v>
      </c>
      <c r="FH85" s="784" t="s">
        <v>388</v>
      </c>
      <c r="FI85" s="782">
        <v>9375000</v>
      </c>
      <c r="FJ85" s="783">
        <v>9375000</v>
      </c>
      <c r="FK85" s="783">
        <v>0</v>
      </c>
      <c r="FL85" s="783">
        <v>8086700</v>
      </c>
      <c r="FM85" s="450">
        <f t="shared" si="99"/>
        <v>9375</v>
      </c>
      <c r="FN85" s="450">
        <f t="shared" si="100"/>
        <v>9375</v>
      </c>
      <c r="FO85" s="450">
        <f t="shared" si="101"/>
        <v>0</v>
      </c>
      <c r="FP85" s="450">
        <f t="shared" si="102"/>
        <v>8086.7</v>
      </c>
      <c r="FT85" s="451" t="s">
        <v>355</v>
      </c>
      <c r="FU85" s="94" t="s">
        <v>397</v>
      </c>
      <c r="FV85" s="95">
        <v>-3750224</v>
      </c>
      <c r="FW85" s="95">
        <v>852634</v>
      </c>
      <c r="FX85" s="95">
        <v>749776</v>
      </c>
      <c r="FY85" s="450">
        <f t="shared" si="103"/>
        <v>-3750.2240000000002</v>
      </c>
      <c r="FZ85" s="450">
        <f t="shared" si="104"/>
        <v>852.63400000000001</v>
      </c>
      <c r="GA85" s="450">
        <f t="shared" si="105"/>
        <v>749.77599999999995</v>
      </c>
      <c r="GG85" s="817" t="s">
        <v>553</v>
      </c>
      <c r="GH85" s="818" t="s">
        <v>388</v>
      </c>
      <c r="GI85" s="819">
        <v>9926500</v>
      </c>
      <c r="GJ85" s="819">
        <v>9926500</v>
      </c>
      <c r="GK85" s="819">
        <v>0</v>
      </c>
      <c r="GL85" s="819">
        <v>8718300</v>
      </c>
      <c r="GM85" s="819">
        <v>1208200</v>
      </c>
      <c r="GN85" s="450">
        <f t="shared" si="106"/>
        <v>9926.5</v>
      </c>
      <c r="GO85" s="450">
        <f t="shared" si="107"/>
        <v>9926.5</v>
      </c>
      <c r="GP85" s="450">
        <f t="shared" si="108"/>
        <v>0</v>
      </c>
      <c r="GQ85" s="450">
        <f t="shared" si="109"/>
        <v>8718.2999999999993</v>
      </c>
      <c r="GR85" s="450">
        <f t="shared" si="110"/>
        <v>1208.2</v>
      </c>
      <c r="GV85" s="841" t="s">
        <v>397</v>
      </c>
      <c r="GW85" s="840">
        <v>102858</v>
      </c>
      <c r="GX85" s="450">
        <f t="shared" si="111"/>
        <v>102.858</v>
      </c>
      <c r="HB85" s="843" t="s">
        <v>594</v>
      </c>
      <c r="HC85" s="819">
        <v>2233979</v>
      </c>
      <c r="HD85" s="819">
        <v>2233979</v>
      </c>
      <c r="HE85" s="819">
        <v>0</v>
      </c>
      <c r="HF85" s="819">
        <v>2233979</v>
      </c>
      <c r="HG85" s="450">
        <f t="shared" si="112"/>
        <v>2233.9789999999998</v>
      </c>
      <c r="HH85" s="450">
        <f t="shared" si="113"/>
        <v>0</v>
      </c>
      <c r="HI85" s="450">
        <f t="shared" si="114"/>
        <v>2233.9789999999998</v>
      </c>
      <c r="HJ85" s="450">
        <f t="shared" si="115"/>
        <v>0</v>
      </c>
      <c r="HK85" s="450">
        <f t="shared" si="116"/>
        <v>2233.9789999999998</v>
      </c>
    </row>
    <row r="86" spans="1:219" ht="15" customHeight="1" x14ac:dyDescent="0.3">
      <c r="A86" s="295" t="s">
        <v>553</v>
      </c>
      <c r="B86" s="296" t="s">
        <v>597</v>
      </c>
      <c r="C86" s="297">
        <v>12000000</v>
      </c>
      <c r="D86" s="298">
        <f t="shared" si="61"/>
        <v>12756</v>
      </c>
      <c r="E86" s="297">
        <v>0</v>
      </c>
      <c r="F86" s="297">
        <f t="shared" si="62"/>
        <v>0</v>
      </c>
      <c r="J86" s="299" t="s">
        <v>355</v>
      </c>
      <c r="K86" s="300" t="s">
        <v>607</v>
      </c>
      <c r="L86" s="301">
        <v>2765907</v>
      </c>
      <c r="M86" s="301">
        <f t="shared" si="63"/>
        <v>2940.1591410000001</v>
      </c>
      <c r="Q86" s="299" t="s">
        <v>355</v>
      </c>
      <c r="R86" s="300" t="s">
        <v>395</v>
      </c>
      <c r="S86" s="301">
        <v>20900000</v>
      </c>
      <c r="T86" s="301">
        <v>692381</v>
      </c>
      <c r="U86" s="301">
        <f t="shared" si="64"/>
        <v>22216.699999999997</v>
      </c>
      <c r="V86" s="301">
        <f t="shared" si="65"/>
        <v>736.00100299999997</v>
      </c>
      <c r="Z86" s="296" t="s">
        <v>601</v>
      </c>
      <c r="AA86" s="297">
        <v>9649319</v>
      </c>
      <c r="AB86" s="297">
        <f t="shared" si="66"/>
        <v>10257.226096999999</v>
      </c>
      <c r="AF86" s="296" t="s">
        <v>595</v>
      </c>
      <c r="AG86" s="297">
        <v>36000000</v>
      </c>
      <c r="AH86" s="297">
        <f t="shared" si="60"/>
        <v>38268</v>
      </c>
      <c r="AI86" s="297">
        <v>8657787</v>
      </c>
      <c r="AL86" s="450"/>
      <c r="AN86" s="447" t="s">
        <v>553</v>
      </c>
      <c r="AO86" s="448" t="s">
        <v>398</v>
      </c>
      <c r="AP86" s="449">
        <v>614437</v>
      </c>
      <c r="AQ86" s="449">
        <f t="shared" si="67"/>
        <v>653.14653099999998</v>
      </c>
      <c r="AU86" s="447" t="s">
        <v>553</v>
      </c>
      <c r="AV86" s="448" t="s">
        <v>595</v>
      </c>
      <c r="AW86" s="449">
        <v>36000000</v>
      </c>
      <c r="AX86" s="449">
        <v>31745219</v>
      </c>
      <c r="AY86" s="449">
        <v>4254781</v>
      </c>
      <c r="AZ86" s="450">
        <f t="shared" si="68"/>
        <v>38268</v>
      </c>
      <c r="BA86" s="450">
        <f t="shared" si="69"/>
        <v>33745.167797000002</v>
      </c>
      <c r="BB86" s="450">
        <f t="shared" si="70"/>
        <v>4522.8322029999999</v>
      </c>
      <c r="BF86" s="447" t="s">
        <v>553</v>
      </c>
      <c r="BG86" s="448" t="s">
        <v>494</v>
      </c>
      <c r="BH86" s="449">
        <v>1041250</v>
      </c>
      <c r="BI86" s="450">
        <f t="shared" si="71"/>
        <v>1041.25</v>
      </c>
      <c r="BM86" s="451" t="s">
        <v>553</v>
      </c>
      <c r="BN86" s="94" t="s">
        <v>394</v>
      </c>
      <c r="BO86" s="95">
        <v>0</v>
      </c>
      <c r="BP86" s="95">
        <v>6100000</v>
      </c>
      <c r="BQ86" s="95">
        <v>4798080</v>
      </c>
      <c r="BR86" s="95">
        <v>1301920</v>
      </c>
      <c r="BS86" s="95">
        <v>2399040</v>
      </c>
      <c r="BT86" s="450">
        <f t="shared" si="72"/>
        <v>6100</v>
      </c>
      <c r="BU86" s="450">
        <f t="shared" si="73"/>
        <v>4798.08</v>
      </c>
      <c r="BV86" s="450">
        <f t="shared" si="74"/>
        <v>1301.92</v>
      </c>
      <c r="BW86" s="450">
        <f t="shared" si="75"/>
        <v>2399.04</v>
      </c>
      <c r="CA86" s="94" t="s">
        <v>400</v>
      </c>
      <c r="CB86" s="450">
        <v>24441719</v>
      </c>
      <c r="CC86" s="450">
        <f t="shared" si="76"/>
        <v>24441.719000000001</v>
      </c>
      <c r="CG86" s="448" t="s">
        <v>393</v>
      </c>
      <c r="CH86" s="449">
        <v>0</v>
      </c>
      <c r="CI86" s="449">
        <v>5343120</v>
      </c>
      <c r="CJ86" s="449">
        <v>-5343120</v>
      </c>
      <c r="CK86" s="449">
        <v>1932321</v>
      </c>
      <c r="CL86" s="449">
        <v>3410799</v>
      </c>
      <c r="CM86" s="449">
        <v>762988</v>
      </c>
      <c r="CN86" s="449">
        <f t="shared" si="77"/>
        <v>5343.12</v>
      </c>
      <c r="CO86" s="449">
        <f t="shared" si="78"/>
        <v>1932.3209999999999</v>
      </c>
      <c r="CP86" s="449">
        <f t="shared" si="79"/>
        <v>3410.799</v>
      </c>
      <c r="CQ86" s="449">
        <f t="shared" si="80"/>
        <v>762.98800000000006</v>
      </c>
      <c r="CU86" s="448" t="s">
        <v>400</v>
      </c>
      <c r="CV86" s="449">
        <v>41011953</v>
      </c>
      <c r="CW86" s="449">
        <v>35520254</v>
      </c>
      <c r="CX86" s="450">
        <f t="shared" si="81"/>
        <v>41011.953000000001</v>
      </c>
      <c r="CY86" s="450">
        <f t="shared" si="82"/>
        <v>35520.254000000001</v>
      </c>
      <c r="DB86" s="602" t="s">
        <v>393</v>
      </c>
      <c r="DC86" s="603">
        <v>5343120</v>
      </c>
      <c r="DD86" s="603">
        <v>1932321</v>
      </c>
      <c r="DE86" s="603">
        <v>3410799</v>
      </c>
      <c r="DF86" s="603">
        <v>762988</v>
      </c>
      <c r="DG86" s="604">
        <f t="shared" si="83"/>
        <v>5343.12</v>
      </c>
      <c r="DH86" s="604">
        <f t="shared" si="84"/>
        <v>1932.3209999999999</v>
      </c>
      <c r="DI86" s="604">
        <f t="shared" si="85"/>
        <v>3410.799</v>
      </c>
      <c r="DJ86" s="604">
        <f t="shared" si="86"/>
        <v>762.98800000000006</v>
      </c>
      <c r="DN86" s="94" t="s">
        <v>403</v>
      </c>
      <c r="DO86" s="94">
        <v>0</v>
      </c>
      <c r="DP86" s="94">
        <v>55054952</v>
      </c>
      <c r="DQ86" s="666">
        <f t="shared" si="87"/>
        <v>0</v>
      </c>
      <c r="DR86" s="666">
        <f t="shared" si="88"/>
        <v>55054.951999999997</v>
      </c>
      <c r="DV86" s="94" t="s">
        <v>392</v>
      </c>
      <c r="DW86" s="95">
        <v>65581752</v>
      </c>
      <c r="DX86" s="95">
        <v>65581752</v>
      </c>
      <c r="DY86" s="95">
        <v>0</v>
      </c>
      <c r="DZ86" s="95">
        <v>43721168</v>
      </c>
      <c r="EA86" s="95">
        <f t="shared" si="89"/>
        <v>65581.751999999993</v>
      </c>
      <c r="EB86" s="95">
        <f t="shared" si="90"/>
        <v>65581.751999999993</v>
      </c>
      <c r="EC86" s="95">
        <f t="shared" si="91"/>
        <v>0</v>
      </c>
      <c r="ED86" s="95">
        <f t="shared" si="92"/>
        <v>43721.167999999998</v>
      </c>
      <c r="EH86" s="444" t="s">
        <v>401</v>
      </c>
      <c r="EI86" s="444">
        <v>7095279</v>
      </c>
      <c r="EJ86" s="450">
        <f t="shared" si="93"/>
        <v>7095.2790000000005</v>
      </c>
      <c r="EN86" s="444" t="s">
        <v>389</v>
      </c>
      <c r="EO86" s="450">
        <v>11316479</v>
      </c>
      <c r="EP86" s="450">
        <v>10566479</v>
      </c>
      <c r="EQ86" s="450">
        <v>750000</v>
      </c>
      <c r="ER86" s="450">
        <v>7423357</v>
      </c>
      <c r="ES86" s="746">
        <f t="shared" si="94"/>
        <v>11316.478999999999</v>
      </c>
      <c r="ET86" s="746">
        <f t="shared" si="95"/>
        <v>10566.478999999999</v>
      </c>
      <c r="EU86" s="746">
        <f t="shared" si="96"/>
        <v>750</v>
      </c>
      <c r="EV86" s="746">
        <f t="shared" si="97"/>
        <v>7423.357</v>
      </c>
      <c r="EZ86" s="780" t="s">
        <v>553</v>
      </c>
      <c r="FA86" s="781" t="s">
        <v>402</v>
      </c>
      <c r="FB86" s="444">
        <v>8357380</v>
      </c>
      <c r="FC86" s="450">
        <f t="shared" si="98"/>
        <v>8357.3799999999992</v>
      </c>
      <c r="FG86" s="785" t="s">
        <v>553</v>
      </c>
      <c r="FH86" s="784" t="s">
        <v>389</v>
      </c>
      <c r="FI86" s="782">
        <v>11439723</v>
      </c>
      <c r="FJ86" s="783">
        <v>11439723</v>
      </c>
      <c r="FK86" s="783">
        <v>0</v>
      </c>
      <c r="FL86" s="783">
        <v>8194055</v>
      </c>
      <c r="FM86" s="450">
        <f t="shared" si="99"/>
        <v>11439.723</v>
      </c>
      <c r="FN86" s="450">
        <f t="shared" si="100"/>
        <v>11439.723</v>
      </c>
      <c r="FO86" s="450">
        <f t="shared" si="101"/>
        <v>0</v>
      </c>
      <c r="FP86" s="450">
        <f t="shared" si="102"/>
        <v>8194.0550000000003</v>
      </c>
      <c r="FT86" s="451" t="s">
        <v>553</v>
      </c>
      <c r="FU86" s="94" t="s">
        <v>398</v>
      </c>
      <c r="FV86" s="95">
        <v>-3750224</v>
      </c>
      <c r="FW86" s="95">
        <v>852634</v>
      </c>
      <c r="FX86" s="95">
        <v>749776</v>
      </c>
      <c r="FY86" s="450">
        <f t="shared" si="103"/>
        <v>-3750.2240000000002</v>
      </c>
      <c r="FZ86" s="450">
        <f t="shared" si="104"/>
        <v>852.63400000000001</v>
      </c>
      <c r="GA86" s="450">
        <f t="shared" si="105"/>
        <v>749.77599999999995</v>
      </c>
      <c r="GG86" s="817" t="s">
        <v>553</v>
      </c>
      <c r="GH86" s="818" t="s">
        <v>389</v>
      </c>
      <c r="GI86" s="819">
        <v>10963659</v>
      </c>
      <c r="GJ86" s="819">
        <v>10963659</v>
      </c>
      <c r="GK86" s="819">
        <v>0</v>
      </c>
      <c r="GL86" s="819">
        <v>8437235</v>
      </c>
      <c r="GM86" s="819">
        <v>2526424</v>
      </c>
      <c r="GN86" s="450">
        <f t="shared" si="106"/>
        <v>10963.659</v>
      </c>
      <c r="GO86" s="450">
        <f t="shared" si="107"/>
        <v>10963.659</v>
      </c>
      <c r="GP86" s="450">
        <f t="shared" si="108"/>
        <v>0</v>
      </c>
      <c r="GQ86" s="450">
        <f t="shared" si="109"/>
        <v>8437.2350000000006</v>
      </c>
      <c r="GR86" s="450">
        <f t="shared" si="110"/>
        <v>2526.424</v>
      </c>
      <c r="GV86" s="841" t="s">
        <v>398</v>
      </c>
      <c r="GW86" s="840">
        <v>102858</v>
      </c>
      <c r="GX86" s="450">
        <f t="shared" si="111"/>
        <v>102.858</v>
      </c>
      <c r="HB86" s="843" t="s">
        <v>385</v>
      </c>
      <c r="HC86" s="819">
        <v>8066209</v>
      </c>
      <c r="HD86" s="819">
        <v>8066209</v>
      </c>
      <c r="HE86" s="819">
        <v>0</v>
      </c>
      <c r="HF86" s="819">
        <v>8066209</v>
      </c>
      <c r="HG86" s="450">
        <f t="shared" si="112"/>
        <v>8066.2089999999998</v>
      </c>
      <c r="HH86" s="450">
        <f t="shared" si="113"/>
        <v>0</v>
      </c>
      <c r="HI86" s="450">
        <f t="shared" si="114"/>
        <v>8066.2089999999998</v>
      </c>
      <c r="HJ86" s="450">
        <f t="shared" si="115"/>
        <v>0</v>
      </c>
      <c r="HK86" s="450">
        <f t="shared" si="116"/>
        <v>8066.2089999999998</v>
      </c>
    </row>
    <row r="87" spans="1:219" ht="15" customHeight="1" x14ac:dyDescent="0.3">
      <c r="A87" s="295" t="s">
        <v>553</v>
      </c>
      <c r="B87" s="296" t="s">
        <v>717</v>
      </c>
      <c r="C87" s="297">
        <v>1000000</v>
      </c>
      <c r="D87" s="298">
        <f t="shared" si="61"/>
        <v>1063</v>
      </c>
      <c r="E87" s="297">
        <v>0</v>
      </c>
      <c r="F87" s="297">
        <f t="shared" si="62"/>
        <v>0</v>
      </c>
      <c r="J87" s="299" t="s">
        <v>553</v>
      </c>
      <c r="K87" s="300" t="s">
        <v>408</v>
      </c>
      <c r="L87" s="301">
        <v>2765907</v>
      </c>
      <c r="M87" s="301">
        <f t="shared" si="63"/>
        <v>2940.1591410000001</v>
      </c>
      <c r="Q87" s="299" t="s">
        <v>553</v>
      </c>
      <c r="R87" s="300" t="s">
        <v>597</v>
      </c>
      <c r="S87" s="301">
        <v>12000000</v>
      </c>
      <c r="T87" s="301">
        <v>271320</v>
      </c>
      <c r="U87" s="301">
        <f t="shared" si="64"/>
        <v>12756</v>
      </c>
      <c r="V87" s="301">
        <f t="shared" si="65"/>
        <v>288.41316</v>
      </c>
      <c r="Z87" s="296" t="s">
        <v>602</v>
      </c>
      <c r="AA87" s="297">
        <v>5103000</v>
      </c>
      <c r="AB87" s="297">
        <f t="shared" si="66"/>
        <v>5424.4889999999996</v>
      </c>
      <c r="AF87" s="296" t="s">
        <v>395</v>
      </c>
      <c r="AG87" s="297">
        <v>20983300</v>
      </c>
      <c r="AH87" s="297">
        <f t="shared" si="60"/>
        <v>22305.247899999998</v>
      </c>
      <c r="AI87" s="297">
        <v>3688343</v>
      </c>
      <c r="AL87" s="450"/>
      <c r="AN87" s="447" t="s">
        <v>355</v>
      </c>
      <c r="AO87" s="448" t="s">
        <v>400</v>
      </c>
      <c r="AP87" s="449">
        <v>22377269</v>
      </c>
      <c r="AQ87" s="449">
        <f t="shared" si="67"/>
        <v>23787.036947000001</v>
      </c>
      <c r="AU87" s="447" t="s">
        <v>355</v>
      </c>
      <c r="AV87" s="448" t="s">
        <v>395</v>
      </c>
      <c r="AW87" s="449">
        <v>20755100</v>
      </c>
      <c r="AX87" s="449">
        <v>8049364</v>
      </c>
      <c r="AY87" s="449">
        <v>12705736</v>
      </c>
      <c r="AZ87" s="450">
        <f t="shared" si="68"/>
        <v>22062.671299999998</v>
      </c>
      <c r="BA87" s="450">
        <f t="shared" si="69"/>
        <v>8556.473931999999</v>
      </c>
      <c r="BB87" s="450">
        <f t="shared" si="70"/>
        <v>13506.197368000001</v>
      </c>
      <c r="BF87" s="447" t="s">
        <v>355</v>
      </c>
      <c r="BG87" s="448" t="s">
        <v>607</v>
      </c>
      <c r="BH87" s="449">
        <v>125703798</v>
      </c>
      <c r="BI87" s="450">
        <f t="shared" si="71"/>
        <v>125703.798</v>
      </c>
      <c r="BM87" s="451" t="s">
        <v>553</v>
      </c>
      <c r="BN87" s="94" t="s">
        <v>595</v>
      </c>
      <c r="BO87" s="95">
        <v>0</v>
      </c>
      <c r="BP87" s="95">
        <v>36000000</v>
      </c>
      <c r="BQ87" s="95">
        <v>31745219</v>
      </c>
      <c r="BR87" s="95">
        <v>4254781</v>
      </c>
      <c r="BS87" s="95">
        <v>14429645</v>
      </c>
      <c r="BT87" s="450">
        <f t="shared" si="72"/>
        <v>36000</v>
      </c>
      <c r="BU87" s="450">
        <f t="shared" si="73"/>
        <v>31745.219000000001</v>
      </c>
      <c r="BV87" s="450">
        <f t="shared" si="74"/>
        <v>4254.7809999999999</v>
      </c>
      <c r="BW87" s="450">
        <f t="shared" si="75"/>
        <v>14429.645</v>
      </c>
      <c r="CA87" s="94" t="s">
        <v>401</v>
      </c>
      <c r="CB87" s="450">
        <v>7894025</v>
      </c>
      <c r="CC87" s="450">
        <f t="shared" si="76"/>
        <v>7894.0249999999996</v>
      </c>
      <c r="CG87" s="448" t="s">
        <v>394</v>
      </c>
      <c r="CH87" s="449">
        <v>0</v>
      </c>
      <c r="CI87" s="449">
        <v>6100000</v>
      </c>
      <c r="CJ87" s="449">
        <v>-6100000</v>
      </c>
      <c r="CK87" s="449">
        <v>4798080</v>
      </c>
      <c r="CL87" s="449">
        <v>1301920</v>
      </c>
      <c r="CM87" s="449">
        <v>2878848</v>
      </c>
      <c r="CN87" s="449">
        <f t="shared" si="77"/>
        <v>6100</v>
      </c>
      <c r="CO87" s="449">
        <f t="shared" si="78"/>
        <v>4798.08</v>
      </c>
      <c r="CP87" s="449">
        <f t="shared" si="79"/>
        <v>1301.92</v>
      </c>
      <c r="CQ87" s="449">
        <f t="shared" si="80"/>
        <v>2878.848</v>
      </c>
      <c r="CU87" s="448" t="s">
        <v>401</v>
      </c>
      <c r="CV87" s="449">
        <v>3666899</v>
      </c>
      <c r="CW87" s="449">
        <v>6899021</v>
      </c>
      <c r="CX87" s="450">
        <f t="shared" si="81"/>
        <v>3666.8989999999999</v>
      </c>
      <c r="CY87" s="450">
        <f t="shared" si="82"/>
        <v>6899.0209999999997</v>
      </c>
      <c r="DB87" s="602" t="s">
        <v>394</v>
      </c>
      <c r="DC87" s="603">
        <v>6100000</v>
      </c>
      <c r="DD87" s="603">
        <v>4798080</v>
      </c>
      <c r="DE87" s="603">
        <v>1301920</v>
      </c>
      <c r="DF87" s="603">
        <v>3358656</v>
      </c>
      <c r="DG87" s="604">
        <f t="shared" si="83"/>
        <v>6100</v>
      </c>
      <c r="DH87" s="604">
        <f t="shared" si="84"/>
        <v>4798.08</v>
      </c>
      <c r="DI87" s="604">
        <f t="shared" si="85"/>
        <v>1301.92</v>
      </c>
      <c r="DJ87" s="604">
        <f t="shared" si="86"/>
        <v>3358.6559999999999</v>
      </c>
      <c r="DN87" s="94" t="s">
        <v>404</v>
      </c>
      <c r="DO87" s="94">
        <v>0</v>
      </c>
      <c r="DP87" s="94">
        <v>46513324</v>
      </c>
      <c r="DQ87" s="666">
        <f t="shared" si="87"/>
        <v>0</v>
      </c>
      <c r="DR87" s="666">
        <f t="shared" si="88"/>
        <v>46513.324000000001</v>
      </c>
      <c r="DV87" s="94" t="s">
        <v>393</v>
      </c>
      <c r="DW87" s="95">
        <v>2315654</v>
      </c>
      <c r="DX87" s="95">
        <v>1482321</v>
      </c>
      <c r="DY87" s="95">
        <v>833333</v>
      </c>
      <c r="DZ87" s="95">
        <v>762988</v>
      </c>
      <c r="EA87" s="95">
        <f t="shared" si="89"/>
        <v>2315.654</v>
      </c>
      <c r="EB87" s="95">
        <f t="shared" si="90"/>
        <v>1482.3209999999999</v>
      </c>
      <c r="EC87" s="95">
        <f t="shared" si="91"/>
        <v>833.33299999999997</v>
      </c>
      <c r="ED87" s="95">
        <f t="shared" si="92"/>
        <v>762.98800000000006</v>
      </c>
      <c r="EH87" s="444" t="s">
        <v>601</v>
      </c>
      <c r="EI87" s="444">
        <v>11422711</v>
      </c>
      <c r="EJ87" s="450">
        <f t="shared" si="93"/>
        <v>11422.710999999999</v>
      </c>
      <c r="EN87" s="444" t="s">
        <v>390</v>
      </c>
      <c r="EO87" s="450">
        <v>2002291</v>
      </c>
      <c r="EP87" s="450">
        <v>2002291</v>
      </c>
      <c r="EQ87" s="450">
        <v>0</v>
      </c>
      <c r="ER87" s="450">
        <v>1974341</v>
      </c>
      <c r="ES87" s="746">
        <f t="shared" si="94"/>
        <v>2002.2909999999999</v>
      </c>
      <c r="ET87" s="746">
        <f t="shared" si="95"/>
        <v>2002.2909999999999</v>
      </c>
      <c r="EU87" s="746">
        <f t="shared" si="96"/>
        <v>0</v>
      </c>
      <c r="EV87" s="746">
        <f t="shared" si="97"/>
        <v>1974.3409999999999</v>
      </c>
      <c r="EZ87" s="780" t="s">
        <v>355</v>
      </c>
      <c r="FA87" s="781" t="s">
        <v>403</v>
      </c>
      <c r="FB87" s="444">
        <v>46881437</v>
      </c>
      <c r="FC87" s="450">
        <f t="shared" si="98"/>
        <v>46881.436999999998</v>
      </c>
      <c r="FG87" s="785" t="s">
        <v>553</v>
      </c>
      <c r="FH87" s="784" t="s">
        <v>390</v>
      </c>
      <c r="FI87" s="782">
        <v>2002291</v>
      </c>
      <c r="FJ87" s="783">
        <v>2002291</v>
      </c>
      <c r="FK87" s="783">
        <v>0</v>
      </c>
      <c r="FL87" s="783">
        <v>1974341</v>
      </c>
      <c r="FM87" s="450">
        <f t="shared" si="99"/>
        <v>2002.2909999999999</v>
      </c>
      <c r="FN87" s="450">
        <f t="shared" si="100"/>
        <v>2002.2909999999999</v>
      </c>
      <c r="FO87" s="450">
        <f t="shared" si="101"/>
        <v>0</v>
      </c>
      <c r="FP87" s="450">
        <f t="shared" si="102"/>
        <v>1974.3409999999999</v>
      </c>
      <c r="FT87" s="451" t="s">
        <v>355</v>
      </c>
      <c r="FU87" s="94" t="s">
        <v>400</v>
      </c>
      <c r="FV87" s="95">
        <v>-7668512</v>
      </c>
      <c r="FW87" s="95">
        <v>11495327</v>
      </c>
      <c r="FX87" s="95">
        <v>30412684</v>
      </c>
      <c r="FY87" s="450">
        <f t="shared" si="103"/>
        <v>-7668.5119999999997</v>
      </c>
      <c r="FZ87" s="450">
        <f t="shared" si="104"/>
        <v>11495.326999999999</v>
      </c>
      <c r="GA87" s="450">
        <f t="shared" si="105"/>
        <v>30412.684000000001</v>
      </c>
      <c r="GG87" s="817" t="s">
        <v>553</v>
      </c>
      <c r="GH87" s="818" t="s">
        <v>390</v>
      </c>
      <c r="GI87" s="819">
        <v>2542291</v>
      </c>
      <c r="GJ87" s="819">
        <v>2542291</v>
      </c>
      <c r="GK87" s="819">
        <v>0</v>
      </c>
      <c r="GL87" s="819">
        <v>2208791</v>
      </c>
      <c r="GM87" s="819">
        <v>333500</v>
      </c>
      <c r="GN87" s="450">
        <f t="shared" si="106"/>
        <v>2542.2910000000002</v>
      </c>
      <c r="GO87" s="450">
        <f t="shared" si="107"/>
        <v>2542.2910000000002</v>
      </c>
      <c r="GP87" s="450">
        <f t="shared" si="108"/>
        <v>0</v>
      </c>
      <c r="GQ87" s="450">
        <f t="shared" si="109"/>
        <v>2208.7910000000002</v>
      </c>
      <c r="GR87" s="450">
        <f t="shared" si="110"/>
        <v>333.5</v>
      </c>
      <c r="GV87" s="841" t="s">
        <v>400</v>
      </c>
      <c r="GW87" s="840">
        <v>88215581</v>
      </c>
      <c r="GX87" s="450">
        <f t="shared" si="111"/>
        <v>88215.581000000006</v>
      </c>
      <c r="HB87" s="843" t="s">
        <v>386</v>
      </c>
      <c r="HC87" s="819">
        <v>4716931</v>
      </c>
      <c r="HD87" s="819">
        <v>4716931</v>
      </c>
      <c r="HE87" s="819">
        <v>0</v>
      </c>
      <c r="HF87" s="819">
        <v>4716931</v>
      </c>
      <c r="HG87" s="450">
        <f t="shared" si="112"/>
        <v>4716.9309999999996</v>
      </c>
      <c r="HH87" s="450">
        <f t="shared" si="113"/>
        <v>0</v>
      </c>
      <c r="HI87" s="450">
        <f t="shared" si="114"/>
        <v>4716.9309999999996</v>
      </c>
      <c r="HJ87" s="450">
        <f t="shared" si="115"/>
        <v>0</v>
      </c>
      <c r="HK87" s="450">
        <f t="shared" si="116"/>
        <v>4716.9309999999996</v>
      </c>
    </row>
    <row r="88" spans="1:219" ht="15" customHeight="1" x14ac:dyDescent="0.3">
      <c r="A88" s="295" t="s">
        <v>553</v>
      </c>
      <c r="B88" s="296" t="s">
        <v>600</v>
      </c>
      <c r="C88" s="297">
        <v>7900000</v>
      </c>
      <c r="D88" s="298">
        <f t="shared" si="61"/>
        <v>8397.6999999999989</v>
      </c>
      <c r="E88" s="297">
        <v>0</v>
      </c>
      <c r="F88" s="297">
        <f t="shared" si="62"/>
        <v>0</v>
      </c>
      <c r="J88" s="299" t="s">
        <v>355</v>
      </c>
      <c r="K88" s="300" t="s">
        <v>608</v>
      </c>
      <c r="L88" s="301">
        <v>319659</v>
      </c>
      <c r="M88" s="301">
        <f t="shared" si="63"/>
        <v>339.79751699999997</v>
      </c>
      <c r="Q88" s="299" t="s">
        <v>553</v>
      </c>
      <c r="R88" s="300" t="s">
        <v>717</v>
      </c>
      <c r="S88" s="301">
        <v>1000000</v>
      </c>
      <c r="T88" s="301">
        <v>0</v>
      </c>
      <c r="U88" s="301">
        <f t="shared" si="64"/>
        <v>1063</v>
      </c>
      <c r="V88" s="301">
        <f t="shared" si="65"/>
        <v>0</v>
      </c>
      <c r="Z88" s="296" t="s">
        <v>603</v>
      </c>
      <c r="AA88" s="297">
        <v>0</v>
      </c>
      <c r="AB88" s="297">
        <f t="shared" si="66"/>
        <v>0</v>
      </c>
      <c r="AF88" s="296" t="s">
        <v>596</v>
      </c>
      <c r="AG88" s="297">
        <v>573300</v>
      </c>
      <c r="AH88" s="297">
        <f t="shared" si="60"/>
        <v>609.41789999999992</v>
      </c>
      <c r="AI88" s="297">
        <v>83300</v>
      </c>
      <c r="AL88" s="450"/>
      <c r="AN88" s="447" t="s">
        <v>553</v>
      </c>
      <c r="AO88" s="448" t="s">
        <v>401</v>
      </c>
      <c r="AP88" s="449">
        <v>7002139</v>
      </c>
      <c r="AQ88" s="449">
        <f t="shared" si="67"/>
        <v>7443.2737569999999</v>
      </c>
      <c r="AU88" s="447" t="s">
        <v>553</v>
      </c>
      <c r="AV88" s="448" t="s">
        <v>596</v>
      </c>
      <c r="AW88" s="449">
        <v>345100</v>
      </c>
      <c r="AX88" s="449">
        <v>345100</v>
      </c>
      <c r="AY88" s="449">
        <v>0</v>
      </c>
      <c r="AZ88" s="450">
        <f t="shared" si="68"/>
        <v>366.84129999999999</v>
      </c>
      <c r="BA88" s="450">
        <f t="shared" si="69"/>
        <v>366.84129999999999</v>
      </c>
      <c r="BB88" s="450">
        <f t="shared" si="70"/>
        <v>0</v>
      </c>
      <c r="BF88" s="447" t="s">
        <v>553</v>
      </c>
      <c r="BG88" s="448" t="s">
        <v>406</v>
      </c>
      <c r="BH88" s="449">
        <v>0</v>
      </c>
      <c r="BI88" s="450">
        <f t="shared" si="71"/>
        <v>0</v>
      </c>
      <c r="BM88" s="451" t="s">
        <v>355</v>
      </c>
      <c r="BN88" s="94" t="s">
        <v>395</v>
      </c>
      <c r="BO88" s="95">
        <v>0</v>
      </c>
      <c r="BP88" s="95">
        <v>20765100</v>
      </c>
      <c r="BQ88" s="95">
        <v>9057282</v>
      </c>
      <c r="BR88" s="95">
        <v>11707818</v>
      </c>
      <c r="BS88" s="95">
        <v>6552956</v>
      </c>
      <c r="BT88" s="450">
        <f t="shared" si="72"/>
        <v>20765.099999999999</v>
      </c>
      <c r="BU88" s="450">
        <f t="shared" si="73"/>
        <v>9057.2819999999992</v>
      </c>
      <c r="BV88" s="450">
        <f t="shared" si="74"/>
        <v>11707.817999999999</v>
      </c>
      <c r="BW88" s="450">
        <f t="shared" si="75"/>
        <v>6552.9560000000001</v>
      </c>
      <c r="CA88" s="94" t="s">
        <v>601</v>
      </c>
      <c r="CB88" s="450">
        <v>12145094</v>
      </c>
      <c r="CC88" s="450">
        <f t="shared" si="76"/>
        <v>12145.093999999999</v>
      </c>
      <c r="CG88" s="448" t="s">
        <v>595</v>
      </c>
      <c r="CH88" s="449">
        <v>0</v>
      </c>
      <c r="CI88" s="449">
        <v>33000000</v>
      </c>
      <c r="CJ88" s="449">
        <v>-33000000</v>
      </c>
      <c r="CK88" s="449">
        <v>31745219</v>
      </c>
      <c r="CL88" s="449">
        <v>1254781</v>
      </c>
      <c r="CM88" s="449">
        <v>17315574</v>
      </c>
      <c r="CN88" s="449">
        <f t="shared" si="77"/>
        <v>33000</v>
      </c>
      <c r="CO88" s="449">
        <f t="shared" si="78"/>
        <v>31745.219000000001</v>
      </c>
      <c r="CP88" s="449">
        <f t="shared" si="79"/>
        <v>1254.7809999999999</v>
      </c>
      <c r="CQ88" s="449">
        <f t="shared" si="80"/>
        <v>17315.574000000001</v>
      </c>
      <c r="CU88" s="448" t="s">
        <v>601</v>
      </c>
      <c r="CV88" s="449">
        <v>2505636</v>
      </c>
      <c r="CW88" s="449">
        <v>15047263</v>
      </c>
      <c r="CX88" s="450">
        <f t="shared" si="81"/>
        <v>2505.636</v>
      </c>
      <c r="CY88" s="450">
        <f t="shared" si="82"/>
        <v>15047.263000000001</v>
      </c>
      <c r="DB88" s="602" t="s">
        <v>595</v>
      </c>
      <c r="DC88" s="603">
        <v>33000000</v>
      </c>
      <c r="DD88" s="603">
        <v>31947519</v>
      </c>
      <c r="DE88" s="603">
        <v>1052481</v>
      </c>
      <c r="DF88" s="603">
        <v>20403803</v>
      </c>
      <c r="DG88" s="604">
        <f t="shared" si="83"/>
        <v>33000</v>
      </c>
      <c r="DH88" s="604">
        <f t="shared" si="84"/>
        <v>31947.519</v>
      </c>
      <c r="DI88" s="604">
        <f t="shared" si="85"/>
        <v>1052.481</v>
      </c>
      <c r="DJ88" s="604">
        <f t="shared" si="86"/>
        <v>20403.803</v>
      </c>
      <c r="DN88" s="94" t="s">
        <v>604</v>
      </c>
      <c r="DO88" s="94">
        <v>0</v>
      </c>
      <c r="DP88" s="94">
        <v>2043325</v>
      </c>
      <c r="DQ88" s="666">
        <f t="shared" si="87"/>
        <v>0</v>
      </c>
      <c r="DR88" s="666">
        <f t="shared" si="88"/>
        <v>2043.325</v>
      </c>
      <c r="DV88" s="94" t="s">
        <v>394</v>
      </c>
      <c r="DW88" s="95">
        <v>16313472</v>
      </c>
      <c r="DX88" s="95">
        <v>16181696</v>
      </c>
      <c r="DY88" s="95">
        <v>131776</v>
      </c>
      <c r="DZ88" s="95">
        <v>3838464</v>
      </c>
      <c r="EA88" s="95">
        <f t="shared" si="89"/>
        <v>16313.472</v>
      </c>
      <c r="EB88" s="95">
        <f t="shared" si="90"/>
        <v>16181.696</v>
      </c>
      <c r="EC88" s="95">
        <f t="shared" si="91"/>
        <v>131.77600000000001</v>
      </c>
      <c r="ED88" s="95">
        <f t="shared" si="92"/>
        <v>3838.4639999999999</v>
      </c>
      <c r="EH88" s="444" t="s">
        <v>602</v>
      </c>
      <c r="EI88" s="444">
        <v>4080000</v>
      </c>
      <c r="EJ88" s="450">
        <f t="shared" si="93"/>
        <v>4080</v>
      </c>
      <c r="EN88" s="444" t="s">
        <v>391</v>
      </c>
      <c r="EO88" s="450">
        <v>15807270</v>
      </c>
      <c r="EP88" s="450">
        <v>15807270</v>
      </c>
      <c r="EQ88" s="450">
        <v>0</v>
      </c>
      <c r="ER88" s="450">
        <v>8653668</v>
      </c>
      <c r="ES88" s="746">
        <f t="shared" si="94"/>
        <v>15807.27</v>
      </c>
      <c r="ET88" s="746">
        <f t="shared" si="95"/>
        <v>15807.27</v>
      </c>
      <c r="EU88" s="746">
        <f t="shared" si="96"/>
        <v>0</v>
      </c>
      <c r="EV88" s="746">
        <f t="shared" si="97"/>
        <v>8653.6679999999997</v>
      </c>
      <c r="EZ88" s="780" t="s">
        <v>553</v>
      </c>
      <c r="FA88" s="781" t="s">
        <v>404</v>
      </c>
      <c r="FB88" s="444">
        <v>38027883</v>
      </c>
      <c r="FC88" s="450">
        <f t="shared" si="98"/>
        <v>38027.883000000002</v>
      </c>
      <c r="FG88" s="785" t="s">
        <v>553</v>
      </c>
      <c r="FH88" s="784" t="s">
        <v>391</v>
      </c>
      <c r="FI88" s="782">
        <v>16158010</v>
      </c>
      <c r="FJ88" s="783">
        <v>15807270</v>
      </c>
      <c r="FK88" s="783">
        <v>350740</v>
      </c>
      <c r="FL88" s="783">
        <v>9643696</v>
      </c>
      <c r="FM88" s="450">
        <f t="shared" si="99"/>
        <v>16158.01</v>
      </c>
      <c r="FN88" s="450">
        <f t="shared" si="100"/>
        <v>15807.27</v>
      </c>
      <c r="FO88" s="450">
        <f t="shared" si="101"/>
        <v>350.74</v>
      </c>
      <c r="FP88" s="450">
        <f t="shared" si="102"/>
        <v>9643.6959999999999</v>
      </c>
      <c r="FT88" s="451" t="s">
        <v>553</v>
      </c>
      <c r="FU88" s="94" t="s">
        <v>401</v>
      </c>
      <c r="FV88" s="95">
        <v>-8118671</v>
      </c>
      <c r="FW88" s="95">
        <v>-1802021</v>
      </c>
      <c r="FX88" s="95">
        <v>4703895</v>
      </c>
      <c r="FY88" s="450">
        <f t="shared" si="103"/>
        <v>-8118.6710000000003</v>
      </c>
      <c r="FZ88" s="450">
        <f t="shared" si="104"/>
        <v>-1802.021</v>
      </c>
      <c r="GA88" s="450">
        <f t="shared" si="105"/>
        <v>4703.8950000000004</v>
      </c>
      <c r="GG88" s="817" t="s">
        <v>553</v>
      </c>
      <c r="GH88" s="818" t="s">
        <v>391</v>
      </c>
      <c r="GI88" s="819">
        <v>11768426</v>
      </c>
      <c r="GJ88" s="819">
        <v>11417686</v>
      </c>
      <c r="GK88" s="819">
        <v>350740</v>
      </c>
      <c r="GL88" s="819">
        <v>10397686</v>
      </c>
      <c r="GM88" s="819">
        <v>1020000</v>
      </c>
      <c r="GN88" s="450">
        <f t="shared" si="106"/>
        <v>11768.425999999999</v>
      </c>
      <c r="GO88" s="450">
        <f t="shared" si="107"/>
        <v>11417.686</v>
      </c>
      <c r="GP88" s="450">
        <f t="shared" si="108"/>
        <v>350.74</v>
      </c>
      <c r="GQ88" s="450">
        <f t="shared" si="109"/>
        <v>10397.686</v>
      </c>
      <c r="GR88" s="450">
        <f t="shared" si="110"/>
        <v>1020</v>
      </c>
      <c r="GV88" s="841" t="s">
        <v>401</v>
      </c>
      <c r="GW88" s="840">
        <v>7769361</v>
      </c>
      <c r="GX88" s="450">
        <f t="shared" si="111"/>
        <v>7769.3609999999999</v>
      </c>
      <c r="HB88" s="843" t="s">
        <v>387</v>
      </c>
      <c r="HC88" s="819">
        <v>139189715</v>
      </c>
      <c r="HD88" s="819">
        <v>139189715</v>
      </c>
      <c r="HE88" s="819">
        <v>0</v>
      </c>
      <c r="HF88" s="819">
        <v>139189715</v>
      </c>
      <c r="HG88" s="450">
        <f t="shared" si="112"/>
        <v>139189.715</v>
      </c>
      <c r="HH88" s="450">
        <f t="shared" si="113"/>
        <v>0</v>
      </c>
      <c r="HI88" s="450">
        <f t="shared" si="114"/>
        <v>139189.715</v>
      </c>
      <c r="HJ88" s="450">
        <f t="shared" si="115"/>
        <v>0</v>
      </c>
      <c r="HK88" s="450">
        <f t="shared" si="116"/>
        <v>139189.715</v>
      </c>
    </row>
    <row r="89" spans="1:219" ht="15" customHeight="1" x14ac:dyDescent="0.3">
      <c r="A89" s="295" t="s">
        <v>355</v>
      </c>
      <c r="B89" s="296" t="s">
        <v>397</v>
      </c>
      <c r="C89" s="297">
        <v>25000000</v>
      </c>
      <c r="D89" s="298">
        <f t="shared" si="61"/>
        <v>26575</v>
      </c>
      <c r="E89" s="297">
        <v>715701</v>
      </c>
      <c r="F89" s="297">
        <f t="shared" si="62"/>
        <v>760.79016300000001</v>
      </c>
      <c r="J89" s="299" t="s">
        <v>553</v>
      </c>
      <c r="K89" s="300" t="s">
        <v>410</v>
      </c>
      <c r="L89" s="301">
        <v>96920</v>
      </c>
      <c r="M89" s="301">
        <f t="shared" si="63"/>
        <v>103.02596</v>
      </c>
      <c r="Q89" s="299" t="s">
        <v>553</v>
      </c>
      <c r="R89" s="300" t="s">
        <v>600</v>
      </c>
      <c r="S89" s="301">
        <v>7900000</v>
      </c>
      <c r="T89" s="301">
        <v>421061</v>
      </c>
      <c r="U89" s="301">
        <f t="shared" si="64"/>
        <v>8397.6999999999989</v>
      </c>
      <c r="V89" s="301">
        <f t="shared" si="65"/>
        <v>447.58784299999996</v>
      </c>
      <c r="Z89" s="296" t="s">
        <v>402</v>
      </c>
      <c r="AA89" s="297">
        <v>1547000</v>
      </c>
      <c r="AB89" s="297">
        <f t="shared" si="66"/>
        <v>1644.461</v>
      </c>
      <c r="AF89" s="296" t="s">
        <v>597</v>
      </c>
      <c r="AG89" s="297">
        <v>12000000</v>
      </c>
      <c r="AH89" s="297">
        <f t="shared" si="60"/>
        <v>12756</v>
      </c>
      <c r="AI89" s="297">
        <v>3183982</v>
      </c>
      <c r="AL89" s="450"/>
      <c r="AN89" s="447" t="s">
        <v>553</v>
      </c>
      <c r="AO89" s="448" t="s">
        <v>601</v>
      </c>
      <c r="AP89" s="449">
        <v>5655751</v>
      </c>
      <c r="AQ89" s="449">
        <f t="shared" si="67"/>
        <v>6012.0633129999997</v>
      </c>
      <c r="AU89" s="447" t="s">
        <v>553</v>
      </c>
      <c r="AV89" s="448" t="s">
        <v>597</v>
      </c>
      <c r="AW89" s="449">
        <v>12000000</v>
      </c>
      <c r="AX89" s="449">
        <v>5177894</v>
      </c>
      <c r="AY89" s="449">
        <v>6822106</v>
      </c>
      <c r="AZ89" s="450">
        <f t="shared" si="68"/>
        <v>12756</v>
      </c>
      <c r="BA89" s="450">
        <f t="shared" si="69"/>
        <v>5504.1013219999995</v>
      </c>
      <c r="BB89" s="450">
        <f t="shared" si="70"/>
        <v>7251.8986779999996</v>
      </c>
      <c r="BF89" s="447" t="s">
        <v>553</v>
      </c>
      <c r="BG89" s="448" t="s">
        <v>407</v>
      </c>
      <c r="BH89" s="449">
        <v>0</v>
      </c>
      <c r="BI89" s="450">
        <f t="shared" si="71"/>
        <v>0</v>
      </c>
      <c r="BM89" s="451" t="s">
        <v>553</v>
      </c>
      <c r="BN89" s="94" t="s">
        <v>596</v>
      </c>
      <c r="BO89" s="95">
        <v>0</v>
      </c>
      <c r="BP89" s="95">
        <v>566590</v>
      </c>
      <c r="BQ89" s="95">
        <v>566590</v>
      </c>
      <c r="BR89" s="95">
        <v>0</v>
      </c>
      <c r="BS89" s="95">
        <v>426590</v>
      </c>
      <c r="BT89" s="450">
        <f t="shared" si="72"/>
        <v>566.59</v>
      </c>
      <c r="BU89" s="450">
        <f t="shared" si="73"/>
        <v>566.59</v>
      </c>
      <c r="BV89" s="450">
        <f t="shared" si="74"/>
        <v>0</v>
      </c>
      <c r="BW89" s="450">
        <f t="shared" si="75"/>
        <v>426.59</v>
      </c>
      <c r="CA89" s="94" t="s">
        <v>602</v>
      </c>
      <c r="CB89" s="450">
        <v>2498600</v>
      </c>
      <c r="CC89" s="450">
        <f t="shared" si="76"/>
        <v>2498.6</v>
      </c>
      <c r="CG89" s="448" t="s">
        <v>395</v>
      </c>
      <c r="CH89" s="449">
        <v>0</v>
      </c>
      <c r="CI89" s="449">
        <v>16723466</v>
      </c>
      <c r="CJ89" s="449">
        <v>-16723466</v>
      </c>
      <c r="CK89" s="449">
        <v>11266752</v>
      </c>
      <c r="CL89" s="449">
        <v>5456714</v>
      </c>
      <c r="CM89" s="449">
        <v>7658475</v>
      </c>
      <c r="CN89" s="449">
        <f t="shared" si="77"/>
        <v>16723.466</v>
      </c>
      <c r="CO89" s="449">
        <f t="shared" si="78"/>
        <v>11266.752</v>
      </c>
      <c r="CP89" s="449">
        <f t="shared" si="79"/>
        <v>5456.7139999999999</v>
      </c>
      <c r="CQ89" s="449">
        <f t="shared" si="80"/>
        <v>7658.4750000000004</v>
      </c>
      <c r="CU89" s="448" t="s">
        <v>602</v>
      </c>
      <c r="CV89" s="449">
        <v>3032800</v>
      </c>
      <c r="CW89" s="449">
        <v>8977000</v>
      </c>
      <c r="CX89" s="450">
        <f t="shared" si="81"/>
        <v>3032.8</v>
      </c>
      <c r="CY89" s="450">
        <f t="shared" si="82"/>
        <v>8977</v>
      </c>
      <c r="DB89" s="602" t="s">
        <v>395</v>
      </c>
      <c r="DC89" s="603">
        <v>22151804</v>
      </c>
      <c r="DD89" s="603">
        <v>15010959</v>
      </c>
      <c r="DE89" s="603">
        <v>7140845</v>
      </c>
      <c r="DF89" s="603">
        <v>8856752</v>
      </c>
      <c r="DG89" s="604">
        <f t="shared" si="83"/>
        <v>22151.804</v>
      </c>
      <c r="DH89" s="604">
        <f t="shared" si="84"/>
        <v>15010.959000000001</v>
      </c>
      <c r="DI89" s="604">
        <f t="shared" si="85"/>
        <v>7140.8450000000003</v>
      </c>
      <c r="DJ89" s="604">
        <f t="shared" si="86"/>
        <v>8856.7520000000004</v>
      </c>
      <c r="DN89" s="94" t="s">
        <v>605</v>
      </c>
      <c r="DO89" s="94">
        <v>0</v>
      </c>
      <c r="DP89" s="94">
        <v>5457053</v>
      </c>
      <c r="DQ89" s="666">
        <f t="shared" si="87"/>
        <v>0</v>
      </c>
      <c r="DR89" s="666">
        <f t="shared" si="88"/>
        <v>5457.0529999999999</v>
      </c>
      <c r="DV89" s="94" t="s">
        <v>595</v>
      </c>
      <c r="DW89" s="95">
        <v>35147519</v>
      </c>
      <c r="DX89" s="95">
        <v>31947519</v>
      </c>
      <c r="DY89" s="95">
        <v>3200000</v>
      </c>
      <c r="DZ89" s="95">
        <v>23289732</v>
      </c>
      <c r="EA89" s="95">
        <f t="shared" si="89"/>
        <v>35147.519</v>
      </c>
      <c r="EB89" s="95">
        <f t="shared" si="90"/>
        <v>31947.519</v>
      </c>
      <c r="EC89" s="95">
        <f t="shared" si="91"/>
        <v>3200</v>
      </c>
      <c r="ED89" s="95">
        <f t="shared" si="92"/>
        <v>23289.732</v>
      </c>
      <c r="EH89" s="444" t="s">
        <v>603</v>
      </c>
      <c r="EI89" s="444">
        <v>0</v>
      </c>
      <c r="EJ89" s="450">
        <f t="shared" si="93"/>
        <v>0</v>
      </c>
      <c r="EN89" s="444" t="s">
        <v>392</v>
      </c>
      <c r="EO89" s="450">
        <v>65581752</v>
      </c>
      <c r="EP89" s="450">
        <v>65581752</v>
      </c>
      <c r="EQ89" s="450">
        <v>0</v>
      </c>
      <c r="ER89" s="450">
        <v>49186314</v>
      </c>
      <c r="ES89" s="746">
        <f t="shared" si="94"/>
        <v>65581.751999999993</v>
      </c>
      <c r="ET89" s="746">
        <f t="shared" si="95"/>
        <v>65581.751999999993</v>
      </c>
      <c r="EU89" s="746">
        <f t="shared" si="96"/>
        <v>0</v>
      </c>
      <c r="EV89" s="746">
        <f t="shared" si="97"/>
        <v>49186.313999999998</v>
      </c>
      <c r="EZ89" s="780" t="s">
        <v>553</v>
      </c>
      <c r="FA89" s="781" t="s">
        <v>604</v>
      </c>
      <c r="FB89" s="444">
        <v>2082208</v>
      </c>
      <c r="FC89" s="450">
        <f t="shared" si="98"/>
        <v>2082.2080000000001</v>
      </c>
      <c r="FG89" s="785" t="s">
        <v>553</v>
      </c>
      <c r="FH89" s="784" t="s">
        <v>392</v>
      </c>
      <c r="FI89" s="782">
        <v>65581752</v>
      </c>
      <c r="FJ89" s="783">
        <v>65581752</v>
      </c>
      <c r="FK89" s="783">
        <v>0</v>
      </c>
      <c r="FL89" s="783">
        <v>54651460</v>
      </c>
      <c r="FM89" s="450">
        <f t="shared" si="99"/>
        <v>65581.751999999993</v>
      </c>
      <c r="FN89" s="450">
        <f t="shared" si="100"/>
        <v>65581.751999999993</v>
      </c>
      <c r="FO89" s="450">
        <f t="shared" si="101"/>
        <v>0</v>
      </c>
      <c r="FP89" s="450">
        <f t="shared" si="102"/>
        <v>54651.46</v>
      </c>
      <c r="FT89" s="451" t="s">
        <v>553</v>
      </c>
      <c r="FU89" s="94" t="s">
        <v>601</v>
      </c>
      <c r="FV89" s="95">
        <v>1366645</v>
      </c>
      <c r="FW89" s="95">
        <v>9642302</v>
      </c>
      <c r="FX89" s="95">
        <v>14097801</v>
      </c>
      <c r="FY89" s="450">
        <f t="shared" si="103"/>
        <v>1366.645</v>
      </c>
      <c r="FZ89" s="450">
        <f t="shared" si="104"/>
        <v>9642.3019999999997</v>
      </c>
      <c r="GA89" s="450">
        <f t="shared" si="105"/>
        <v>14097.800999999999</v>
      </c>
      <c r="GG89" s="817" t="s">
        <v>553</v>
      </c>
      <c r="GH89" s="818" t="s">
        <v>392</v>
      </c>
      <c r="GI89" s="819">
        <v>65581752</v>
      </c>
      <c r="GJ89" s="819">
        <v>65581752</v>
      </c>
      <c r="GK89" s="819">
        <v>0</v>
      </c>
      <c r="GL89" s="819">
        <v>60116606</v>
      </c>
      <c r="GM89" s="819">
        <v>5465146</v>
      </c>
      <c r="GN89" s="450">
        <f t="shared" si="106"/>
        <v>65581.751999999993</v>
      </c>
      <c r="GO89" s="450">
        <f t="shared" si="107"/>
        <v>65581.751999999993</v>
      </c>
      <c r="GP89" s="450">
        <f t="shared" si="108"/>
        <v>0</v>
      </c>
      <c r="GQ89" s="450">
        <f t="shared" si="109"/>
        <v>60116.606</v>
      </c>
      <c r="GR89" s="450">
        <f t="shared" si="110"/>
        <v>5465.1459999999997</v>
      </c>
      <c r="GV89" s="841" t="s">
        <v>601</v>
      </c>
      <c r="GW89" s="840">
        <v>30029928</v>
      </c>
      <c r="GX89" s="450">
        <f t="shared" si="111"/>
        <v>30029.928</v>
      </c>
      <c r="HB89" s="843" t="s">
        <v>388</v>
      </c>
      <c r="HC89" s="819">
        <v>9655842</v>
      </c>
      <c r="HD89" s="819">
        <v>9655842</v>
      </c>
      <c r="HE89" s="819">
        <v>0</v>
      </c>
      <c r="HF89" s="819">
        <v>9655842</v>
      </c>
      <c r="HG89" s="450">
        <f t="shared" si="112"/>
        <v>9655.8420000000006</v>
      </c>
      <c r="HH89" s="450">
        <f t="shared" si="113"/>
        <v>0</v>
      </c>
      <c r="HI89" s="450">
        <f t="shared" si="114"/>
        <v>9655.8420000000006</v>
      </c>
      <c r="HJ89" s="450">
        <f t="shared" si="115"/>
        <v>0</v>
      </c>
      <c r="HK89" s="450">
        <f t="shared" si="116"/>
        <v>9655.8420000000006</v>
      </c>
    </row>
    <row r="90" spans="1:219" ht="15" customHeight="1" x14ac:dyDescent="0.3">
      <c r="A90" s="295" t="s">
        <v>553</v>
      </c>
      <c r="B90" s="296" t="s">
        <v>398</v>
      </c>
      <c r="C90" s="297">
        <v>10000000</v>
      </c>
      <c r="D90" s="298">
        <f t="shared" si="61"/>
        <v>10630</v>
      </c>
      <c r="E90" s="297">
        <v>694551</v>
      </c>
      <c r="F90" s="297">
        <f t="shared" si="62"/>
        <v>738.30771300000004</v>
      </c>
      <c r="J90" s="299" t="s">
        <v>553</v>
      </c>
      <c r="K90" s="300" t="s">
        <v>411</v>
      </c>
      <c r="L90" s="301">
        <v>222739</v>
      </c>
      <c r="M90" s="301">
        <f t="shared" si="63"/>
        <v>236.771557</v>
      </c>
      <c r="Q90" s="299" t="s">
        <v>355</v>
      </c>
      <c r="R90" s="300" t="s">
        <v>397</v>
      </c>
      <c r="S90" s="301">
        <v>26499400</v>
      </c>
      <c r="T90" s="301">
        <v>1822771</v>
      </c>
      <c r="U90" s="301">
        <f t="shared" si="64"/>
        <v>28168.8622</v>
      </c>
      <c r="V90" s="301">
        <f t="shared" si="65"/>
        <v>1937.6055729999998</v>
      </c>
      <c r="Z90" s="296" t="s">
        <v>403</v>
      </c>
      <c r="AA90" s="297">
        <v>32491178</v>
      </c>
      <c r="AB90" s="297">
        <f t="shared" si="66"/>
        <v>34538.122213999995</v>
      </c>
      <c r="AF90" s="296" t="s">
        <v>717</v>
      </c>
      <c r="AG90" s="297">
        <v>510000</v>
      </c>
      <c r="AH90" s="297">
        <f t="shared" si="60"/>
        <v>542.13</v>
      </c>
      <c r="AI90" s="297">
        <v>0</v>
      </c>
      <c r="AL90" s="450"/>
      <c r="AN90" s="447" t="s">
        <v>553</v>
      </c>
      <c r="AO90" s="448" t="s">
        <v>602</v>
      </c>
      <c r="AP90" s="449">
        <v>8826000</v>
      </c>
      <c r="AQ90" s="449">
        <f t="shared" si="67"/>
        <v>9382.0379999999986</v>
      </c>
      <c r="AU90" s="447" t="s">
        <v>553</v>
      </c>
      <c r="AV90" s="448" t="s">
        <v>717</v>
      </c>
      <c r="AW90" s="449">
        <v>510000</v>
      </c>
      <c r="AX90" s="449">
        <v>0</v>
      </c>
      <c r="AY90" s="449">
        <v>510000</v>
      </c>
      <c r="AZ90" s="450">
        <f t="shared" si="68"/>
        <v>542.13</v>
      </c>
      <c r="BA90" s="450">
        <f t="shared" si="69"/>
        <v>0</v>
      </c>
      <c r="BB90" s="450">
        <f t="shared" si="70"/>
        <v>542.13</v>
      </c>
      <c r="BF90" s="447" t="s">
        <v>553</v>
      </c>
      <c r="BG90" s="448" t="s">
        <v>408</v>
      </c>
      <c r="BH90" s="449">
        <v>124103798</v>
      </c>
      <c r="BI90" s="450">
        <f t="shared" si="71"/>
        <v>124103.798</v>
      </c>
      <c r="BM90" s="451" t="s">
        <v>553</v>
      </c>
      <c r="BN90" s="94" t="s">
        <v>597</v>
      </c>
      <c r="BO90" s="95">
        <v>0</v>
      </c>
      <c r="BP90" s="95">
        <v>12010000</v>
      </c>
      <c r="BQ90" s="95">
        <v>5828702</v>
      </c>
      <c r="BR90" s="95">
        <v>6181298</v>
      </c>
      <c r="BS90" s="95">
        <v>5284244</v>
      </c>
      <c r="BT90" s="450">
        <f t="shared" si="72"/>
        <v>12010</v>
      </c>
      <c r="BU90" s="450">
        <f t="shared" si="73"/>
        <v>5828.7020000000002</v>
      </c>
      <c r="BV90" s="450">
        <f t="shared" si="74"/>
        <v>6181.2979999999998</v>
      </c>
      <c r="BW90" s="450">
        <f t="shared" si="75"/>
        <v>5284.2439999999997</v>
      </c>
      <c r="CA90" s="94" t="s">
        <v>603</v>
      </c>
      <c r="CB90" s="450">
        <v>0</v>
      </c>
      <c r="CC90" s="450">
        <f t="shared" si="76"/>
        <v>0</v>
      </c>
      <c r="CG90" s="448" t="s">
        <v>596</v>
      </c>
      <c r="CH90" s="449">
        <v>0</v>
      </c>
      <c r="CI90" s="449">
        <v>1680323</v>
      </c>
      <c r="CJ90" s="449">
        <v>-1680323</v>
      </c>
      <c r="CK90" s="449">
        <v>1680323</v>
      </c>
      <c r="CL90" s="449">
        <v>0</v>
      </c>
      <c r="CM90" s="449">
        <v>566590</v>
      </c>
      <c r="CN90" s="449">
        <f t="shared" si="77"/>
        <v>1680.3230000000001</v>
      </c>
      <c r="CO90" s="449">
        <f t="shared" si="78"/>
        <v>1680.3230000000001</v>
      </c>
      <c r="CP90" s="449">
        <f t="shared" si="79"/>
        <v>0</v>
      </c>
      <c r="CQ90" s="449">
        <f t="shared" si="80"/>
        <v>566.59</v>
      </c>
      <c r="CU90" s="448" t="s">
        <v>402</v>
      </c>
      <c r="CV90" s="449">
        <v>31806618</v>
      </c>
      <c r="CW90" s="449">
        <v>4596970</v>
      </c>
      <c r="CX90" s="450">
        <f t="shared" si="81"/>
        <v>31806.617999999999</v>
      </c>
      <c r="CY90" s="450">
        <f t="shared" si="82"/>
        <v>4596.97</v>
      </c>
      <c r="DB90" s="602" t="s">
        <v>596</v>
      </c>
      <c r="DC90" s="603">
        <v>2880323</v>
      </c>
      <c r="DD90" s="603">
        <v>2880323</v>
      </c>
      <c r="DE90" s="603">
        <v>0</v>
      </c>
      <c r="DF90" s="603">
        <v>566590</v>
      </c>
      <c r="DG90" s="604">
        <f t="shared" si="83"/>
        <v>2880.3229999999999</v>
      </c>
      <c r="DH90" s="604">
        <f t="shared" si="84"/>
        <v>2880.3229999999999</v>
      </c>
      <c r="DI90" s="604">
        <f t="shared" si="85"/>
        <v>0</v>
      </c>
      <c r="DJ90" s="604">
        <f t="shared" si="86"/>
        <v>566.59</v>
      </c>
      <c r="DN90" s="94" t="s">
        <v>494</v>
      </c>
      <c r="DO90" s="94">
        <v>0</v>
      </c>
      <c r="DP90" s="94">
        <v>1041250</v>
      </c>
      <c r="DQ90" s="666">
        <f t="shared" si="87"/>
        <v>0</v>
      </c>
      <c r="DR90" s="666">
        <f t="shared" si="88"/>
        <v>1041.25</v>
      </c>
      <c r="DV90" s="94" t="s">
        <v>395</v>
      </c>
      <c r="DW90" s="95">
        <v>24673313</v>
      </c>
      <c r="DX90" s="95">
        <v>24673313</v>
      </c>
      <c r="DY90" s="95">
        <v>0</v>
      </c>
      <c r="DZ90" s="95">
        <v>19119163</v>
      </c>
      <c r="EA90" s="95">
        <f t="shared" si="89"/>
        <v>24673.312999999998</v>
      </c>
      <c r="EB90" s="95">
        <f t="shared" si="90"/>
        <v>24673.312999999998</v>
      </c>
      <c r="EC90" s="95">
        <f t="shared" si="91"/>
        <v>0</v>
      </c>
      <c r="ED90" s="95">
        <f t="shared" si="92"/>
        <v>19119.163</v>
      </c>
      <c r="EH90" s="444" t="s">
        <v>402</v>
      </c>
      <c r="EI90" s="444">
        <v>24475425</v>
      </c>
      <c r="EJ90" s="450">
        <f t="shared" si="93"/>
        <v>24475.424999999999</v>
      </c>
      <c r="EN90" s="444" t="s">
        <v>393</v>
      </c>
      <c r="EO90" s="450">
        <v>2315654</v>
      </c>
      <c r="EP90" s="450">
        <v>1860276</v>
      </c>
      <c r="EQ90" s="450">
        <v>455378</v>
      </c>
      <c r="ER90" s="450">
        <v>1379787</v>
      </c>
      <c r="ES90" s="746">
        <f t="shared" si="94"/>
        <v>2315.654</v>
      </c>
      <c r="ET90" s="746">
        <f t="shared" si="95"/>
        <v>1860.2760000000001</v>
      </c>
      <c r="EU90" s="746">
        <f t="shared" si="96"/>
        <v>455.37799999999999</v>
      </c>
      <c r="EV90" s="746">
        <f t="shared" si="97"/>
        <v>1379.787</v>
      </c>
      <c r="EZ90" s="780" t="s">
        <v>553</v>
      </c>
      <c r="FA90" s="781" t="s">
        <v>605</v>
      </c>
      <c r="FB90" s="444">
        <v>5730096</v>
      </c>
      <c r="FC90" s="450">
        <f t="shared" si="98"/>
        <v>5730.0959999999995</v>
      </c>
      <c r="FG90" s="785" t="s">
        <v>553</v>
      </c>
      <c r="FH90" s="784" t="s">
        <v>393</v>
      </c>
      <c r="FI90" s="782">
        <v>2315654</v>
      </c>
      <c r="FJ90" s="783">
        <v>1860276</v>
      </c>
      <c r="FK90" s="783">
        <v>455378</v>
      </c>
      <c r="FL90" s="783">
        <v>1539950</v>
      </c>
      <c r="FM90" s="450">
        <f t="shared" si="99"/>
        <v>2315.654</v>
      </c>
      <c r="FN90" s="450">
        <f t="shared" si="100"/>
        <v>1860.2760000000001</v>
      </c>
      <c r="FO90" s="450">
        <f t="shared" si="101"/>
        <v>455.37799999999999</v>
      </c>
      <c r="FP90" s="450">
        <f t="shared" si="102"/>
        <v>1539.95</v>
      </c>
      <c r="FT90" s="451" t="s">
        <v>553</v>
      </c>
      <c r="FU90" s="94" t="s">
        <v>602</v>
      </c>
      <c r="FV90" s="95">
        <v>1611000</v>
      </c>
      <c r="FW90" s="95">
        <v>19000</v>
      </c>
      <c r="FX90" s="95">
        <v>7328000</v>
      </c>
      <c r="FY90" s="450">
        <f t="shared" si="103"/>
        <v>1611</v>
      </c>
      <c r="FZ90" s="450">
        <f t="shared" si="104"/>
        <v>19</v>
      </c>
      <c r="GA90" s="450">
        <f t="shared" si="105"/>
        <v>7328</v>
      </c>
      <c r="GG90" s="817" t="s">
        <v>553</v>
      </c>
      <c r="GH90" s="818" t="s">
        <v>393</v>
      </c>
      <c r="GI90" s="819">
        <v>1860276</v>
      </c>
      <c r="GJ90" s="819">
        <v>1860276</v>
      </c>
      <c r="GK90" s="819">
        <v>0</v>
      </c>
      <c r="GL90" s="819">
        <v>1539950</v>
      </c>
      <c r="GM90" s="819">
        <v>320326</v>
      </c>
      <c r="GN90" s="450">
        <f t="shared" si="106"/>
        <v>1860.2760000000001</v>
      </c>
      <c r="GO90" s="450">
        <f t="shared" si="107"/>
        <v>1860.2760000000001</v>
      </c>
      <c r="GP90" s="450">
        <f t="shared" si="108"/>
        <v>0</v>
      </c>
      <c r="GQ90" s="450">
        <f t="shared" si="109"/>
        <v>1539.95</v>
      </c>
      <c r="GR90" s="450">
        <f t="shared" si="110"/>
        <v>320.32600000000002</v>
      </c>
      <c r="GV90" s="841" t="s">
        <v>602</v>
      </c>
      <c r="GW90" s="840">
        <v>8932000</v>
      </c>
      <c r="GX90" s="450">
        <f t="shared" si="111"/>
        <v>8932</v>
      </c>
      <c r="HB90" s="843" t="s">
        <v>389</v>
      </c>
      <c r="HC90" s="819">
        <v>9914307</v>
      </c>
      <c r="HD90" s="819">
        <v>9914307</v>
      </c>
      <c r="HE90" s="819">
        <v>0</v>
      </c>
      <c r="HF90" s="819">
        <v>9914307</v>
      </c>
      <c r="HG90" s="450">
        <f t="shared" si="112"/>
        <v>9914.3070000000007</v>
      </c>
      <c r="HH90" s="450">
        <f t="shared" si="113"/>
        <v>0</v>
      </c>
      <c r="HI90" s="450">
        <f t="shared" si="114"/>
        <v>9914.3070000000007</v>
      </c>
      <c r="HJ90" s="450">
        <f t="shared" si="115"/>
        <v>0</v>
      </c>
      <c r="HK90" s="450">
        <f t="shared" si="116"/>
        <v>9914.3070000000007</v>
      </c>
    </row>
    <row r="91" spans="1:219" ht="15" customHeight="1" x14ac:dyDescent="0.3">
      <c r="A91" s="295" t="s">
        <v>553</v>
      </c>
      <c r="B91" s="296" t="s">
        <v>399</v>
      </c>
      <c r="C91" s="297">
        <v>15000000</v>
      </c>
      <c r="D91" s="298">
        <f t="shared" si="61"/>
        <v>15945</v>
      </c>
      <c r="E91" s="297">
        <v>21150</v>
      </c>
      <c r="F91" s="297">
        <f t="shared" si="62"/>
        <v>22.482449999999996</v>
      </c>
      <c r="J91" s="299" t="s">
        <v>449</v>
      </c>
      <c r="K91" s="300" t="s">
        <v>412</v>
      </c>
      <c r="L91" s="301">
        <v>13919362</v>
      </c>
      <c r="M91" s="301">
        <f t="shared" si="63"/>
        <v>14796.281805999999</v>
      </c>
      <c r="Q91" s="299" t="s">
        <v>553</v>
      </c>
      <c r="R91" s="300" t="s">
        <v>398</v>
      </c>
      <c r="S91" s="301">
        <v>10000000</v>
      </c>
      <c r="T91" s="301">
        <v>1801621</v>
      </c>
      <c r="U91" s="301">
        <f t="shared" si="64"/>
        <v>10630</v>
      </c>
      <c r="V91" s="301">
        <f t="shared" si="65"/>
        <v>1915.1231230000001</v>
      </c>
      <c r="Z91" s="296" t="s">
        <v>404</v>
      </c>
      <c r="AA91" s="297">
        <v>19716636</v>
      </c>
      <c r="AB91" s="297">
        <f t="shared" si="66"/>
        <v>20958.784067999997</v>
      </c>
      <c r="AF91" s="296" t="s">
        <v>600</v>
      </c>
      <c r="AG91" s="297">
        <v>7900000</v>
      </c>
      <c r="AH91" s="297">
        <f t="shared" si="60"/>
        <v>8397.6999999999989</v>
      </c>
      <c r="AI91" s="297">
        <v>421061</v>
      </c>
      <c r="AL91" s="450"/>
      <c r="AN91" s="447" t="s">
        <v>553</v>
      </c>
      <c r="AO91" s="448" t="s">
        <v>603</v>
      </c>
      <c r="AP91" s="449">
        <v>119879</v>
      </c>
      <c r="AQ91" s="449">
        <f t="shared" si="67"/>
        <v>127.431377</v>
      </c>
      <c r="AU91" s="447" t="s">
        <v>553</v>
      </c>
      <c r="AV91" s="448" t="s">
        <v>600</v>
      </c>
      <c r="AW91" s="449">
        <v>7900000</v>
      </c>
      <c r="AX91" s="449">
        <v>2526370</v>
      </c>
      <c r="AY91" s="449">
        <v>5373630</v>
      </c>
      <c r="AZ91" s="450">
        <f t="shared" si="68"/>
        <v>8397.6999999999989</v>
      </c>
      <c r="BA91" s="450">
        <f t="shared" si="69"/>
        <v>2685.5313099999998</v>
      </c>
      <c r="BB91" s="450">
        <f t="shared" si="70"/>
        <v>5712.1686899999995</v>
      </c>
      <c r="BF91" s="447" t="s">
        <v>553</v>
      </c>
      <c r="BG91" s="448" t="s">
        <v>409</v>
      </c>
      <c r="BH91" s="449">
        <v>1600000</v>
      </c>
      <c r="BI91" s="450">
        <f t="shared" si="71"/>
        <v>1600</v>
      </c>
      <c r="BM91" s="451" t="s">
        <v>553</v>
      </c>
      <c r="BN91" s="94" t="s">
        <v>717</v>
      </c>
      <c r="BO91" s="95">
        <v>0</v>
      </c>
      <c r="BP91" s="95">
        <v>288510</v>
      </c>
      <c r="BQ91" s="95">
        <v>0</v>
      </c>
      <c r="BR91" s="95">
        <v>288510</v>
      </c>
      <c r="BS91" s="95">
        <v>0</v>
      </c>
      <c r="BT91" s="450">
        <f t="shared" si="72"/>
        <v>288.51</v>
      </c>
      <c r="BU91" s="450">
        <f t="shared" si="73"/>
        <v>0</v>
      </c>
      <c r="BV91" s="450">
        <f t="shared" si="74"/>
        <v>288.51</v>
      </c>
      <c r="BW91" s="450">
        <f t="shared" si="75"/>
        <v>0</v>
      </c>
      <c r="CA91" s="94" t="s">
        <v>402</v>
      </c>
      <c r="CB91" s="450">
        <v>1904000</v>
      </c>
      <c r="CC91" s="450">
        <f t="shared" si="76"/>
        <v>1904</v>
      </c>
      <c r="CG91" s="448" t="s">
        <v>597</v>
      </c>
      <c r="CH91" s="449">
        <v>0</v>
      </c>
      <c r="CI91" s="449">
        <v>10854633</v>
      </c>
      <c r="CJ91" s="449">
        <v>-10854633</v>
      </c>
      <c r="CK91" s="449">
        <v>6224439</v>
      </c>
      <c r="CL91" s="449">
        <v>4630194</v>
      </c>
      <c r="CM91" s="449">
        <v>5828702</v>
      </c>
      <c r="CN91" s="449">
        <f t="shared" si="77"/>
        <v>10854.633</v>
      </c>
      <c r="CO91" s="449">
        <f t="shared" si="78"/>
        <v>6224.4390000000003</v>
      </c>
      <c r="CP91" s="449">
        <f t="shared" si="79"/>
        <v>4630.1940000000004</v>
      </c>
      <c r="CQ91" s="449">
        <f t="shared" si="80"/>
        <v>5828.7020000000002</v>
      </c>
      <c r="CU91" s="448" t="s">
        <v>403</v>
      </c>
      <c r="CV91" s="449">
        <v>-330482</v>
      </c>
      <c r="CW91" s="449">
        <v>128608182</v>
      </c>
      <c r="CX91" s="450">
        <f t="shared" si="81"/>
        <v>-330.48200000000003</v>
      </c>
      <c r="CY91" s="450">
        <f t="shared" si="82"/>
        <v>128608.182</v>
      </c>
      <c r="DB91" s="602" t="s">
        <v>597</v>
      </c>
      <c r="DC91" s="603">
        <v>9212853</v>
      </c>
      <c r="DD91" s="603">
        <v>8768646</v>
      </c>
      <c r="DE91" s="603">
        <v>444207</v>
      </c>
      <c r="DF91" s="603">
        <v>6605918</v>
      </c>
      <c r="DG91" s="604">
        <f t="shared" si="83"/>
        <v>9212.8529999999992</v>
      </c>
      <c r="DH91" s="604">
        <f t="shared" si="84"/>
        <v>8768.6460000000006</v>
      </c>
      <c r="DI91" s="604">
        <f t="shared" si="85"/>
        <v>444.20699999999999</v>
      </c>
      <c r="DJ91" s="604">
        <f t="shared" si="86"/>
        <v>6605.9179999999997</v>
      </c>
      <c r="DN91" s="94" t="s">
        <v>606</v>
      </c>
      <c r="DO91" s="94">
        <v>0</v>
      </c>
      <c r="DP91" s="94">
        <v>0</v>
      </c>
      <c r="DQ91" s="666">
        <f t="shared" si="87"/>
        <v>0</v>
      </c>
      <c r="DR91" s="666">
        <f t="shared" si="88"/>
        <v>0</v>
      </c>
      <c r="DV91" s="94" t="s">
        <v>596</v>
      </c>
      <c r="DW91" s="95">
        <v>4917187</v>
      </c>
      <c r="DX91" s="95">
        <v>4917187</v>
      </c>
      <c r="DY91" s="95">
        <v>0</v>
      </c>
      <c r="DZ91" s="95">
        <v>2899123</v>
      </c>
      <c r="EA91" s="95">
        <f t="shared" si="89"/>
        <v>4917.1869999999999</v>
      </c>
      <c r="EB91" s="95">
        <f t="shared" si="90"/>
        <v>4917.1869999999999</v>
      </c>
      <c r="EC91" s="95">
        <f t="shared" si="91"/>
        <v>0</v>
      </c>
      <c r="ED91" s="95">
        <f t="shared" si="92"/>
        <v>2899.123</v>
      </c>
      <c r="EH91" s="444" t="s">
        <v>403</v>
      </c>
      <c r="EI91" s="444">
        <v>82292236</v>
      </c>
      <c r="EJ91" s="450">
        <f t="shared" si="93"/>
        <v>82292.236000000004</v>
      </c>
      <c r="EN91" s="444" t="s">
        <v>394</v>
      </c>
      <c r="EO91" s="450">
        <v>5746715</v>
      </c>
      <c r="EP91" s="450">
        <v>5746715</v>
      </c>
      <c r="EQ91" s="450">
        <v>0</v>
      </c>
      <c r="ER91" s="450">
        <v>4318272</v>
      </c>
      <c r="ES91" s="746">
        <f t="shared" si="94"/>
        <v>5746.7150000000001</v>
      </c>
      <c r="ET91" s="746">
        <f t="shared" si="95"/>
        <v>5746.7150000000001</v>
      </c>
      <c r="EU91" s="746">
        <f t="shared" si="96"/>
        <v>0</v>
      </c>
      <c r="EV91" s="746">
        <f t="shared" si="97"/>
        <v>4318.2719999999999</v>
      </c>
      <c r="EZ91" s="780" t="s">
        <v>553</v>
      </c>
      <c r="FA91" s="781" t="s">
        <v>494</v>
      </c>
      <c r="FB91" s="444">
        <v>1041250</v>
      </c>
      <c r="FC91" s="450">
        <f t="shared" si="98"/>
        <v>1041.25</v>
      </c>
      <c r="FG91" s="785" t="s">
        <v>553</v>
      </c>
      <c r="FH91" s="784" t="s">
        <v>394</v>
      </c>
      <c r="FI91" s="782">
        <v>5746715</v>
      </c>
      <c r="FJ91" s="783">
        <v>5746715</v>
      </c>
      <c r="FK91" s="783">
        <v>0</v>
      </c>
      <c r="FL91" s="783">
        <v>4798080</v>
      </c>
      <c r="FM91" s="450">
        <f t="shared" si="99"/>
        <v>5746.7150000000001</v>
      </c>
      <c r="FN91" s="450">
        <f t="shared" si="100"/>
        <v>5746.7150000000001</v>
      </c>
      <c r="FO91" s="450">
        <f t="shared" si="101"/>
        <v>0</v>
      </c>
      <c r="FP91" s="450">
        <f t="shared" si="102"/>
        <v>4798.08</v>
      </c>
      <c r="FT91" s="451" t="s">
        <v>553</v>
      </c>
      <c r="FU91" s="94" t="s">
        <v>402</v>
      </c>
      <c r="FV91" s="95">
        <v>-2527486</v>
      </c>
      <c r="FW91" s="95">
        <v>3636046</v>
      </c>
      <c r="FX91" s="95">
        <v>4282988</v>
      </c>
      <c r="FY91" s="450">
        <f t="shared" si="103"/>
        <v>-2527.4859999999999</v>
      </c>
      <c r="FZ91" s="450">
        <f t="shared" si="104"/>
        <v>3636.0459999999998</v>
      </c>
      <c r="GA91" s="450">
        <f t="shared" si="105"/>
        <v>4282.9880000000003</v>
      </c>
      <c r="GG91" s="817" t="s">
        <v>553</v>
      </c>
      <c r="GH91" s="818" t="s">
        <v>394</v>
      </c>
      <c r="GI91" s="819">
        <v>5746715</v>
      </c>
      <c r="GJ91" s="819">
        <v>5746715</v>
      </c>
      <c r="GK91" s="819">
        <v>0</v>
      </c>
      <c r="GL91" s="819">
        <v>4798080</v>
      </c>
      <c r="GM91" s="819">
        <v>948635</v>
      </c>
      <c r="GN91" s="450">
        <f t="shared" si="106"/>
        <v>5746.7150000000001</v>
      </c>
      <c r="GO91" s="450">
        <f t="shared" si="107"/>
        <v>5746.7150000000001</v>
      </c>
      <c r="GP91" s="450">
        <f t="shared" si="108"/>
        <v>0</v>
      </c>
      <c r="GQ91" s="450">
        <f t="shared" si="109"/>
        <v>4798.08</v>
      </c>
      <c r="GR91" s="450">
        <f t="shared" si="110"/>
        <v>948.63499999999999</v>
      </c>
      <c r="GV91" s="841" t="s">
        <v>402</v>
      </c>
      <c r="GW91" s="840">
        <v>41484292</v>
      </c>
      <c r="GX91" s="450">
        <f t="shared" si="111"/>
        <v>41484.292000000001</v>
      </c>
      <c r="HB91" s="843" t="s">
        <v>390</v>
      </c>
      <c r="HC91" s="819">
        <v>2366141</v>
      </c>
      <c r="HD91" s="819">
        <v>2366141</v>
      </c>
      <c r="HE91" s="819">
        <v>0</v>
      </c>
      <c r="HF91" s="819">
        <v>2366141</v>
      </c>
      <c r="HG91" s="450">
        <f t="shared" si="112"/>
        <v>2366.1410000000001</v>
      </c>
      <c r="HH91" s="450">
        <f t="shared" si="113"/>
        <v>0</v>
      </c>
      <c r="HI91" s="450">
        <f t="shared" si="114"/>
        <v>2366.1410000000001</v>
      </c>
      <c r="HJ91" s="450">
        <f t="shared" si="115"/>
        <v>0</v>
      </c>
      <c r="HK91" s="450">
        <f t="shared" si="116"/>
        <v>2366.1410000000001</v>
      </c>
    </row>
    <row r="92" spans="1:219" ht="15" customHeight="1" x14ac:dyDescent="0.3">
      <c r="A92" s="295" t="s">
        <v>355</v>
      </c>
      <c r="B92" s="296" t="s">
        <v>400</v>
      </c>
      <c r="C92" s="297">
        <v>243191180</v>
      </c>
      <c r="D92" s="298">
        <f t="shared" si="61"/>
        <v>258512.22433999999</v>
      </c>
      <c r="E92" s="297">
        <v>11011665</v>
      </c>
      <c r="F92" s="297">
        <f t="shared" si="62"/>
        <v>11705.399895</v>
      </c>
      <c r="J92" s="299" t="s">
        <v>355</v>
      </c>
      <c r="K92" s="300" t="s">
        <v>413</v>
      </c>
      <c r="L92" s="301">
        <v>13919362</v>
      </c>
      <c r="M92" s="301">
        <f t="shared" si="63"/>
        <v>14796.281805999999</v>
      </c>
      <c r="Q92" s="299" t="s">
        <v>553</v>
      </c>
      <c r="R92" s="300" t="s">
        <v>399</v>
      </c>
      <c r="S92" s="301">
        <v>16499400</v>
      </c>
      <c r="T92" s="301">
        <v>21150</v>
      </c>
      <c r="U92" s="301">
        <f t="shared" si="64"/>
        <v>17538.8622</v>
      </c>
      <c r="V92" s="301">
        <f t="shared" si="65"/>
        <v>22.482449999999996</v>
      </c>
      <c r="Z92" s="296" t="s">
        <v>604</v>
      </c>
      <c r="AA92" s="297">
        <v>1856258</v>
      </c>
      <c r="AB92" s="297">
        <f t="shared" si="66"/>
        <v>1973.202254</v>
      </c>
      <c r="AF92" s="296" t="s">
        <v>397</v>
      </c>
      <c r="AG92" s="297">
        <v>17998800</v>
      </c>
      <c r="AH92" s="297">
        <f t="shared" si="60"/>
        <v>19132.724399999999</v>
      </c>
      <c r="AI92" s="297">
        <v>1925629</v>
      </c>
      <c r="AL92" s="450"/>
      <c r="AN92" s="447" t="s">
        <v>553</v>
      </c>
      <c r="AO92" s="448" t="s">
        <v>402</v>
      </c>
      <c r="AP92" s="449">
        <v>773500</v>
      </c>
      <c r="AQ92" s="449">
        <f t="shared" si="67"/>
        <v>822.23050000000001</v>
      </c>
      <c r="AU92" s="447" t="s">
        <v>355</v>
      </c>
      <c r="AV92" s="448" t="s">
        <v>397</v>
      </c>
      <c r="AW92" s="449">
        <v>17998800</v>
      </c>
      <c r="AX92" s="449">
        <v>5828491</v>
      </c>
      <c r="AY92" s="449">
        <v>12170309</v>
      </c>
      <c r="AZ92" s="450">
        <f t="shared" si="68"/>
        <v>19132.724399999999</v>
      </c>
      <c r="BA92" s="450">
        <f t="shared" si="69"/>
        <v>6195.6859329999997</v>
      </c>
      <c r="BB92" s="450">
        <f t="shared" si="70"/>
        <v>12937.038466999998</v>
      </c>
      <c r="BF92" s="447" t="s">
        <v>355</v>
      </c>
      <c r="BG92" s="448" t="s">
        <v>608</v>
      </c>
      <c r="BH92" s="449">
        <v>595442</v>
      </c>
      <c r="BI92" s="450">
        <f t="shared" si="71"/>
        <v>595.44200000000001</v>
      </c>
      <c r="BM92" s="451" t="s">
        <v>553</v>
      </c>
      <c r="BN92" s="94" t="s">
        <v>600</v>
      </c>
      <c r="BO92" s="95">
        <v>0</v>
      </c>
      <c r="BP92" s="95">
        <v>7900000</v>
      </c>
      <c r="BQ92" s="95">
        <v>2661990</v>
      </c>
      <c r="BR92" s="95">
        <v>5238010</v>
      </c>
      <c r="BS92" s="95">
        <v>842122</v>
      </c>
      <c r="BT92" s="450">
        <f t="shared" si="72"/>
        <v>7900</v>
      </c>
      <c r="BU92" s="450">
        <f t="shared" si="73"/>
        <v>2661.99</v>
      </c>
      <c r="BV92" s="450">
        <f t="shared" si="74"/>
        <v>5238.01</v>
      </c>
      <c r="BW92" s="450">
        <f t="shared" si="75"/>
        <v>842.12199999999996</v>
      </c>
      <c r="CA92" s="94" t="s">
        <v>403</v>
      </c>
      <c r="CB92" s="450">
        <v>23201637</v>
      </c>
      <c r="CC92" s="450">
        <f t="shared" si="76"/>
        <v>23201.636999999999</v>
      </c>
      <c r="CG92" s="448" t="s">
        <v>717</v>
      </c>
      <c r="CH92" s="449">
        <v>0</v>
      </c>
      <c r="CI92" s="449">
        <v>288510</v>
      </c>
      <c r="CJ92" s="449">
        <v>-288510</v>
      </c>
      <c r="CK92" s="449">
        <v>0</v>
      </c>
      <c r="CL92" s="449">
        <v>288510</v>
      </c>
      <c r="CM92" s="449">
        <v>0</v>
      </c>
      <c r="CN92" s="449">
        <f t="shared" si="77"/>
        <v>288.51</v>
      </c>
      <c r="CO92" s="449">
        <f t="shared" si="78"/>
        <v>0</v>
      </c>
      <c r="CP92" s="449">
        <f t="shared" si="79"/>
        <v>288.51</v>
      </c>
      <c r="CQ92" s="449">
        <f t="shared" si="80"/>
        <v>0</v>
      </c>
      <c r="CU92" s="448" t="s">
        <v>404</v>
      </c>
      <c r="CV92" s="449">
        <v>0</v>
      </c>
      <c r="CW92" s="449">
        <v>116349889</v>
      </c>
      <c r="CX92" s="450">
        <f t="shared" si="81"/>
        <v>0</v>
      </c>
      <c r="CY92" s="450">
        <f t="shared" si="82"/>
        <v>116349.889</v>
      </c>
      <c r="DB92" s="602" t="s">
        <v>717</v>
      </c>
      <c r="DC92" s="603">
        <v>79858</v>
      </c>
      <c r="DD92" s="603">
        <v>0</v>
      </c>
      <c r="DE92" s="603">
        <v>79858</v>
      </c>
      <c r="DF92" s="603">
        <v>0</v>
      </c>
      <c r="DG92" s="604">
        <f t="shared" si="83"/>
        <v>79.858000000000004</v>
      </c>
      <c r="DH92" s="604">
        <f t="shared" si="84"/>
        <v>0</v>
      </c>
      <c r="DI92" s="604">
        <f t="shared" si="85"/>
        <v>79.858000000000004</v>
      </c>
      <c r="DJ92" s="604">
        <f t="shared" si="86"/>
        <v>0</v>
      </c>
      <c r="DN92" s="94" t="s">
        <v>405</v>
      </c>
      <c r="DO92" s="94">
        <v>0</v>
      </c>
      <c r="DP92" s="94">
        <v>0</v>
      </c>
      <c r="DQ92" s="666">
        <f t="shared" si="87"/>
        <v>0</v>
      </c>
      <c r="DR92" s="666">
        <f t="shared" si="88"/>
        <v>0</v>
      </c>
      <c r="DV92" s="94" t="s">
        <v>597</v>
      </c>
      <c r="DW92" s="95">
        <v>9610666</v>
      </c>
      <c r="DX92" s="95">
        <v>9610666</v>
      </c>
      <c r="DY92" s="95">
        <v>0</v>
      </c>
      <c r="DZ92" s="95">
        <v>7802026</v>
      </c>
      <c r="EA92" s="95">
        <f t="shared" si="89"/>
        <v>9610.6659999999993</v>
      </c>
      <c r="EB92" s="95">
        <f t="shared" si="90"/>
        <v>9610.6659999999993</v>
      </c>
      <c r="EC92" s="95">
        <f t="shared" si="91"/>
        <v>0</v>
      </c>
      <c r="ED92" s="95">
        <f t="shared" si="92"/>
        <v>7802.0259999999998</v>
      </c>
      <c r="EH92" s="444" t="s">
        <v>404</v>
      </c>
      <c r="EI92" s="444">
        <v>73595562</v>
      </c>
      <c r="EJ92" s="450">
        <f t="shared" si="93"/>
        <v>73595.562000000005</v>
      </c>
      <c r="EN92" s="444" t="s">
        <v>595</v>
      </c>
      <c r="EO92" s="450">
        <v>35147519</v>
      </c>
      <c r="EP92" s="450">
        <v>31947519</v>
      </c>
      <c r="EQ92" s="450">
        <v>3200000</v>
      </c>
      <c r="ER92" s="450">
        <v>26175661</v>
      </c>
      <c r="ES92" s="746">
        <f t="shared" si="94"/>
        <v>35147.519</v>
      </c>
      <c r="ET92" s="746">
        <f t="shared" si="95"/>
        <v>31947.519</v>
      </c>
      <c r="EU92" s="746">
        <f t="shared" si="96"/>
        <v>3200</v>
      </c>
      <c r="EV92" s="746">
        <f t="shared" si="97"/>
        <v>26175.661</v>
      </c>
      <c r="EZ92" s="780" t="s">
        <v>355</v>
      </c>
      <c r="FA92" s="781" t="s">
        <v>607</v>
      </c>
      <c r="FB92" s="444">
        <v>107741699</v>
      </c>
      <c r="FC92" s="450">
        <f t="shared" si="98"/>
        <v>107741.69899999999</v>
      </c>
      <c r="FG92" s="785" t="s">
        <v>553</v>
      </c>
      <c r="FH92" s="784" t="s">
        <v>595</v>
      </c>
      <c r="FI92" s="782">
        <v>35147519</v>
      </c>
      <c r="FJ92" s="783">
        <v>31947519</v>
      </c>
      <c r="FK92" s="783">
        <v>3200000</v>
      </c>
      <c r="FL92" s="783">
        <v>29061590</v>
      </c>
      <c r="FM92" s="450">
        <f t="shared" si="99"/>
        <v>35147.519</v>
      </c>
      <c r="FN92" s="450">
        <f t="shared" si="100"/>
        <v>31947.519</v>
      </c>
      <c r="FO92" s="450">
        <f t="shared" si="101"/>
        <v>3200</v>
      </c>
      <c r="FP92" s="450">
        <f t="shared" si="102"/>
        <v>29061.59</v>
      </c>
      <c r="FT92" s="451" t="s">
        <v>355</v>
      </c>
      <c r="FU92" s="94" t="s">
        <v>403</v>
      </c>
      <c r="FV92" s="95">
        <v>16277507</v>
      </c>
      <c r="FW92" s="95">
        <v>24317661</v>
      </c>
      <c r="FX92" s="95">
        <v>61890003</v>
      </c>
      <c r="FY92" s="450">
        <f t="shared" si="103"/>
        <v>16277.507</v>
      </c>
      <c r="FZ92" s="450">
        <f t="shared" si="104"/>
        <v>24317.661</v>
      </c>
      <c r="GA92" s="450">
        <f t="shared" si="105"/>
        <v>61890.002999999997</v>
      </c>
      <c r="GG92" s="817" t="s">
        <v>553</v>
      </c>
      <c r="GH92" s="818" t="s">
        <v>595</v>
      </c>
      <c r="GI92" s="819">
        <v>35083325</v>
      </c>
      <c r="GJ92" s="819">
        <v>35083325</v>
      </c>
      <c r="GK92" s="819">
        <v>0</v>
      </c>
      <c r="GL92" s="819">
        <v>31947519</v>
      </c>
      <c r="GM92" s="819">
        <v>3135806</v>
      </c>
      <c r="GN92" s="450">
        <f t="shared" si="106"/>
        <v>35083.324999999997</v>
      </c>
      <c r="GO92" s="450">
        <f t="shared" si="107"/>
        <v>35083.324999999997</v>
      </c>
      <c r="GP92" s="450">
        <f t="shared" si="108"/>
        <v>0</v>
      </c>
      <c r="GQ92" s="450">
        <f t="shared" si="109"/>
        <v>31947.519</v>
      </c>
      <c r="GR92" s="450">
        <f t="shared" si="110"/>
        <v>3135.806</v>
      </c>
      <c r="GV92" s="841" t="s">
        <v>403</v>
      </c>
      <c r="GW92" s="840">
        <v>96322559</v>
      </c>
      <c r="GX92" s="450">
        <f t="shared" si="111"/>
        <v>96322.558999999994</v>
      </c>
      <c r="HB92" s="843" t="s">
        <v>391</v>
      </c>
      <c r="HC92" s="819">
        <v>13065798</v>
      </c>
      <c r="HD92" s="819">
        <v>13065798</v>
      </c>
      <c r="HE92" s="819">
        <v>0</v>
      </c>
      <c r="HF92" s="819">
        <v>13065798</v>
      </c>
      <c r="HG92" s="450">
        <f t="shared" si="112"/>
        <v>13065.798000000001</v>
      </c>
      <c r="HH92" s="450">
        <f t="shared" si="113"/>
        <v>0</v>
      </c>
      <c r="HI92" s="450">
        <f t="shared" si="114"/>
        <v>13065.798000000001</v>
      </c>
      <c r="HJ92" s="450">
        <f t="shared" si="115"/>
        <v>0</v>
      </c>
      <c r="HK92" s="450">
        <f t="shared" si="116"/>
        <v>13065.798000000001</v>
      </c>
    </row>
    <row r="93" spans="1:219" ht="15" customHeight="1" x14ac:dyDescent="0.3">
      <c r="A93" s="295" t="s">
        <v>553</v>
      </c>
      <c r="B93" s="296" t="s">
        <v>401</v>
      </c>
      <c r="C93" s="297">
        <v>82850500</v>
      </c>
      <c r="D93" s="298">
        <f t="shared" si="61"/>
        <v>88070.0815</v>
      </c>
      <c r="E93" s="297">
        <v>3679782</v>
      </c>
      <c r="F93" s="297">
        <f t="shared" si="62"/>
        <v>3911.6082660000002</v>
      </c>
      <c r="J93" s="299" t="s">
        <v>553</v>
      </c>
      <c r="K93" s="300" t="s">
        <v>532</v>
      </c>
      <c r="L93" s="301">
        <v>13919362</v>
      </c>
      <c r="M93" s="301">
        <f t="shared" si="63"/>
        <v>14796.281805999999</v>
      </c>
      <c r="Q93" s="299" t="s">
        <v>355</v>
      </c>
      <c r="R93" s="300" t="s">
        <v>400</v>
      </c>
      <c r="S93" s="301">
        <v>240918035</v>
      </c>
      <c r="T93" s="301">
        <v>24850362</v>
      </c>
      <c r="U93" s="301">
        <f t="shared" si="64"/>
        <v>256095.871205</v>
      </c>
      <c r="V93" s="301">
        <f t="shared" si="65"/>
        <v>26415.934806000001</v>
      </c>
      <c r="Z93" s="296" t="s">
        <v>605</v>
      </c>
      <c r="AA93" s="297">
        <v>9877034</v>
      </c>
      <c r="AB93" s="297">
        <f t="shared" si="66"/>
        <v>10499.287141999999</v>
      </c>
      <c r="AF93" s="296" t="s">
        <v>398</v>
      </c>
      <c r="AG93" s="297">
        <v>10000000</v>
      </c>
      <c r="AH93" s="297">
        <f t="shared" si="60"/>
        <v>10630</v>
      </c>
      <c r="AI93" s="297">
        <v>1904479</v>
      </c>
      <c r="AL93" s="450"/>
      <c r="AN93" s="447" t="s">
        <v>355</v>
      </c>
      <c r="AO93" s="448" t="s">
        <v>403</v>
      </c>
      <c r="AP93" s="449">
        <v>106991959</v>
      </c>
      <c r="AQ93" s="449">
        <f t="shared" si="67"/>
        <v>113732.45241699999</v>
      </c>
      <c r="AU93" s="447" t="s">
        <v>553</v>
      </c>
      <c r="AV93" s="448" t="s">
        <v>398</v>
      </c>
      <c r="AW93" s="449">
        <v>10000000</v>
      </c>
      <c r="AX93" s="449">
        <v>2808541</v>
      </c>
      <c r="AY93" s="449">
        <v>7191459</v>
      </c>
      <c r="AZ93" s="450">
        <f t="shared" si="68"/>
        <v>10630</v>
      </c>
      <c r="BA93" s="450">
        <f t="shared" si="69"/>
        <v>2985.4790830000002</v>
      </c>
      <c r="BB93" s="450">
        <f t="shared" si="70"/>
        <v>7644.5209169999998</v>
      </c>
      <c r="BF93" s="447" t="s">
        <v>553</v>
      </c>
      <c r="BG93" s="448" t="s">
        <v>410</v>
      </c>
      <c r="BH93" s="449">
        <v>595442</v>
      </c>
      <c r="BI93" s="450">
        <f t="shared" si="71"/>
        <v>595.44200000000001</v>
      </c>
      <c r="BM93" s="451" t="s">
        <v>355</v>
      </c>
      <c r="BN93" s="94" t="s">
        <v>397</v>
      </c>
      <c r="BO93" s="95">
        <v>0</v>
      </c>
      <c r="BP93" s="95">
        <v>13421075</v>
      </c>
      <c r="BQ93" s="95">
        <v>7915936</v>
      </c>
      <c r="BR93" s="95">
        <v>5505139</v>
      </c>
      <c r="BS93" s="95">
        <v>3457663</v>
      </c>
      <c r="BT93" s="450">
        <f t="shared" si="72"/>
        <v>13421.075000000001</v>
      </c>
      <c r="BU93" s="450">
        <f t="shared" si="73"/>
        <v>7915.9359999999997</v>
      </c>
      <c r="BV93" s="450">
        <f t="shared" si="74"/>
        <v>5505.1390000000001</v>
      </c>
      <c r="BW93" s="450">
        <f t="shared" si="75"/>
        <v>3457.663</v>
      </c>
      <c r="CA93" s="94" t="s">
        <v>404</v>
      </c>
      <c r="CB93" s="450">
        <v>15051525</v>
      </c>
      <c r="CC93" s="450">
        <f t="shared" si="76"/>
        <v>15051.525</v>
      </c>
      <c r="CG93" s="448" t="s">
        <v>600</v>
      </c>
      <c r="CH93" s="449">
        <v>0</v>
      </c>
      <c r="CI93" s="449">
        <v>3900000</v>
      </c>
      <c r="CJ93" s="449">
        <v>-3900000</v>
      </c>
      <c r="CK93" s="449">
        <v>3361990</v>
      </c>
      <c r="CL93" s="449">
        <v>538010</v>
      </c>
      <c r="CM93" s="449">
        <v>1263183</v>
      </c>
      <c r="CN93" s="449">
        <f t="shared" si="77"/>
        <v>3900</v>
      </c>
      <c r="CO93" s="449">
        <f t="shared" si="78"/>
        <v>3361.99</v>
      </c>
      <c r="CP93" s="449">
        <f t="shared" si="79"/>
        <v>538.01</v>
      </c>
      <c r="CQ93" s="449">
        <f t="shared" si="80"/>
        <v>1263.183</v>
      </c>
      <c r="CU93" s="448" t="s">
        <v>604</v>
      </c>
      <c r="CV93" s="449">
        <v>-738426</v>
      </c>
      <c r="CW93" s="449">
        <v>2009028</v>
      </c>
      <c r="CX93" s="450">
        <f t="shared" si="81"/>
        <v>-738.42600000000004</v>
      </c>
      <c r="CY93" s="450">
        <f t="shared" si="82"/>
        <v>2009.028</v>
      </c>
      <c r="DB93" s="602" t="s">
        <v>600</v>
      </c>
      <c r="DC93" s="603">
        <v>9978770</v>
      </c>
      <c r="DD93" s="603">
        <v>3361990</v>
      </c>
      <c r="DE93" s="603">
        <v>6616780</v>
      </c>
      <c r="DF93" s="603">
        <v>1684244</v>
      </c>
      <c r="DG93" s="604">
        <f t="shared" si="83"/>
        <v>9978.77</v>
      </c>
      <c r="DH93" s="604">
        <f t="shared" si="84"/>
        <v>3361.99</v>
      </c>
      <c r="DI93" s="604">
        <f t="shared" si="85"/>
        <v>6616.78</v>
      </c>
      <c r="DJ93" s="604">
        <f t="shared" si="86"/>
        <v>1684.2439999999999</v>
      </c>
      <c r="DN93" s="94" t="s">
        <v>607</v>
      </c>
      <c r="DO93" s="94">
        <v>465428</v>
      </c>
      <c r="DP93" s="94">
        <v>86211699</v>
      </c>
      <c r="DQ93" s="666">
        <f t="shared" si="87"/>
        <v>465.428</v>
      </c>
      <c r="DR93" s="666">
        <f t="shared" si="88"/>
        <v>86211.698999999993</v>
      </c>
      <c r="DV93" s="94" t="s">
        <v>598</v>
      </c>
      <c r="DW93" s="95">
        <v>749700</v>
      </c>
      <c r="DX93" s="95">
        <v>749700</v>
      </c>
      <c r="DY93" s="95">
        <v>0</v>
      </c>
      <c r="DZ93" s="95">
        <v>0</v>
      </c>
      <c r="EA93" s="95">
        <f t="shared" si="89"/>
        <v>749.7</v>
      </c>
      <c r="EB93" s="95">
        <f t="shared" si="90"/>
        <v>749.7</v>
      </c>
      <c r="EC93" s="95">
        <f t="shared" si="91"/>
        <v>0</v>
      </c>
      <c r="ED93" s="95">
        <f t="shared" si="92"/>
        <v>0</v>
      </c>
      <c r="EH93" s="444" t="s">
        <v>604</v>
      </c>
      <c r="EI93" s="444">
        <v>2217024</v>
      </c>
      <c r="EJ93" s="450">
        <f t="shared" si="93"/>
        <v>2217.0239999999999</v>
      </c>
      <c r="EN93" s="444" t="s">
        <v>395</v>
      </c>
      <c r="EO93" s="450">
        <v>25087763</v>
      </c>
      <c r="EP93" s="450">
        <v>24768513</v>
      </c>
      <c r="EQ93" s="450">
        <v>319250</v>
      </c>
      <c r="ER93" s="450">
        <v>21974368</v>
      </c>
      <c r="ES93" s="746">
        <f t="shared" si="94"/>
        <v>25087.762999999999</v>
      </c>
      <c r="ET93" s="746">
        <f t="shared" si="95"/>
        <v>24768.512999999999</v>
      </c>
      <c r="EU93" s="746">
        <f t="shared" si="96"/>
        <v>319.25</v>
      </c>
      <c r="EV93" s="746">
        <f t="shared" si="97"/>
        <v>21974.367999999999</v>
      </c>
      <c r="EZ93" s="780" t="s">
        <v>553</v>
      </c>
      <c r="FA93" s="781" t="s">
        <v>406</v>
      </c>
      <c r="FB93" s="444">
        <v>39492000</v>
      </c>
      <c r="FC93" s="450">
        <f t="shared" si="98"/>
        <v>39492</v>
      </c>
      <c r="FG93" s="785" t="s">
        <v>355</v>
      </c>
      <c r="FH93" s="784" t="s">
        <v>395</v>
      </c>
      <c r="FI93" s="782">
        <v>53584864</v>
      </c>
      <c r="FJ93" s="783">
        <v>27284864</v>
      </c>
      <c r="FK93" s="783">
        <v>26300000</v>
      </c>
      <c r="FL93" s="783">
        <v>23274138</v>
      </c>
      <c r="FM93" s="450">
        <f t="shared" si="99"/>
        <v>53584.864000000001</v>
      </c>
      <c r="FN93" s="450">
        <f t="shared" si="100"/>
        <v>27284.864000000001</v>
      </c>
      <c r="FO93" s="450">
        <f t="shared" si="101"/>
        <v>26300</v>
      </c>
      <c r="FP93" s="450">
        <f t="shared" si="102"/>
        <v>23274.137999999999</v>
      </c>
      <c r="FT93" s="451" t="s">
        <v>553</v>
      </c>
      <c r="FU93" s="94" t="s">
        <v>404</v>
      </c>
      <c r="FV93" s="95">
        <v>27095195</v>
      </c>
      <c r="FW93" s="95">
        <v>32236017</v>
      </c>
      <c r="FX93" s="95">
        <v>53266101</v>
      </c>
      <c r="FY93" s="450">
        <f t="shared" si="103"/>
        <v>27095.195</v>
      </c>
      <c r="FZ93" s="450">
        <f t="shared" si="104"/>
        <v>32236.017</v>
      </c>
      <c r="GA93" s="450">
        <f t="shared" si="105"/>
        <v>53266.101000000002</v>
      </c>
      <c r="GG93" s="817" t="s">
        <v>355</v>
      </c>
      <c r="GH93" s="818" t="s">
        <v>395</v>
      </c>
      <c r="GI93" s="819">
        <v>54076602</v>
      </c>
      <c r="GJ93" s="819">
        <v>29076602</v>
      </c>
      <c r="GK93" s="819">
        <v>25000000</v>
      </c>
      <c r="GL93" s="819">
        <v>26857476</v>
      </c>
      <c r="GM93" s="819">
        <v>2219126</v>
      </c>
      <c r="GN93" s="450">
        <f t="shared" si="106"/>
        <v>54076.601999999999</v>
      </c>
      <c r="GO93" s="450">
        <f t="shared" si="107"/>
        <v>29076.601999999999</v>
      </c>
      <c r="GP93" s="450">
        <f t="shared" si="108"/>
        <v>25000</v>
      </c>
      <c r="GQ93" s="450">
        <f t="shared" si="109"/>
        <v>26857.475999999999</v>
      </c>
      <c r="GR93" s="450">
        <f t="shared" si="110"/>
        <v>2219.1260000000002</v>
      </c>
      <c r="GV93" s="841" t="s">
        <v>404</v>
      </c>
      <c r="GW93" s="840">
        <v>86897458</v>
      </c>
      <c r="GX93" s="450">
        <f t="shared" si="111"/>
        <v>86897.457999999999</v>
      </c>
      <c r="HB93" s="843" t="s">
        <v>392</v>
      </c>
      <c r="HC93" s="819">
        <v>65581752</v>
      </c>
      <c r="HD93" s="819">
        <v>65581752</v>
      </c>
      <c r="HE93" s="819">
        <v>0</v>
      </c>
      <c r="HF93" s="819">
        <v>65581752</v>
      </c>
      <c r="HG93" s="450">
        <f t="shared" si="112"/>
        <v>65581.751999999993</v>
      </c>
      <c r="HH93" s="450">
        <f t="shared" si="113"/>
        <v>0</v>
      </c>
      <c r="HI93" s="450">
        <f t="shared" si="114"/>
        <v>65581.751999999993</v>
      </c>
      <c r="HJ93" s="450">
        <f t="shared" si="115"/>
        <v>0</v>
      </c>
      <c r="HK93" s="450">
        <f t="shared" si="116"/>
        <v>65581.751999999993</v>
      </c>
    </row>
    <row r="94" spans="1:219" ht="15" customHeight="1" x14ac:dyDescent="0.3">
      <c r="A94" s="295" t="s">
        <v>553</v>
      </c>
      <c r="B94" s="296" t="s">
        <v>601</v>
      </c>
      <c r="C94" s="297">
        <v>64384680</v>
      </c>
      <c r="D94" s="298">
        <f t="shared" si="61"/>
        <v>68440.914839999998</v>
      </c>
      <c r="E94" s="297">
        <v>3846883</v>
      </c>
      <c r="F94" s="297">
        <f t="shared" si="62"/>
        <v>4089.2366289999995</v>
      </c>
      <c r="J94" s="299" t="s">
        <v>553</v>
      </c>
      <c r="K94" s="300" t="s">
        <v>531</v>
      </c>
      <c r="L94" s="301">
        <v>0</v>
      </c>
      <c r="M94" s="301">
        <f t="shared" si="63"/>
        <v>0</v>
      </c>
      <c r="Q94" s="299" t="s">
        <v>553</v>
      </c>
      <c r="R94" s="300" t="s">
        <v>401</v>
      </c>
      <c r="S94" s="301">
        <v>83529996</v>
      </c>
      <c r="T94" s="301">
        <v>10335783</v>
      </c>
      <c r="U94" s="301">
        <f t="shared" si="64"/>
        <v>88792.385748000001</v>
      </c>
      <c r="V94" s="301">
        <f t="shared" si="65"/>
        <v>10986.937328999998</v>
      </c>
      <c r="Z94" s="296" t="s">
        <v>494</v>
      </c>
      <c r="AA94" s="297">
        <v>1041250</v>
      </c>
      <c r="AB94" s="297">
        <f t="shared" si="66"/>
        <v>1106.8487499999999</v>
      </c>
      <c r="AF94" s="296" t="s">
        <v>399</v>
      </c>
      <c r="AG94" s="297">
        <v>7998800</v>
      </c>
      <c r="AH94" s="297">
        <f t="shared" si="60"/>
        <v>8502.7243999999992</v>
      </c>
      <c r="AI94" s="297">
        <v>21150</v>
      </c>
      <c r="AL94" s="450"/>
      <c r="AN94" s="447" t="s">
        <v>553</v>
      </c>
      <c r="AO94" s="448" t="s">
        <v>404</v>
      </c>
      <c r="AP94" s="449">
        <v>99048618</v>
      </c>
      <c r="AQ94" s="449">
        <f t="shared" si="67"/>
        <v>105288.680934</v>
      </c>
      <c r="AU94" s="447" t="s">
        <v>553</v>
      </c>
      <c r="AV94" s="448" t="s">
        <v>399</v>
      </c>
      <c r="AW94" s="449">
        <v>7998800</v>
      </c>
      <c r="AX94" s="449">
        <v>3019950</v>
      </c>
      <c r="AY94" s="449">
        <v>4978850</v>
      </c>
      <c r="AZ94" s="450">
        <f t="shared" si="68"/>
        <v>8502.7243999999992</v>
      </c>
      <c r="BA94" s="450">
        <f t="shared" si="69"/>
        <v>3210.2068499999996</v>
      </c>
      <c r="BB94" s="450">
        <f t="shared" si="70"/>
        <v>5292.5175500000005</v>
      </c>
      <c r="BF94" s="447" t="s">
        <v>553</v>
      </c>
      <c r="BG94" s="448" t="s">
        <v>411</v>
      </c>
      <c r="BH94" s="449">
        <v>0</v>
      </c>
      <c r="BI94" s="450">
        <f t="shared" si="71"/>
        <v>0</v>
      </c>
      <c r="BM94" s="451" t="s">
        <v>553</v>
      </c>
      <c r="BN94" s="94" t="s">
        <v>398</v>
      </c>
      <c r="BO94" s="95">
        <v>0</v>
      </c>
      <c r="BP94" s="95">
        <v>10000000</v>
      </c>
      <c r="BQ94" s="95">
        <v>4494861</v>
      </c>
      <c r="BR94" s="95">
        <v>5505139</v>
      </c>
      <c r="BS94" s="95">
        <v>3436513</v>
      </c>
      <c r="BT94" s="450">
        <f t="shared" si="72"/>
        <v>10000</v>
      </c>
      <c r="BU94" s="450">
        <f t="shared" si="73"/>
        <v>4494.8609999999999</v>
      </c>
      <c r="BV94" s="450">
        <f t="shared" si="74"/>
        <v>5505.1390000000001</v>
      </c>
      <c r="BW94" s="450">
        <f t="shared" si="75"/>
        <v>3436.5129999999999</v>
      </c>
      <c r="CA94" s="94" t="s">
        <v>604</v>
      </c>
      <c r="CB94" s="450">
        <v>2022350</v>
      </c>
      <c r="CC94" s="450">
        <f t="shared" si="76"/>
        <v>2022.35</v>
      </c>
      <c r="CG94" s="448" t="s">
        <v>397</v>
      </c>
      <c r="CH94" s="449">
        <v>0</v>
      </c>
      <c r="CI94" s="449">
        <v>13421075</v>
      </c>
      <c r="CJ94" s="449">
        <v>-13421075</v>
      </c>
      <c r="CK94" s="449">
        <v>7915936</v>
      </c>
      <c r="CL94" s="449">
        <v>5505139</v>
      </c>
      <c r="CM94" s="449">
        <v>4516011</v>
      </c>
      <c r="CN94" s="449">
        <f t="shared" si="77"/>
        <v>13421.075000000001</v>
      </c>
      <c r="CO94" s="449">
        <f t="shared" si="78"/>
        <v>7915.9359999999997</v>
      </c>
      <c r="CP94" s="449">
        <f t="shared" si="79"/>
        <v>5505.1390000000001</v>
      </c>
      <c r="CQ94" s="449">
        <f t="shared" si="80"/>
        <v>4516.0110000000004</v>
      </c>
      <c r="CU94" s="448" t="s">
        <v>605</v>
      </c>
      <c r="CV94" s="449">
        <v>407944</v>
      </c>
      <c r="CW94" s="449">
        <v>9208015</v>
      </c>
      <c r="CX94" s="450">
        <f t="shared" si="81"/>
        <v>407.94400000000002</v>
      </c>
      <c r="CY94" s="450">
        <f t="shared" si="82"/>
        <v>9208.0149999999994</v>
      </c>
      <c r="DB94" s="602" t="s">
        <v>397</v>
      </c>
      <c r="DC94" s="603">
        <v>13468675</v>
      </c>
      <c r="DD94" s="603">
        <v>8063686</v>
      </c>
      <c r="DE94" s="603">
        <v>5404989</v>
      </c>
      <c r="DF94" s="603">
        <v>4616161</v>
      </c>
      <c r="DG94" s="604">
        <f t="shared" si="83"/>
        <v>13468.674999999999</v>
      </c>
      <c r="DH94" s="604">
        <f t="shared" si="84"/>
        <v>8063.6859999999997</v>
      </c>
      <c r="DI94" s="604">
        <f t="shared" si="85"/>
        <v>5404.9889999999996</v>
      </c>
      <c r="DJ94" s="604">
        <f t="shared" si="86"/>
        <v>4616.1610000000001</v>
      </c>
      <c r="DN94" s="94" t="s">
        <v>406</v>
      </c>
      <c r="DO94" s="94">
        <v>0</v>
      </c>
      <c r="DP94" s="94">
        <v>20000000</v>
      </c>
      <c r="DQ94" s="666">
        <f t="shared" si="87"/>
        <v>0</v>
      </c>
      <c r="DR94" s="666">
        <f t="shared" si="88"/>
        <v>20000</v>
      </c>
      <c r="DV94" s="94" t="s">
        <v>717</v>
      </c>
      <c r="DW94" s="95">
        <v>0</v>
      </c>
      <c r="DX94" s="95">
        <v>0</v>
      </c>
      <c r="DY94" s="95">
        <v>0</v>
      </c>
      <c r="DZ94" s="95">
        <v>0</v>
      </c>
      <c r="EA94" s="95">
        <f t="shared" si="89"/>
        <v>0</v>
      </c>
      <c r="EB94" s="95">
        <f t="shared" si="90"/>
        <v>0</v>
      </c>
      <c r="EC94" s="95">
        <f t="shared" si="91"/>
        <v>0</v>
      </c>
      <c r="ED94" s="95">
        <f t="shared" si="92"/>
        <v>0</v>
      </c>
      <c r="EH94" s="444" t="s">
        <v>605</v>
      </c>
      <c r="EI94" s="444">
        <v>5438400</v>
      </c>
      <c r="EJ94" s="450">
        <f t="shared" si="93"/>
        <v>5438.4</v>
      </c>
      <c r="EN94" s="444" t="s">
        <v>596</v>
      </c>
      <c r="EO94" s="450">
        <v>4917187</v>
      </c>
      <c r="EP94" s="450">
        <v>4917187</v>
      </c>
      <c r="EQ94" s="450">
        <v>0</v>
      </c>
      <c r="ER94" s="450">
        <v>4917187</v>
      </c>
      <c r="ES94" s="746">
        <f t="shared" si="94"/>
        <v>4917.1869999999999</v>
      </c>
      <c r="ET94" s="746">
        <f t="shared" si="95"/>
        <v>4917.1869999999999</v>
      </c>
      <c r="EU94" s="746">
        <f t="shared" si="96"/>
        <v>0</v>
      </c>
      <c r="EV94" s="746">
        <f t="shared" si="97"/>
        <v>4917.1869999999999</v>
      </c>
      <c r="EZ94" s="780" t="s">
        <v>553</v>
      </c>
      <c r="FA94" s="781" t="s">
        <v>407</v>
      </c>
      <c r="FB94" s="444">
        <v>8288000</v>
      </c>
      <c r="FC94" s="450">
        <f t="shared" si="98"/>
        <v>8288</v>
      </c>
      <c r="FG94" s="785" t="s">
        <v>553</v>
      </c>
      <c r="FH94" s="784" t="s">
        <v>596</v>
      </c>
      <c r="FI94" s="782">
        <v>30914288</v>
      </c>
      <c r="FJ94" s="783">
        <v>5914288</v>
      </c>
      <c r="FK94" s="783">
        <v>25000000</v>
      </c>
      <c r="FL94" s="783">
        <v>4917187</v>
      </c>
      <c r="FM94" s="450">
        <f t="shared" si="99"/>
        <v>30914.288</v>
      </c>
      <c r="FN94" s="450">
        <f t="shared" si="100"/>
        <v>5914.2879999999996</v>
      </c>
      <c r="FO94" s="450">
        <f t="shared" si="101"/>
        <v>25000</v>
      </c>
      <c r="FP94" s="450">
        <f t="shared" si="102"/>
        <v>4917.1869999999999</v>
      </c>
      <c r="FT94" s="451" t="s">
        <v>553</v>
      </c>
      <c r="FU94" s="94" t="s">
        <v>604</v>
      </c>
      <c r="FV94" s="95">
        <v>-7626065</v>
      </c>
      <c r="FW94" s="95">
        <v>-7173739</v>
      </c>
      <c r="FX94" s="95">
        <v>2068291</v>
      </c>
      <c r="FY94" s="450">
        <f t="shared" si="103"/>
        <v>-7626.0649999999996</v>
      </c>
      <c r="FZ94" s="450">
        <f t="shared" si="104"/>
        <v>-7173.7389999999996</v>
      </c>
      <c r="GA94" s="450">
        <f t="shared" si="105"/>
        <v>2068.2910000000002</v>
      </c>
      <c r="GG94" s="817" t="s">
        <v>553</v>
      </c>
      <c r="GH94" s="818" t="s">
        <v>596</v>
      </c>
      <c r="GI94" s="819">
        <v>30914288</v>
      </c>
      <c r="GJ94" s="819">
        <v>5914288</v>
      </c>
      <c r="GK94" s="819">
        <v>25000000</v>
      </c>
      <c r="GL94" s="819">
        <v>4917187</v>
      </c>
      <c r="GM94" s="819">
        <v>997101</v>
      </c>
      <c r="GN94" s="450">
        <f t="shared" si="106"/>
        <v>30914.288</v>
      </c>
      <c r="GO94" s="450">
        <f t="shared" si="107"/>
        <v>5914.2879999999996</v>
      </c>
      <c r="GP94" s="450">
        <f t="shared" si="108"/>
        <v>25000</v>
      </c>
      <c r="GQ94" s="450">
        <f t="shared" si="109"/>
        <v>4917.1869999999999</v>
      </c>
      <c r="GR94" s="450">
        <f t="shared" si="110"/>
        <v>997.101</v>
      </c>
      <c r="GV94" s="841" t="s">
        <v>604</v>
      </c>
      <c r="GW94" s="840">
        <v>1970345</v>
      </c>
      <c r="GX94" s="450">
        <f t="shared" si="111"/>
        <v>1970.345</v>
      </c>
      <c r="HB94" s="843" t="s">
        <v>393</v>
      </c>
      <c r="HC94" s="819">
        <v>1860276</v>
      </c>
      <c r="HD94" s="819">
        <v>1860276</v>
      </c>
      <c r="HE94" s="819">
        <v>0</v>
      </c>
      <c r="HF94" s="819">
        <v>1860276</v>
      </c>
      <c r="HG94" s="450">
        <f t="shared" si="112"/>
        <v>1860.2760000000001</v>
      </c>
      <c r="HH94" s="450">
        <f t="shared" si="113"/>
        <v>0</v>
      </c>
      <c r="HI94" s="450">
        <f t="shared" si="114"/>
        <v>1860.2760000000001</v>
      </c>
      <c r="HJ94" s="450">
        <f t="shared" si="115"/>
        <v>0</v>
      </c>
      <c r="HK94" s="450">
        <f t="shared" si="116"/>
        <v>1860.2760000000001</v>
      </c>
    </row>
    <row r="95" spans="1:219" ht="15" customHeight="1" x14ac:dyDescent="0.3">
      <c r="A95" s="295" t="s">
        <v>553</v>
      </c>
      <c r="B95" s="296" t="s">
        <v>602</v>
      </c>
      <c r="C95" s="297">
        <v>82656000</v>
      </c>
      <c r="D95" s="298">
        <f t="shared" si="61"/>
        <v>87863.327999999994</v>
      </c>
      <c r="E95" s="297">
        <v>3304000</v>
      </c>
      <c r="F95" s="297">
        <f t="shared" si="62"/>
        <v>3512.152</v>
      </c>
      <c r="J95" s="299" t="s">
        <v>449</v>
      </c>
      <c r="K95" s="300" t="s">
        <v>618</v>
      </c>
      <c r="L95" s="301">
        <v>0</v>
      </c>
      <c r="M95" s="301">
        <f t="shared" si="63"/>
        <v>0</v>
      </c>
      <c r="Q95" s="299" t="s">
        <v>553</v>
      </c>
      <c r="R95" s="300" t="s">
        <v>601</v>
      </c>
      <c r="S95" s="301">
        <v>62971439</v>
      </c>
      <c r="T95" s="301">
        <v>7371918</v>
      </c>
      <c r="U95" s="301">
        <f t="shared" si="64"/>
        <v>66938.639656999992</v>
      </c>
      <c r="V95" s="301">
        <f t="shared" si="65"/>
        <v>7836.3488339999994</v>
      </c>
      <c r="Z95" s="296" t="s">
        <v>606</v>
      </c>
      <c r="AA95" s="297">
        <v>115100</v>
      </c>
      <c r="AB95" s="297">
        <f t="shared" si="66"/>
        <v>122.35129999999998</v>
      </c>
      <c r="AF95" s="296" t="s">
        <v>400</v>
      </c>
      <c r="AG95" s="297">
        <v>202186964</v>
      </c>
      <c r="AH95" s="297">
        <f t="shared" si="60"/>
        <v>214924.74273199998</v>
      </c>
      <c r="AI95" s="297">
        <v>49190488</v>
      </c>
      <c r="AL95" s="450"/>
      <c r="AN95" s="447" t="s">
        <v>553</v>
      </c>
      <c r="AO95" s="448" t="s">
        <v>604</v>
      </c>
      <c r="AP95" s="449">
        <v>1964126</v>
      </c>
      <c r="AQ95" s="449">
        <f t="shared" si="67"/>
        <v>2087.8659379999999</v>
      </c>
      <c r="AU95" s="447" t="s">
        <v>355</v>
      </c>
      <c r="AV95" s="448" t="s">
        <v>400</v>
      </c>
      <c r="AW95" s="449">
        <v>206819084</v>
      </c>
      <c r="AX95" s="449">
        <v>183627516</v>
      </c>
      <c r="AY95" s="449">
        <v>23191568</v>
      </c>
      <c r="AZ95" s="450">
        <f t="shared" si="68"/>
        <v>219848.686292</v>
      </c>
      <c r="BA95" s="450">
        <f t="shared" si="69"/>
        <v>195196.049508</v>
      </c>
      <c r="BB95" s="450">
        <f t="shared" si="70"/>
        <v>24652.636783999998</v>
      </c>
      <c r="BF95" s="447" t="s">
        <v>449</v>
      </c>
      <c r="BG95" s="448" t="s">
        <v>412</v>
      </c>
      <c r="BH95" s="449">
        <v>17219157</v>
      </c>
      <c r="BI95" s="450">
        <f t="shared" si="71"/>
        <v>17219.156999999999</v>
      </c>
      <c r="BM95" s="451" t="s">
        <v>553</v>
      </c>
      <c r="BN95" s="94" t="s">
        <v>399</v>
      </c>
      <c r="BO95" s="95">
        <v>0</v>
      </c>
      <c r="BP95" s="95">
        <v>3421075</v>
      </c>
      <c r="BQ95" s="95">
        <v>3421075</v>
      </c>
      <c r="BR95" s="95">
        <v>0</v>
      </c>
      <c r="BS95" s="95">
        <v>21150</v>
      </c>
      <c r="BT95" s="450">
        <f t="shared" si="72"/>
        <v>3421.0749999999998</v>
      </c>
      <c r="BU95" s="450">
        <f t="shared" si="73"/>
        <v>3421.0749999999998</v>
      </c>
      <c r="BV95" s="450">
        <f t="shared" si="74"/>
        <v>0</v>
      </c>
      <c r="BW95" s="450">
        <f t="shared" si="75"/>
        <v>21.15</v>
      </c>
      <c r="CA95" s="94" t="s">
        <v>605</v>
      </c>
      <c r="CB95" s="450">
        <v>5086512</v>
      </c>
      <c r="CC95" s="450">
        <f t="shared" si="76"/>
        <v>5086.5119999999997</v>
      </c>
      <c r="CG95" s="448" t="s">
        <v>398</v>
      </c>
      <c r="CH95" s="449">
        <v>0</v>
      </c>
      <c r="CI95" s="449">
        <v>10000000</v>
      </c>
      <c r="CJ95" s="449">
        <v>-10000000</v>
      </c>
      <c r="CK95" s="449">
        <v>4494861</v>
      </c>
      <c r="CL95" s="449">
        <v>5505139</v>
      </c>
      <c r="CM95" s="449">
        <v>4494861</v>
      </c>
      <c r="CN95" s="449">
        <f t="shared" si="77"/>
        <v>10000</v>
      </c>
      <c r="CO95" s="449">
        <f t="shared" si="78"/>
        <v>4494.8609999999999</v>
      </c>
      <c r="CP95" s="449">
        <f t="shared" si="79"/>
        <v>5505.1390000000001</v>
      </c>
      <c r="CQ95" s="449">
        <f t="shared" si="80"/>
        <v>4494.8609999999999</v>
      </c>
      <c r="CU95" s="448" t="s">
        <v>494</v>
      </c>
      <c r="CV95" s="449">
        <v>0</v>
      </c>
      <c r="CW95" s="449">
        <v>1041250</v>
      </c>
      <c r="CX95" s="450">
        <f t="shared" si="81"/>
        <v>0</v>
      </c>
      <c r="CY95" s="450">
        <f t="shared" si="82"/>
        <v>1041.25</v>
      </c>
      <c r="DB95" s="602" t="s">
        <v>398</v>
      </c>
      <c r="DC95" s="603">
        <v>10000000</v>
      </c>
      <c r="DD95" s="603">
        <v>4595011</v>
      </c>
      <c r="DE95" s="603">
        <v>5404989</v>
      </c>
      <c r="DF95" s="603">
        <v>4595011</v>
      </c>
      <c r="DG95" s="604">
        <f t="shared" si="83"/>
        <v>10000</v>
      </c>
      <c r="DH95" s="604">
        <f t="shared" si="84"/>
        <v>4595.0110000000004</v>
      </c>
      <c r="DI95" s="604">
        <f t="shared" si="85"/>
        <v>5404.9889999999996</v>
      </c>
      <c r="DJ95" s="604">
        <f t="shared" si="86"/>
        <v>4595.0110000000004</v>
      </c>
      <c r="DN95" s="94" t="s">
        <v>407</v>
      </c>
      <c r="DO95" s="94">
        <v>9804000</v>
      </c>
      <c r="DP95" s="94">
        <v>0</v>
      </c>
      <c r="DQ95" s="666">
        <f t="shared" si="87"/>
        <v>9804</v>
      </c>
      <c r="DR95" s="666">
        <f t="shared" si="88"/>
        <v>0</v>
      </c>
      <c r="DV95" s="94" t="s">
        <v>600</v>
      </c>
      <c r="DW95" s="95">
        <v>9395760</v>
      </c>
      <c r="DX95" s="95">
        <v>9395760</v>
      </c>
      <c r="DY95" s="95">
        <v>0</v>
      </c>
      <c r="DZ95" s="95">
        <v>8418014</v>
      </c>
      <c r="EA95" s="95">
        <f t="shared" si="89"/>
        <v>9395.76</v>
      </c>
      <c r="EB95" s="95">
        <f t="shared" si="90"/>
        <v>9395.76</v>
      </c>
      <c r="EC95" s="95">
        <f t="shared" si="91"/>
        <v>0</v>
      </c>
      <c r="ED95" s="95">
        <f t="shared" si="92"/>
        <v>8418.0139999999992</v>
      </c>
      <c r="EH95" s="444" t="s">
        <v>494</v>
      </c>
      <c r="EI95" s="444">
        <v>1041250</v>
      </c>
      <c r="EJ95" s="450">
        <f t="shared" si="93"/>
        <v>1041.25</v>
      </c>
      <c r="EN95" s="444" t="s">
        <v>597</v>
      </c>
      <c r="EO95" s="450">
        <v>10025116</v>
      </c>
      <c r="EP95" s="450">
        <v>9705866</v>
      </c>
      <c r="EQ95" s="450">
        <v>319250</v>
      </c>
      <c r="ER95" s="450">
        <v>8218106</v>
      </c>
      <c r="ES95" s="746">
        <f t="shared" si="94"/>
        <v>10025.116</v>
      </c>
      <c r="ET95" s="746">
        <f t="shared" si="95"/>
        <v>9705.866</v>
      </c>
      <c r="EU95" s="746">
        <f t="shared" si="96"/>
        <v>319.25</v>
      </c>
      <c r="EV95" s="746">
        <f t="shared" si="97"/>
        <v>8218.1059999999998</v>
      </c>
      <c r="EZ95" s="780" t="s">
        <v>553</v>
      </c>
      <c r="FA95" s="781" t="s">
        <v>408</v>
      </c>
      <c r="FB95" s="444">
        <v>57961699</v>
      </c>
      <c r="FC95" s="450">
        <f t="shared" si="98"/>
        <v>57961.699000000001</v>
      </c>
      <c r="FG95" s="785" t="s">
        <v>553</v>
      </c>
      <c r="FH95" s="784" t="s">
        <v>597</v>
      </c>
      <c r="FI95" s="782">
        <v>11225116</v>
      </c>
      <c r="FJ95" s="783">
        <v>11225116</v>
      </c>
      <c r="FK95" s="783">
        <v>0</v>
      </c>
      <c r="FL95" s="783">
        <v>8632556</v>
      </c>
      <c r="FM95" s="450">
        <f t="shared" si="99"/>
        <v>11225.116</v>
      </c>
      <c r="FN95" s="450">
        <f t="shared" si="100"/>
        <v>11225.116</v>
      </c>
      <c r="FO95" s="450">
        <f t="shared" si="101"/>
        <v>0</v>
      </c>
      <c r="FP95" s="450">
        <f t="shared" si="102"/>
        <v>8632.5560000000005</v>
      </c>
      <c r="FT95" s="451" t="s">
        <v>553</v>
      </c>
      <c r="FU95" s="94" t="s">
        <v>605</v>
      </c>
      <c r="FV95" s="95">
        <v>-3191623</v>
      </c>
      <c r="FW95" s="95">
        <v>-744617</v>
      </c>
      <c r="FX95" s="95">
        <v>5514361</v>
      </c>
      <c r="FY95" s="450">
        <f t="shared" si="103"/>
        <v>-3191.623</v>
      </c>
      <c r="FZ95" s="450">
        <f t="shared" si="104"/>
        <v>-744.61699999999996</v>
      </c>
      <c r="GA95" s="450">
        <f t="shared" si="105"/>
        <v>5514.3609999999999</v>
      </c>
      <c r="GG95" s="817" t="s">
        <v>553</v>
      </c>
      <c r="GH95" s="818" t="s">
        <v>597</v>
      </c>
      <c r="GI95" s="819">
        <v>12028523</v>
      </c>
      <c r="GJ95" s="819">
        <v>12028523</v>
      </c>
      <c r="GK95" s="819">
        <v>0</v>
      </c>
      <c r="GL95" s="819">
        <v>11794833</v>
      </c>
      <c r="GM95" s="819">
        <v>233690</v>
      </c>
      <c r="GN95" s="450">
        <f t="shared" si="106"/>
        <v>12028.522999999999</v>
      </c>
      <c r="GO95" s="450">
        <f t="shared" si="107"/>
        <v>12028.522999999999</v>
      </c>
      <c r="GP95" s="450">
        <f t="shared" si="108"/>
        <v>0</v>
      </c>
      <c r="GQ95" s="450">
        <f t="shared" si="109"/>
        <v>11794.833000000001</v>
      </c>
      <c r="GR95" s="450">
        <f t="shared" si="110"/>
        <v>233.69</v>
      </c>
      <c r="GV95" s="841" t="s">
        <v>605</v>
      </c>
      <c r="GW95" s="840">
        <v>5372256</v>
      </c>
      <c r="GX95" s="450">
        <f t="shared" si="111"/>
        <v>5372.2560000000003</v>
      </c>
      <c r="HB95" s="843" t="s">
        <v>394</v>
      </c>
      <c r="HC95" s="819">
        <v>4798080</v>
      </c>
      <c r="HD95" s="819">
        <v>4798080</v>
      </c>
      <c r="HE95" s="819">
        <v>0</v>
      </c>
      <c r="HF95" s="819">
        <v>4798080</v>
      </c>
      <c r="HG95" s="450">
        <f t="shared" si="112"/>
        <v>4798.08</v>
      </c>
      <c r="HH95" s="450">
        <f t="shared" si="113"/>
        <v>0</v>
      </c>
      <c r="HI95" s="450">
        <f t="shared" si="114"/>
        <v>4798.08</v>
      </c>
      <c r="HJ95" s="450">
        <f t="shared" si="115"/>
        <v>0</v>
      </c>
      <c r="HK95" s="450">
        <f t="shared" si="116"/>
        <v>4798.08</v>
      </c>
    </row>
    <row r="96" spans="1:219" ht="15" customHeight="1" x14ac:dyDescent="0.3">
      <c r="A96" s="295" t="s">
        <v>553</v>
      </c>
      <c r="B96" s="296" t="s">
        <v>603</v>
      </c>
      <c r="C96" s="297">
        <v>3300000</v>
      </c>
      <c r="D96" s="298">
        <f t="shared" si="61"/>
        <v>3507.8999999999996</v>
      </c>
      <c r="E96" s="297">
        <v>181000</v>
      </c>
      <c r="F96" s="297">
        <f t="shared" si="62"/>
        <v>192.40299999999999</v>
      </c>
      <c r="J96" s="299" t="s">
        <v>355</v>
      </c>
      <c r="K96" s="300" t="s">
        <v>415</v>
      </c>
      <c r="L96" s="301">
        <v>0</v>
      </c>
      <c r="M96" s="301">
        <f t="shared" si="63"/>
        <v>0</v>
      </c>
      <c r="Q96" s="299" t="s">
        <v>553</v>
      </c>
      <c r="R96" s="300" t="s">
        <v>602</v>
      </c>
      <c r="S96" s="301">
        <v>81116600</v>
      </c>
      <c r="T96" s="301">
        <v>4437000</v>
      </c>
      <c r="U96" s="301">
        <f t="shared" si="64"/>
        <v>86226.945800000001</v>
      </c>
      <c r="V96" s="301">
        <f t="shared" si="65"/>
        <v>4716.5309999999999</v>
      </c>
      <c r="Z96" s="296" t="s">
        <v>405</v>
      </c>
      <c r="AA96" s="297">
        <v>115100</v>
      </c>
      <c r="AB96" s="297">
        <f t="shared" si="66"/>
        <v>122.35129999999998</v>
      </c>
      <c r="AF96" s="296" t="s">
        <v>401</v>
      </c>
      <c r="AG96" s="297">
        <v>83544996</v>
      </c>
      <c r="AH96" s="297">
        <f t="shared" si="60"/>
        <v>88808.330747999993</v>
      </c>
      <c r="AI96" s="297">
        <v>18376590</v>
      </c>
      <c r="AL96" s="450"/>
      <c r="AN96" s="447" t="s">
        <v>553</v>
      </c>
      <c r="AO96" s="448" t="s">
        <v>605</v>
      </c>
      <c r="AP96" s="449">
        <v>4937965</v>
      </c>
      <c r="AQ96" s="449">
        <f t="shared" si="67"/>
        <v>5249.0567949999995</v>
      </c>
      <c r="AU96" s="447" t="s">
        <v>553</v>
      </c>
      <c r="AV96" s="448" t="s">
        <v>401</v>
      </c>
      <c r="AW96" s="449">
        <v>85040739</v>
      </c>
      <c r="AX96" s="449">
        <v>68594132</v>
      </c>
      <c r="AY96" s="449">
        <v>16446607</v>
      </c>
      <c r="AZ96" s="450">
        <f t="shared" si="68"/>
        <v>90398.305557</v>
      </c>
      <c r="BA96" s="450">
        <f t="shared" si="69"/>
        <v>72915.562315999996</v>
      </c>
      <c r="BB96" s="450">
        <f t="shared" si="70"/>
        <v>17482.743241</v>
      </c>
      <c r="BF96" s="447" t="s">
        <v>355</v>
      </c>
      <c r="BG96" s="448" t="s">
        <v>413</v>
      </c>
      <c r="BH96" s="449">
        <v>17219157</v>
      </c>
      <c r="BI96" s="450">
        <f t="shared" si="71"/>
        <v>17219.156999999999</v>
      </c>
      <c r="BM96" s="451" t="s">
        <v>355</v>
      </c>
      <c r="BN96" s="94" t="s">
        <v>400</v>
      </c>
      <c r="BO96" s="95">
        <v>0</v>
      </c>
      <c r="BP96" s="95">
        <v>219196365</v>
      </c>
      <c r="BQ96" s="95">
        <v>198538204</v>
      </c>
      <c r="BR96" s="95">
        <v>20658161</v>
      </c>
      <c r="BS96" s="95">
        <v>94581865</v>
      </c>
      <c r="BT96" s="450">
        <f t="shared" si="72"/>
        <v>219196.36499999999</v>
      </c>
      <c r="BU96" s="450">
        <f t="shared" si="73"/>
        <v>198538.204</v>
      </c>
      <c r="BV96" s="450">
        <f t="shared" si="74"/>
        <v>20658.161</v>
      </c>
      <c r="BW96" s="450">
        <f t="shared" si="75"/>
        <v>94581.865000000005</v>
      </c>
      <c r="CA96" s="94" t="s">
        <v>494</v>
      </c>
      <c r="CB96" s="450">
        <v>1041250</v>
      </c>
      <c r="CC96" s="450">
        <f t="shared" si="76"/>
        <v>1041.25</v>
      </c>
      <c r="CG96" s="448" t="s">
        <v>399</v>
      </c>
      <c r="CH96" s="449">
        <v>0</v>
      </c>
      <c r="CI96" s="449">
        <v>3421075</v>
      </c>
      <c r="CJ96" s="449">
        <v>-3421075</v>
      </c>
      <c r="CK96" s="449">
        <v>3421075</v>
      </c>
      <c r="CL96" s="449">
        <v>0</v>
      </c>
      <c r="CM96" s="449">
        <v>21150</v>
      </c>
      <c r="CN96" s="449">
        <f t="shared" si="77"/>
        <v>3421.0749999999998</v>
      </c>
      <c r="CO96" s="449">
        <f t="shared" si="78"/>
        <v>3421.0749999999998</v>
      </c>
      <c r="CP96" s="449">
        <f t="shared" si="79"/>
        <v>0</v>
      </c>
      <c r="CQ96" s="449">
        <f t="shared" si="80"/>
        <v>21.15</v>
      </c>
      <c r="CU96" s="448" t="s">
        <v>606</v>
      </c>
      <c r="CV96" s="449">
        <v>0</v>
      </c>
      <c r="CW96" s="449">
        <v>8349307</v>
      </c>
      <c r="CX96" s="450">
        <f t="shared" si="81"/>
        <v>0</v>
      </c>
      <c r="CY96" s="450">
        <f t="shared" si="82"/>
        <v>8349.3070000000007</v>
      </c>
      <c r="DB96" s="602" t="s">
        <v>399</v>
      </c>
      <c r="DC96" s="603">
        <v>3468675</v>
      </c>
      <c r="DD96" s="603">
        <v>3468675</v>
      </c>
      <c r="DE96" s="603">
        <v>0</v>
      </c>
      <c r="DF96" s="603">
        <v>21150</v>
      </c>
      <c r="DG96" s="604">
        <f t="shared" si="83"/>
        <v>3468.6750000000002</v>
      </c>
      <c r="DH96" s="604">
        <f t="shared" si="84"/>
        <v>3468.6750000000002</v>
      </c>
      <c r="DI96" s="604">
        <f t="shared" si="85"/>
        <v>0</v>
      </c>
      <c r="DJ96" s="604">
        <f t="shared" si="86"/>
        <v>21.15</v>
      </c>
      <c r="DN96" s="94" t="s">
        <v>408</v>
      </c>
      <c r="DO96" s="94">
        <v>-13588472</v>
      </c>
      <c r="DP96" s="94">
        <v>66211699</v>
      </c>
      <c r="DQ96" s="666">
        <f t="shared" si="87"/>
        <v>-13588.472</v>
      </c>
      <c r="DR96" s="666">
        <f t="shared" si="88"/>
        <v>66211.698999999993</v>
      </c>
      <c r="DV96" s="94" t="s">
        <v>397</v>
      </c>
      <c r="DW96" s="95">
        <v>13468675</v>
      </c>
      <c r="DX96" s="95">
        <v>8063686</v>
      </c>
      <c r="DY96" s="95">
        <v>5404989</v>
      </c>
      <c r="DZ96" s="95">
        <v>6516686</v>
      </c>
      <c r="EA96" s="95">
        <f t="shared" si="89"/>
        <v>13468.674999999999</v>
      </c>
      <c r="EB96" s="95">
        <f t="shared" si="90"/>
        <v>8063.6859999999997</v>
      </c>
      <c r="EC96" s="95">
        <f t="shared" si="91"/>
        <v>5404.9889999999996</v>
      </c>
      <c r="ED96" s="95">
        <f t="shared" si="92"/>
        <v>6516.6859999999997</v>
      </c>
      <c r="EH96" s="444" t="s">
        <v>606</v>
      </c>
      <c r="EI96" s="444">
        <v>0</v>
      </c>
      <c r="EJ96" s="450">
        <f t="shared" si="93"/>
        <v>0</v>
      </c>
      <c r="EN96" s="444" t="s">
        <v>598</v>
      </c>
      <c r="EO96" s="450">
        <v>749700</v>
      </c>
      <c r="EP96" s="450">
        <v>749700</v>
      </c>
      <c r="EQ96" s="450">
        <v>0</v>
      </c>
      <c r="ER96" s="450">
        <v>0</v>
      </c>
      <c r="ES96" s="746">
        <f t="shared" si="94"/>
        <v>749.7</v>
      </c>
      <c r="ET96" s="746">
        <f t="shared" si="95"/>
        <v>749.7</v>
      </c>
      <c r="EU96" s="746">
        <f t="shared" si="96"/>
        <v>0</v>
      </c>
      <c r="EV96" s="746">
        <f t="shared" si="97"/>
        <v>0</v>
      </c>
      <c r="EZ96" s="780" t="s">
        <v>553</v>
      </c>
      <c r="FA96" s="781" t="s">
        <v>409</v>
      </c>
      <c r="FB96" s="444">
        <v>2000000</v>
      </c>
      <c r="FC96" s="450">
        <f t="shared" si="98"/>
        <v>2000</v>
      </c>
      <c r="FG96" s="785" t="s">
        <v>553</v>
      </c>
      <c r="FH96" s="784" t="s">
        <v>598</v>
      </c>
      <c r="FI96" s="782">
        <v>749700</v>
      </c>
      <c r="FJ96" s="783">
        <v>749700</v>
      </c>
      <c r="FK96" s="783">
        <v>0</v>
      </c>
      <c r="FL96" s="783">
        <v>749700</v>
      </c>
      <c r="FM96" s="450">
        <f t="shared" si="99"/>
        <v>749.7</v>
      </c>
      <c r="FN96" s="450">
        <f t="shared" si="100"/>
        <v>749.7</v>
      </c>
      <c r="FO96" s="450">
        <f t="shared" si="101"/>
        <v>0</v>
      </c>
      <c r="FP96" s="450">
        <f t="shared" si="102"/>
        <v>749.7</v>
      </c>
      <c r="FT96" s="451" t="s">
        <v>553</v>
      </c>
      <c r="FU96" s="94" t="s">
        <v>494</v>
      </c>
      <c r="FV96" s="95">
        <v>0</v>
      </c>
      <c r="FW96" s="95">
        <v>0</v>
      </c>
      <c r="FX96" s="95">
        <v>1041250</v>
      </c>
      <c r="FY96" s="450">
        <f t="shared" si="103"/>
        <v>0</v>
      </c>
      <c r="FZ96" s="450">
        <f t="shared" si="104"/>
        <v>0</v>
      </c>
      <c r="GA96" s="450">
        <f t="shared" si="105"/>
        <v>1041.25</v>
      </c>
      <c r="GG96" s="817" t="s">
        <v>553</v>
      </c>
      <c r="GH96" s="818" t="s">
        <v>598</v>
      </c>
      <c r="GI96" s="819">
        <v>749700</v>
      </c>
      <c r="GJ96" s="819">
        <v>749700</v>
      </c>
      <c r="GK96" s="819">
        <v>0</v>
      </c>
      <c r="GL96" s="819">
        <v>749700</v>
      </c>
      <c r="GM96" s="819">
        <v>0</v>
      </c>
      <c r="GN96" s="450">
        <f t="shared" si="106"/>
        <v>749.7</v>
      </c>
      <c r="GO96" s="450">
        <f t="shared" si="107"/>
        <v>749.7</v>
      </c>
      <c r="GP96" s="450">
        <f t="shared" si="108"/>
        <v>0</v>
      </c>
      <c r="GQ96" s="450">
        <f t="shared" si="109"/>
        <v>749.7</v>
      </c>
      <c r="GR96" s="450">
        <f t="shared" si="110"/>
        <v>0</v>
      </c>
      <c r="GV96" s="841" t="s">
        <v>494</v>
      </c>
      <c r="GW96" s="840">
        <v>2082500</v>
      </c>
      <c r="GX96" s="450">
        <f t="shared" si="111"/>
        <v>2082.5</v>
      </c>
      <c r="HB96" s="843" t="s">
        <v>595</v>
      </c>
      <c r="HC96" s="819">
        <v>31947519</v>
      </c>
      <c r="HD96" s="819">
        <v>31947519</v>
      </c>
      <c r="HE96" s="819">
        <v>0</v>
      </c>
      <c r="HF96" s="819">
        <v>31947519</v>
      </c>
      <c r="HG96" s="450">
        <f t="shared" si="112"/>
        <v>31947.519</v>
      </c>
      <c r="HH96" s="450">
        <f t="shared" si="113"/>
        <v>0</v>
      </c>
      <c r="HI96" s="450">
        <f t="shared" si="114"/>
        <v>31947.519</v>
      </c>
      <c r="HJ96" s="450">
        <f t="shared" si="115"/>
        <v>0</v>
      </c>
      <c r="HK96" s="450">
        <f t="shared" si="116"/>
        <v>31947.519</v>
      </c>
    </row>
    <row r="97" spans="1:219" ht="15" customHeight="1" x14ac:dyDescent="0.3">
      <c r="A97" s="295" t="s">
        <v>553</v>
      </c>
      <c r="B97" s="296" t="s">
        <v>402</v>
      </c>
      <c r="C97" s="297">
        <v>10000000</v>
      </c>
      <c r="D97" s="298">
        <f t="shared" si="61"/>
        <v>10630</v>
      </c>
      <c r="E97" s="297">
        <v>0</v>
      </c>
      <c r="F97" s="297">
        <f t="shared" si="62"/>
        <v>0</v>
      </c>
      <c r="J97" s="299" t="s">
        <v>553</v>
      </c>
      <c r="K97" s="300" t="s">
        <v>620</v>
      </c>
      <c r="L97" s="301">
        <v>0</v>
      </c>
      <c r="M97" s="301">
        <f t="shared" si="63"/>
        <v>0</v>
      </c>
      <c r="Q97" s="299" t="s">
        <v>553</v>
      </c>
      <c r="R97" s="300" t="s">
        <v>603</v>
      </c>
      <c r="S97" s="301">
        <v>3300000</v>
      </c>
      <c r="T97" s="301">
        <v>1932161</v>
      </c>
      <c r="U97" s="301">
        <f t="shared" si="64"/>
        <v>3507.8999999999996</v>
      </c>
      <c r="V97" s="301">
        <f t="shared" si="65"/>
        <v>2053.8871429999999</v>
      </c>
      <c r="Z97" s="296" t="s">
        <v>607</v>
      </c>
      <c r="AA97" s="297">
        <v>73543799</v>
      </c>
      <c r="AB97" s="297">
        <f t="shared" si="66"/>
        <v>78177.058336999995</v>
      </c>
      <c r="AF97" s="296" t="s">
        <v>601</v>
      </c>
      <c r="AG97" s="297">
        <v>52237268</v>
      </c>
      <c r="AH97" s="297">
        <f t="shared" si="60"/>
        <v>55528.21588399999</v>
      </c>
      <c r="AI97" s="297">
        <v>17021237</v>
      </c>
      <c r="AL97" s="450"/>
      <c r="AN97" s="447" t="s">
        <v>553</v>
      </c>
      <c r="AO97" s="448" t="s">
        <v>494</v>
      </c>
      <c r="AP97" s="449">
        <v>1041250</v>
      </c>
      <c r="AQ97" s="449">
        <f t="shared" si="67"/>
        <v>1106.8487499999999</v>
      </c>
      <c r="AU97" s="447" t="s">
        <v>553</v>
      </c>
      <c r="AV97" s="448" t="s">
        <v>601</v>
      </c>
      <c r="AW97" s="449">
        <v>54639687</v>
      </c>
      <c r="AX97" s="449">
        <v>49639569</v>
      </c>
      <c r="AY97" s="449">
        <v>5000118</v>
      </c>
      <c r="AZ97" s="450">
        <f t="shared" si="68"/>
        <v>58081.987280999994</v>
      </c>
      <c r="BA97" s="450">
        <f t="shared" si="69"/>
        <v>52766.861847</v>
      </c>
      <c r="BB97" s="450">
        <f t="shared" si="70"/>
        <v>5315.1254340000005</v>
      </c>
      <c r="BF97" s="447" t="s">
        <v>553</v>
      </c>
      <c r="BG97" s="448" t="s">
        <v>532</v>
      </c>
      <c r="BH97" s="449">
        <v>17219157</v>
      </c>
      <c r="BI97" s="450">
        <f t="shared" si="71"/>
        <v>17219.156999999999</v>
      </c>
      <c r="BM97" s="451" t="s">
        <v>553</v>
      </c>
      <c r="BN97" s="94" t="s">
        <v>401</v>
      </c>
      <c r="BO97" s="95">
        <v>0</v>
      </c>
      <c r="BP97" s="95">
        <v>85633619</v>
      </c>
      <c r="BQ97" s="95">
        <v>70936132</v>
      </c>
      <c r="BR97" s="95">
        <v>14697487</v>
      </c>
      <c r="BS97" s="95">
        <v>29969686</v>
      </c>
      <c r="BT97" s="450">
        <f t="shared" si="72"/>
        <v>85633.619000000006</v>
      </c>
      <c r="BU97" s="450">
        <f t="shared" si="73"/>
        <v>70936.131999999998</v>
      </c>
      <c r="BV97" s="450">
        <f t="shared" si="74"/>
        <v>14697.486999999999</v>
      </c>
      <c r="BW97" s="450">
        <f t="shared" si="75"/>
        <v>29969.686000000002</v>
      </c>
      <c r="CA97" s="94" t="s">
        <v>606</v>
      </c>
      <c r="CB97" s="450">
        <v>0</v>
      </c>
      <c r="CC97" s="450">
        <f t="shared" si="76"/>
        <v>0</v>
      </c>
      <c r="CG97" s="448" t="s">
        <v>400</v>
      </c>
      <c r="CH97" s="449">
        <v>0</v>
      </c>
      <c r="CI97" s="449">
        <v>291215314</v>
      </c>
      <c r="CJ97" s="449">
        <v>-291215314</v>
      </c>
      <c r="CK97" s="449">
        <v>224887172</v>
      </c>
      <c r="CL97" s="449">
        <v>66328142</v>
      </c>
      <c r="CM97" s="449">
        <v>119023584</v>
      </c>
      <c r="CN97" s="449">
        <f t="shared" si="77"/>
        <v>291215.31400000001</v>
      </c>
      <c r="CO97" s="449">
        <f t="shared" si="78"/>
        <v>224887.17199999999</v>
      </c>
      <c r="CP97" s="449">
        <f t="shared" si="79"/>
        <v>66328.142000000007</v>
      </c>
      <c r="CQ97" s="449">
        <f t="shared" si="80"/>
        <v>119023.584</v>
      </c>
      <c r="CU97" s="448" t="s">
        <v>405</v>
      </c>
      <c r="CV97" s="449">
        <v>0</v>
      </c>
      <c r="CW97" s="449">
        <v>8349307</v>
      </c>
      <c r="CX97" s="450">
        <f t="shared" si="81"/>
        <v>0</v>
      </c>
      <c r="CY97" s="450">
        <f t="shared" si="82"/>
        <v>8349.3070000000007</v>
      </c>
      <c r="DB97" s="602" t="s">
        <v>400</v>
      </c>
      <c r="DC97" s="603">
        <v>301359816</v>
      </c>
      <c r="DD97" s="603">
        <v>265899125</v>
      </c>
      <c r="DE97" s="603">
        <v>35460691</v>
      </c>
      <c r="DF97" s="603">
        <v>154543838</v>
      </c>
      <c r="DG97" s="604">
        <f t="shared" si="83"/>
        <v>301359.81599999999</v>
      </c>
      <c r="DH97" s="604">
        <f t="shared" si="84"/>
        <v>265899.125</v>
      </c>
      <c r="DI97" s="604">
        <f t="shared" si="85"/>
        <v>35460.690999999999</v>
      </c>
      <c r="DJ97" s="604">
        <f t="shared" si="86"/>
        <v>154543.83799999999</v>
      </c>
      <c r="DN97" s="94" t="s">
        <v>409</v>
      </c>
      <c r="DO97" s="94">
        <v>4249900</v>
      </c>
      <c r="DP97" s="94">
        <v>0</v>
      </c>
      <c r="DQ97" s="666">
        <f t="shared" si="87"/>
        <v>4249.8999999999996</v>
      </c>
      <c r="DR97" s="666">
        <f t="shared" si="88"/>
        <v>0</v>
      </c>
      <c r="DV97" s="94" t="s">
        <v>398</v>
      </c>
      <c r="DW97" s="95">
        <v>10000000</v>
      </c>
      <c r="DX97" s="95">
        <v>4595011</v>
      </c>
      <c r="DY97" s="95">
        <v>5404989</v>
      </c>
      <c r="DZ97" s="95">
        <v>4595011</v>
      </c>
      <c r="EA97" s="95">
        <f t="shared" si="89"/>
        <v>10000</v>
      </c>
      <c r="EB97" s="95">
        <f t="shared" si="90"/>
        <v>4595.0110000000004</v>
      </c>
      <c r="EC97" s="95">
        <f t="shared" si="91"/>
        <v>5404.9889999999996</v>
      </c>
      <c r="ED97" s="95">
        <f t="shared" si="92"/>
        <v>4595.0110000000004</v>
      </c>
      <c r="EH97" s="444" t="s">
        <v>405</v>
      </c>
      <c r="EI97" s="444">
        <v>0</v>
      </c>
      <c r="EJ97" s="450">
        <f t="shared" si="93"/>
        <v>0</v>
      </c>
      <c r="EN97" s="444" t="s">
        <v>717</v>
      </c>
      <c r="EO97" s="450">
        <v>0</v>
      </c>
      <c r="EP97" s="450">
        <v>0</v>
      </c>
      <c r="EQ97" s="450">
        <v>0</v>
      </c>
      <c r="ER97" s="450">
        <v>0</v>
      </c>
      <c r="ES97" s="746">
        <f t="shared" si="94"/>
        <v>0</v>
      </c>
      <c r="ET97" s="746">
        <f t="shared" si="95"/>
        <v>0</v>
      </c>
      <c r="EU97" s="746">
        <f t="shared" si="96"/>
        <v>0</v>
      </c>
      <c r="EV97" s="746">
        <f t="shared" si="97"/>
        <v>0</v>
      </c>
      <c r="EZ97" s="780" t="s">
        <v>355</v>
      </c>
      <c r="FA97" s="781" t="s">
        <v>608</v>
      </c>
      <c r="FB97" s="444">
        <v>1534672</v>
      </c>
      <c r="FC97" s="450">
        <f t="shared" si="98"/>
        <v>1534.672</v>
      </c>
      <c r="FG97" s="785" t="s">
        <v>553</v>
      </c>
      <c r="FH97" s="784" t="s">
        <v>717</v>
      </c>
      <c r="FI97" s="782">
        <v>0</v>
      </c>
      <c r="FJ97" s="783">
        <v>0</v>
      </c>
      <c r="FK97" s="783">
        <v>0</v>
      </c>
      <c r="FL97" s="783">
        <v>0</v>
      </c>
      <c r="FM97" s="450">
        <f t="shared" si="99"/>
        <v>0</v>
      </c>
      <c r="FN97" s="450">
        <f t="shared" si="100"/>
        <v>0</v>
      </c>
      <c r="FO97" s="450">
        <f t="shared" si="101"/>
        <v>0</v>
      </c>
      <c r="FP97" s="450">
        <f t="shared" si="102"/>
        <v>0</v>
      </c>
      <c r="FT97" s="451" t="s">
        <v>355</v>
      </c>
      <c r="FU97" s="94" t="s">
        <v>606</v>
      </c>
      <c r="FV97" s="95">
        <v>2000000</v>
      </c>
      <c r="FW97" s="95">
        <v>0</v>
      </c>
      <c r="FX97" s="95">
        <v>0</v>
      </c>
      <c r="FY97" s="450">
        <f t="shared" si="103"/>
        <v>2000</v>
      </c>
      <c r="FZ97" s="450">
        <f t="shared" si="104"/>
        <v>0</v>
      </c>
      <c r="GA97" s="450">
        <f t="shared" si="105"/>
        <v>0</v>
      </c>
      <c r="GG97" s="817" t="s">
        <v>553</v>
      </c>
      <c r="GH97" s="818" t="s">
        <v>717</v>
      </c>
      <c r="GI97" s="819">
        <v>0</v>
      </c>
      <c r="GJ97" s="819">
        <v>0</v>
      </c>
      <c r="GK97" s="819">
        <v>0</v>
      </c>
      <c r="GL97" s="819">
        <v>0</v>
      </c>
      <c r="GM97" s="819">
        <v>0</v>
      </c>
      <c r="GN97" s="450">
        <f t="shared" si="106"/>
        <v>0</v>
      </c>
      <c r="GO97" s="450">
        <f t="shared" si="107"/>
        <v>0</v>
      </c>
      <c r="GP97" s="450">
        <f t="shared" si="108"/>
        <v>0</v>
      </c>
      <c r="GQ97" s="450">
        <f t="shared" si="109"/>
        <v>0</v>
      </c>
      <c r="GR97" s="450">
        <f t="shared" si="110"/>
        <v>0</v>
      </c>
      <c r="GV97" s="841" t="s">
        <v>606</v>
      </c>
      <c r="GW97" s="840">
        <v>4272463</v>
      </c>
      <c r="GX97" s="450">
        <f t="shared" si="111"/>
        <v>4272.4629999999997</v>
      </c>
      <c r="HB97" s="843" t="s">
        <v>395</v>
      </c>
      <c r="HC97" s="819">
        <v>42664398</v>
      </c>
      <c r="HD97" s="819">
        <v>42664398</v>
      </c>
      <c r="HE97" s="819">
        <v>0</v>
      </c>
      <c r="HF97" s="819">
        <v>40759767</v>
      </c>
      <c r="HG97" s="450">
        <f t="shared" si="112"/>
        <v>42664.398000000001</v>
      </c>
      <c r="HH97" s="450">
        <f t="shared" si="113"/>
        <v>0</v>
      </c>
      <c r="HI97" s="450">
        <f t="shared" si="114"/>
        <v>42664.398000000001</v>
      </c>
      <c r="HJ97" s="450">
        <f t="shared" si="115"/>
        <v>0</v>
      </c>
      <c r="HK97" s="450">
        <f t="shared" si="116"/>
        <v>40759.767</v>
      </c>
    </row>
    <row r="98" spans="1:219" ht="15" customHeight="1" x14ac:dyDescent="0.3">
      <c r="A98" s="295" t="s">
        <v>355</v>
      </c>
      <c r="B98" s="296" t="s">
        <v>403</v>
      </c>
      <c r="C98" s="297">
        <v>754122960</v>
      </c>
      <c r="D98" s="298">
        <f t="shared" si="61"/>
        <v>801632.70647999994</v>
      </c>
      <c r="E98" s="297">
        <v>9645933</v>
      </c>
      <c r="F98" s="297">
        <f t="shared" si="62"/>
        <v>10253.626779</v>
      </c>
      <c r="J98" s="299" t="s">
        <v>449</v>
      </c>
      <c r="K98" s="300" t="s">
        <v>416</v>
      </c>
      <c r="L98" s="301">
        <v>239547467</v>
      </c>
      <c r="M98" s="301">
        <f t="shared" si="63"/>
        <v>254638.957421</v>
      </c>
      <c r="Q98" s="299" t="s">
        <v>553</v>
      </c>
      <c r="R98" s="300" t="s">
        <v>402</v>
      </c>
      <c r="S98" s="301">
        <v>10000000</v>
      </c>
      <c r="T98" s="301">
        <v>773500</v>
      </c>
      <c r="U98" s="301">
        <f t="shared" si="64"/>
        <v>10630</v>
      </c>
      <c r="V98" s="301">
        <f t="shared" si="65"/>
        <v>822.23050000000001</v>
      </c>
      <c r="Z98" s="296" t="s">
        <v>406</v>
      </c>
      <c r="AA98" s="297">
        <v>0</v>
      </c>
      <c r="AB98" s="297">
        <f t="shared" si="66"/>
        <v>0</v>
      </c>
      <c r="AF98" s="296" t="s">
        <v>602</v>
      </c>
      <c r="AG98" s="297">
        <v>53104700</v>
      </c>
      <c r="AH98" s="297">
        <f t="shared" si="60"/>
        <v>56450.296099999992</v>
      </c>
      <c r="AI98" s="297">
        <v>9540000</v>
      </c>
      <c r="AL98" s="450"/>
      <c r="AN98" s="447" t="s">
        <v>355</v>
      </c>
      <c r="AO98" s="448" t="s">
        <v>606</v>
      </c>
      <c r="AP98" s="449">
        <v>0</v>
      </c>
      <c r="AQ98" s="449">
        <f t="shared" si="67"/>
        <v>0</v>
      </c>
      <c r="AU98" s="447" t="s">
        <v>553</v>
      </c>
      <c r="AV98" s="448" t="s">
        <v>602</v>
      </c>
      <c r="AW98" s="449">
        <v>54556658</v>
      </c>
      <c r="AX98" s="449">
        <v>53556658</v>
      </c>
      <c r="AY98" s="449">
        <v>1000000</v>
      </c>
      <c r="AZ98" s="450">
        <f t="shared" si="68"/>
        <v>57993.727454</v>
      </c>
      <c r="BA98" s="450">
        <f t="shared" si="69"/>
        <v>56930.727454</v>
      </c>
      <c r="BB98" s="450">
        <f t="shared" si="70"/>
        <v>1063</v>
      </c>
      <c r="BF98" s="447" t="s">
        <v>449</v>
      </c>
      <c r="BG98" s="448" t="s">
        <v>638</v>
      </c>
      <c r="BH98" s="449">
        <v>392905708</v>
      </c>
      <c r="BI98" s="450">
        <f t="shared" si="71"/>
        <v>392905.70799999998</v>
      </c>
      <c r="BM98" s="451" t="s">
        <v>553</v>
      </c>
      <c r="BN98" s="94" t="s">
        <v>601</v>
      </c>
      <c r="BO98" s="95">
        <v>0</v>
      </c>
      <c r="BP98" s="95">
        <v>62836588</v>
      </c>
      <c r="BQ98" s="95">
        <v>60168757</v>
      </c>
      <c r="BR98" s="95">
        <v>2667831</v>
      </c>
      <c r="BS98" s="95">
        <v>34686864</v>
      </c>
      <c r="BT98" s="450">
        <f t="shared" si="72"/>
        <v>62836.588000000003</v>
      </c>
      <c r="BU98" s="450">
        <f t="shared" si="73"/>
        <v>60168.756999999998</v>
      </c>
      <c r="BV98" s="450">
        <f t="shared" si="74"/>
        <v>2667.8310000000001</v>
      </c>
      <c r="BW98" s="450">
        <f t="shared" si="75"/>
        <v>34686.864000000001</v>
      </c>
      <c r="CA98" s="94" t="s">
        <v>405</v>
      </c>
      <c r="CB98" s="450">
        <v>0</v>
      </c>
      <c r="CC98" s="450">
        <f t="shared" si="76"/>
        <v>0</v>
      </c>
      <c r="CG98" s="448" t="s">
        <v>401</v>
      </c>
      <c r="CH98" s="449">
        <v>0</v>
      </c>
      <c r="CI98" s="449">
        <v>85633623</v>
      </c>
      <c r="CJ98" s="449">
        <v>-85633623</v>
      </c>
      <c r="CK98" s="449">
        <v>72936136</v>
      </c>
      <c r="CL98" s="449">
        <v>12697487</v>
      </c>
      <c r="CM98" s="449">
        <v>37863711</v>
      </c>
      <c r="CN98" s="449">
        <f t="shared" si="77"/>
        <v>85633.623000000007</v>
      </c>
      <c r="CO98" s="449">
        <f t="shared" si="78"/>
        <v>72936.135999999999</v>
      </c>
      <c r="CP98" s="449">
        <f t="shared" si="79"/>
        <v>12697.486999999999</v>
      </c>
      <c r="CQ98" s="449">
        <f t="shared" si="80"/>
        <v>37863.711000000003</v>
      </c>
      <c r="CU98" s="448" t="s">
        <v>607</v>
      </c>
      <c r="CV98" s="449">
        <v>-52018046</v>
      </c>
      <c r="CW98" s="449">
        <v>140396698</v>
      </c>
      <c r="CX98" s="450">
        <f t="shared" si="81"/>
        <v>-52018.046000000002</v>
      </c>
      <c r="CY98" s="450">
        <f t="shared" si="82"/>
        <v>140396.698</v>
      </c>
      <c r="DB98" s="602" t="s">
        <v>401</v>
      </c>
      <c r="DC98" s="603">
        <v>84938088</v>
      </c>
      <c r="DD98" s="603">
        <v>76603035</v>
      </c>
      <c r="DE98" s="603">
        <v>8335053</v>
      </c>
      <c r="DF98" s="603">
        <v>44762732</v>
      </c>
      <c r="DG98" s="604">
        <f t="shared" si="83"/>
        <v>84938.088000000003</v>
      </c>
      <c r="DH98" s="604">
        <f t="shared" si="84"/>
        <v>76603.035000000003</v>
      </c>
      <c r="DI98" s="604">
        <f t="shared" si="85"/>
        <v>8335.0529999999999</v>
      </c>
      <c r="DJ98" s="604">
        <f t="shared" si="86"/>
        <v>44762.732000000004</v>
      </c>
      <c r="DN98" s="94" t="s">
        <v>608</v>
      </c>
      <c r="DO98" s="94">
        <v>1481860</v>
      </c>
      <c r="DP98" s="94">
        <v>608720</v>
      </c>
      <c r="DQ98" s="666">
        <f t="shared" si="87"/>
        <v>1481.86</v>
      </c>
      <c r="DR98" s="666">
        <f t="shared" si="88"/>
        <v>608.72</v>
      </c>
      <c r="DV98" s="94" t="s">
        <v>399</v>
      </c>
      <c r="DW98" s="95">
        <v>3468675</v>
      </c>
      <c r="DX98" s="95">
        <v>3468675</v>
      </c>
      <c r="DY98" s="95">
        <v>0</v>
      </c>
      <c r="DZ98" s="95">
        <v>1921675</v>
      </c>
      <c r="EA98" s="95">
        <f t="shared" si="89"/>
        <v>3468.6750000000002</v>
      </c>
      <c r="EB98" s="95">
        <f t="shared" si="90"/>
        <v>3468.6750000000002</v>
      </c>
      <c r="EC98" s="95">
        <f t="shared" si="91"/>
        <v>0</v>
      </c>
      <c r="ED98" s="95">
        <f t="shared" si="92"/>
        <v>1921.675</v>
      </c>
      <c r="EH98" s="444" t="s">
        <v>607</v>
      </c>
      <c r="EI98" s="444">
        <v>92524769</v>
      </c>
      <c r="EJ98" s="450">
        <f t="shared" si="93"/>
        <v>92524.769</v>
      </c>
      <c r="EN98" s="444" t="s">
        <v>600</v>
      </c>
      <c r="EO98" s="450">
        <v>9395760</v>
      </c>
      <c r="EP98" s="450">
        <v>9395760</v>
      </c>
      <c r="EQ98" s="450">
        <v>0</v>
      </c>
      <c r="ER98" s="450">
        <v>8839075</v>
      </c>
      <c r="ES98" s="746">
        <f t="shared" si="94"/>
        <v>9395.76</v>
      </c>
      <c r="ET98" s="746">
        <f t="shared" si="95"/>
        <v>9395.76</v>
      </c>
      <c r="EU98" s="746">
        <f t="shared" si="96"/>
        <v>0</v>
      </c>
      <c r="EV98" s="746">
        <f t="shared" si="97"/>
        <v>8839.0750000000007</v>
      </c>
      <c r="EZ98" s="780" t="s">
        <v>553</v>
      </c>
      <c r="FA98" s="781" t="s">
        <v>410</v>
      </c>
      <c r="FB98" s="444">
        <v>1534672</v>
      </c>
      <c r="FC98" s="450">
        <f t="shared" si="98"/>
        <v>1534.672</v>
      </c>
      <c r="FG98" s="785" t="s">
        <v>553</v>
      </c>
      <c r="FH98" s="784" t="s">
        <v>600</v>
      </c>
      <c r="FI98" s="782">
        <v>10695760</v>
      </c>
      <c r="FJ98" s="783">
        <v>9395760</v>
      </c>
      <c r="FK98" s="783">
        <v>1300000</v>
      </c>
      <c r="FL98" s="783">
        <v>8974695</v>
      </c>
      <c r="FM98" s="450">
        <f t="shared" si="99"/>
        <v>10695.76</v>
      </c>
      <c r="FN98" s="450">
        <f t="shared" si="100"/>
        <v>9395.76</v>
      </c>
      <c r="FO98" s="450">
        <f t="shared" si="101"/>
        <v>1300</v>
      </c>
      <c r="FP98" s="450">
        <f t="shared" si="102"/>
        <v>8974.6949999999997</v>
      </c>
      <c r="FT98" s="451" t="s">
        <v>553</v>
      </c>
      <c r="FU98" s="94" t="s">
        <v>405</v>
      </c>
      <c r="FV98" s="95">
        <v>2000000</v>
      </c>
      <c r="FW98" s="95">
        <v>0</v>
      </c>
      <c r="FX98" s="95">
        <v>0</v>
      </c>
      <c r="FY98" s="450">
        <f t="shared" si="103"/>
        <v>2000</v>
      </c>
      <c r="FZ98" s="450">
        <f t="shared" si="104"/>
        <v>0</v>
      </c>
      <c r="GA98" s="450">
        <f t="shared" si="105"/>
        <v>0</v>
      </c>
      <c r="GG98" s="817" t="s">
        <v>553</v>
      </c>
      <c r="GH98" s="818" t="s">
        <v>600</v>
      </c>
      <c r="GI98" s="819">
        <v>10384091</v>
      </c>
      <c r="GJ98" s="819">
        <v>10384091</v>
      </c>
      <c r="GK98" s="819">
        <v>0</v>
      </c>
      <c r="GL98" s="819">
        <v>9395756</v>
      </c>
      <c r="GM98" s="819">
        <v>988335</v>
      </c>
      <c r="GN98" s="450">
        <f t="shared" si="106"/>
        <v>10384.091</v>
      </c>
      <c r="GO98" s="450">
        <f t="shared" si="107"/>
        <v>10384.091</v>
      </c>
      <c r="GP98" s="450">
        <f t="shared" si="108"/>
        <v>0</v>
      </c>
      <c r="GQ98" s="450">
        <f t="shared" si="109"/>
        <v>9395.7559999999994</v>
      </c>
      <c r="GR98" s="450">
        <f t="shared" si="110"/>
        <v>988.33500000000004</v>
      </c>
      <c r="GV98" s="841" t="s">
        <v>405</v>
      </c>
      <c r="GW98" s="840">
        <v>4254029</v>
      </c>
      <c r="GX98" s="450">
        <f t="shared" si="111"/>
        <v>4254.0290000000005</v>
      </c>
      <c r="HB98" s="843" t="s">
        <v>596</v>
      </c>
      <c r="HC98" s="819">
        <v>17516788</v>
      </c>
      <c r="HD98" s="819">
        <v>17516788</v>
      </c>
      <c r="HE98" s="819">
        <v>0</v>
      </c>
      <c r="HF98" s="819">
        <v>17516788</v>
      </c>
      <c r="HG98" s="450">
        <f t="shared" si="112"/>
        <v>17516.788</v>
      </c>
      <c r="HH98" s="450">
        <f t="shared" si="113"/>
        <v>0</v>
      </c>
      <c r="HI98" s="450">
        <f t="shared" si="114"/>
        <v>17516.788</v>
      </c>
      <c r="HJ98" s="450">
        <f t="shared" si="115"/>
        <v>0</v>
      </c>
      <c r="HK98" s="450">
        <f t="shared" si="116"/>
        <v>17516.788</v>
      </c>
    </row>
    <row r="99" spans="1:219" ht="15" customHeight="1" x14ac:dyDescent="0.3">
      <c r="A99" s="295" t="s">
        <v>553</v>
      </c>
      <c r="B99" s="296" t="s">
        <v>404</v>
      </c>
      <c r="C99" s="297">
        <v>601706293</v>
      </c>
      <c r="D99" s="298">
        <f t="shared" si="61"/>
        <v>639613.78945899988</v>
      </c>
      <c r="E99" s="297">
        <v>7712720</v>
      </c>
      <c r="F99" s="297">
        <f t="shared" si="62"/>
        <v>8198.6213599999992</v>
      </c>
      <c r="J99" s="299" t="s">
        <v>355</v>
      </c>
      <c r="K99" s="300" t="s">
        <v>422</v>
      </c>
      <c r="L99" s="301">
        <v>239547467</v>
      </c>
      <c r="M99" s="301">
        <f t="shared" si="63"/>
        <v>254638.957421</v>
      </c>
      <c r="Q99" s="299" t="s">
        <v>355</v>
      </c>
      <c r="R99" s="300" t="s">
        <v>403</v>
      </c>
      <c r="S99" s="301">
        <v>754122960</v>
      </c>
      <c r="T99" s="301">
        <v>30862382</v>
      </c>
      <c r="U99" s="301">
        <f t="shared" si="64"/>
        <v>801632.70647999994</v>
      </c>
      <c r="V99" s="301">
        <f t="shared" si="65"/>
        <v>32806.712066</v>
      </c>
      <c r="Z99" s="296" t="s">
        <v>407</v>
      </c>
      <c r="AA99" s="297">
        <v>1300000</v>
      </c>
      <c r="AB99" s="297">
        <f t="shared" si="66"/>
        <v>1381.8999999999999</v>
      </c>
      <c r="AF99" s="296" t="s">
        <v>603</v>
      </c>
      <c r="AG99" s="297">
        <v>3300000</v>
      </c>
      <c r="AH99" s="297">
        <f t="shared" ref="AH99:AH130" si="117">+AG99/$AJ$2*$AK$2</f>
        <v>3507.8999999999996</v>
      </c>
      <c r="AI99" s="297">
        <v>1932161</v>
      </c>
      <c r="AL99" s="450"/>
      <c r="AN99" s="447" t="s">
        <v>553</v>
      </c>
      <c r="AO99" s="448" t="s">
        <v>405</v>
      </c>
      <c r="AP99" s="449">
        <v>0</v>
      </c>
      <c r="AQ99" s="449">
        <f t="shared" si="67"/>
        <v>0</v>
      </c>
      <c r="AU99" s="447" t="s">
        <v>553</v>
      </c>
      <c r="AV99" s="448" t="s">
        <v>603</v>
      </c>
      <c r="AW99" s="449">
        <v>3300000</v>
      </c>
      <c r="AX99" s="449">
        <v>2555157</v>
      </c>
      <c r="AY99" s="449">
        <v>744843</v>
      </c>
      <c r="AZ99" s="450">
        <f t="shared" si="68"/>
        <v>3507.8999999999996</v>
      </c>
      <c r="BA99" s="450">
        <f t="shared" si="69"/>
        <v>2716.131891</v>
      </c>
      <c r="BB99" s="450">
        <f t="shared" si="70"/>
        <v>791.76810899999987</v>
      </c>
      <c r="BF99" s="447" t="s">
        <v>355</v>
      </c>
      <c r="BG99" s="448" t="s">
        <v>639</v>
      </c>
      <c r="BH99" s="449">
        <v>392905708</v>
      </c>
      <c r="BI99" s="450">
        <f t="shared" si="71"/>
        <v>392905.70799999998</v>
      </c>
      <c r="BM99" s="451" t="s">
        <v>553</v>
      </c>
      <c r="BN99" s="94" t="s">
        <v>602</v>
      </c>
      <c r="BO99" s="95">
        <v>0</v>
      </c>
      <c r="BP99" s="95">
        <v>56656658</v>
      </c>
      <c r="BQ99" s="95">
        <v>54108658</v>
      </c>
      <c r="BR99" s="95">
        <v>2548000</v>
      </c>
      <c r="BS99" s="95">
        <v>23145658</v>
      </c>
      <c r="BT99" s="450">
        <f t="shared" si="72"/>
        <v>56656.658000000003</v>
      </c>
      <c r="BU99" s="450">
        <f t="shared" si="73"/>
        <v>54108.658000000003</v>
      </c>
      <c r="BV99" s="450">
        <f t="shared" si="74"/>
        <v>2548</v>
      </c>
      <c r="BW99" s="450">
        <f t="shared" si="75"/>
        <v>23145.657999999999</v>
      </c>
      <c r="CA99" s="94" t="s">
        <v>607</v>
      </c>
      <c r="CB99" s="450">
        <v>85515549</v>
      </c>
      <c r="CC99" s="450">
        <f t="shared" si="76"/>
        <v>85515.548999999999</v>
      </c>
      <c r="CG99" s="448" t="s">
        <v>601</v>
      </c>
      <c r="CH99" s="449">
        <v>0</v>
      </c>
      <c r="CI99" s="449">
        <v>82909009</v>
      </c>
      <c r="CJ99" s="449">
        <v>-82909009</v>
      </c>
      <c r="CK99" s="449">
        <v>79870086</v>
      </c>
      <c r="CL99" s="449">
        <v>3038923</v>
      </c>
      <c r="CM99" s="449">
        <v>46831958</v>
      </c>
      <c r="CN99" s="449">
        <f t="shared" si="77"/>
        <v>82909.009000000005</v>
      </c>
      <c r="CO99" s="449">
        <f t="shared" si="78"/>
        <v>79870.085999999996</v>
      </c>
      <c r="CP99" s="449">
        <f t="shared" si="79"/>
        <v>3038.9229999999998</v>
      </c>
      <c r="CQ99" s="449">
        <f t="shared" si="80"/>
        <v>46831.957999999999</v>
      </c>
      <c r="CU99" s="448" t="s">
        <v>406</v>
      </c>
      <c r="CV99" s="449">
        <v>19746000</v>
      </c>
      <c r="CW99" s="449">
        <v>19746000</v>
      </c>
      <c r="CX99" s="450">
        <f t="shared" si="81"/>
        <v>19746</v>
      </c>
      <c r="CY99" s="450">
        <f t="shared" si="82"/>
        <v>19746</v>
      </c>
      <c r="DB99" s="602" t="s">
        <v>601</v>
      </c>
      <c r="DC99" s="603">
        <v>87094604</v>
      </c>
      <c r="DD99" s="603">
        <v>82375722</v>
      </c>
      <c r="DE99" s="603">
        <v>4718882</v>
      </c>
      <c r="DF99" s="603">
        <v>61879221</v>
      </c>
      <c r="DG99" s="604">
        <f t="shared" si="83"/>
        <v>87094.604000000007</v>
      </c>
      <c r="DH99" s="604">
        <f t="shared" si="84"/>
        <v>82375.721999999994</v>
      </c>
      <c r="DI99" s="604">
        <f t="shared" si="85"/>
        <v>4718.8819999999996</v>
      </c>
      <c r="DJ99" s="604">
        <f t="shared" si="86"/>
        <v>61879.220999999998</v>
      </c>
      <c r="DN99" s="94" t="s">
        <v>410</v>
      </c>
      <c r="DO99" s="94">
        <v>601860</v>
      </c>
      <c r="DP99" s="94">
        <v>458780</v>
      </c>
      <c r="DQ99" s="666">
        <f t="shared" si="87"/>
        <v>601.86</v>
      </c>
      <c r="DR99" s="666">
        <f t="shared" si="88"/>
        <v>458.78</v>
      </c>
      <c r="DV99" s="94" t="s">
        <v>400</v>
      </c>
      <c r="DW99" s="95">
        <v>324513716</v>
      </c>
      <c r="DX99" s="95">
        <v>298629982</v>
      </c>
      <c r="DY99" s="95">
        <v>25883734</v>
      </c>
      <c r="DZ99" s="95">
        <v>187313675</v>
      </c>
      <c r="EA99" s="95">
        <f t="shared" si="89"/>
        <v>324513.71600000001</v>
      </c>
      <c r="EB99" s="95">
        <f t="shared" si="90"/>
        <v>298629.98200000002</v>
      </c>
      <c r="EC99" s="95">
        <f t="shared" si="91"/>
        <v>25883.734</v>
      </c>
      <c r="ED99" s="95">
        <f t="shared" si="92"/>
        <v>187313.67499999999</v>
      </c>
      <c r="EH99" s="444" t="s">
        <v>406</v>
      </c>
      <c r="EI99" s="444">
        <v>33200000</v>
      </c>
      <c r="EJ99" s="450">
        <f t="shared" si="93"/>
        <v>33200</v>
      </c>
      <c r="EN99" s="444" t="s">
        <v>397</v>
      </c>
      <c r="EO99" s="450">
        <v>11969275</v>
      </c>
      <c r="EP99" s="450">
        <v>6667144</v>
      </c>
      <c r="EQ99" s="450">
        <v>5302131</v>
      </c>
      <c r="ER99" s="450">
        <v>6667144</v>
      </c>
      <c r="ES99" s="746">
        <f t="shared" si="94"/>
        <v>11969.275</v>
      </c>
      <c r="ET99" s="746">
        <f t="shared" si="95"/>
        <v>6667.1440000000002</v>
      </c>
      <c r="EU99" s="746">
        <f t="shared" si="96"/>
        <v>5302.1310000000003</v>
      </c>
      <c r="EV99" s="746">
        <f t="shared" si="97"/>
        <v>6667.1440000000002</v>
      </c>
      <c r="EZ99" s="780" t="s">
        <v>553</v>
      </c>
      <c r="FA99" s="781" t="s">
        <v>411</v>
      </c>
      <c r="FB99" s="444">
        <v>0</v>
      </c>
      <c r="FC99" s="450">
        <f t="shared" si="98"/>
        <v>0</v>
      </c>
      <c r="FG99" s="785" t="s">
        <v>355</v>
      </c>
      <c r="FH99" s="784" t="s">
        <v>397</v>
      </c>
      <c r="FI99" s="782">
        <v>11969275</v>
      </c>
      <c r="FJ99" s="783">
        <v>6788949</v>
      </c>
      <c r="FK99" s="783">
        <v>5180326</v>
      </c>
      <c r="FL99" s="783">
        <v>6788949</v>
      </c>
      <c r="FM99" s="450">
        <f t="shared" si="99"/>
        <v>11969.275</v>
      </c>
      <c r="FN99" s="450">
        <f t="shared" si="100"/>
        <v>6788.9489999999996</v>
      </c>
      <c r="FO99" s="450">
        <f t="shared" si="101"/>
        <v>5180.326</v>
      </c>
      <c r="FP99" s="450">
        <f t="shared" si="102"/>
        <v>6788.9489999999996</v>
      </c>
      <c r="FT99" s="451" t="s">
        <v>355</v>
      </c>
      <c r="FU99" s="94" t="s">
        <v>607</v>
      </c>
      <c r="FV99" s="95">
        <v>29121839</v>
      </c>
      <c r="FW99" s="95">
        <v>102881941</v>
      </c>
      <c r="FX99" s="95">
        <v>87860673</v>
      </c>
      <c r="FY99" s="450">
        <f t="shared" si="103"/>
        <v>29121.839</v>
      </c>
      <c r="FZ99" s="450">
        <f t="shared" si="104"/>
        <v>102881.94100000001</v>
      </c>
      <c r="GA99" s="450">
        <f t="shared" si="105"/>
        <v>87860.672999999995</v>
      </c>
      <c r="GG99" s="817" t="s">
        <v>355</v>
      </c>
      <c r="GH99" s="818" t="s">
        <v>397</v>
      </c>
      <c r="GI99" s="819">
        <v>8219051</v>
      </c>
      <c r="GJ99" s="819">
        <v>7641583</v>
      </c>
      <c r="GK99" s="819">
        <v>577468</v>
      </c>
      <c r="GL99" s="819">
        <v>7538725</v>
      </c>
      <c r="GM99" s="819">
        <v>102858</v>
      </c>
      <c r="GN99" s="450">
        <f t="shared" si="106"/>
        <v>8219.0509999999995</v>
      </c>
      <c r="GO99" s="450">
        <f t="shared" si="107"/>
        <v>7641.5829999999996</v>
      </c>
      <c r="GP99" s="450">
        <f t="shared" si="108"/>
        <v>577.46799999999996</v>
      </c>
      <c r="GQ99" s="450">
        <f t="shared" si="109"/>
        <v>7538.7250000000004</v>
      </c>
      <c r="GR99" s="450">
        <f t="shared" si="110"/>
        <v>102.858</v>
      </c>
      <c r="GV99" s="841" t="s">
        <v>504</v>
      </c>
      <c r="GW99" s="840">
        <v>18434</v>
      </c>
      <c r="GX99" s="450">
        <f t="shared" si="111"/>
        <v>18.434000000000001</v>
      </c>
      <c r="HB99" s="843" t="s">
        <v>597</v>
      </c>
      <c r="HC99" s="819">
        <v>13097523</v>
      </c>
      <c r="HD99" s="819">
        <v>13097523</v>
      </c>
      <c r="HE99" s="819">
        <v>0</v>
      </c>
      <c r="HF99" s="819">
        <v>13097523</v>
      </c>
      <c r="HG99" s="450">
        <f t="shared" si="112"/>
        <v>13097.522999999999</v>
      </c>
      <c r="HH99" s="450">
        <f t="shared" si="113"/>
        <v>0</v>
      </c>
      <c r="HI99" s="450">
        <f t="shared" si="114"/>
        <v>13097.522999999999</v>
      </c>
      <c r="HJ99" s="450">
        <f t="shared" si="115"/>
        <v>0</v>
      </c>
      <c r="HK99" s="450">
        <f t="shared" si="116"/>
        <v>13097.522999999999</v>
      </c>
    </row>
    <row r="100" spans="1:219" ht="15" customHeight="1" x14ac:dyDescent="0.3">
      <c r="A100" s="295" t="s">
        <v>553</v>
      </c>
      <c r="B100" s="296" t="s">
        <v>604</v>
      </c>
      <c r="C100" s="297">
        <v>44416667</v>
      </c>
      <c r="D100" s="298">
        <f t="shared" si="61"/>
        <v>47214.917021000001</v>
      </c>
      <c r="E100" s="297">
        <v>1933213</v>
      </c>
      <c r="F100" s="297">
        <f t="shared" si="62"/>
        <v>2055.0054190000001</v>
      </c>
      <c r="Q100" s="299" t="s">
        <v>553</v>
      </c>
      <c r="R100" s="300" t="s">
        <v>404</v>
      </c>
      <c r="S100" s="301">
        <v>601706293</v>
      </c>
      <c r="T100" s="301">
        <v>26069033</v>
      </c>
      <c r="U100" s="301">
        <f t="shared" si="64"/>
        <v>639613.78945899988</v>
      </c>
      <c r="V100" s="301">
        <f t="shared" si="65"/>
        <v>27711.382078999999</v>
      </c>
      <c r="Z100" s="296" t="s">
        <v>408</v>
      </c>
      <c r="AA100" s="297">
        <v>72243799</v>
      </c>
      <c r="AB100" s="297">
        <f t="shared" si="66"/>
        <v>76795.158337000001</v>
      </c>
      <c r="AF100" s="296" t="s">
        <v>402</v>
      </c>
      <c r="AG100" s="297">
        <v>10000000</v>
      </c>
      <c r="AH100" s="297">
        <f t="shared" si="117"/>
        <v>10630</v>
      </c>
      <c r="AI100" s="297">
        <v>2320500</v>
      </c>
      <c r="AL100" s="450"/>
      <c r="AN100" s="447" t="s">
        <v>355</v>
      </c>
      <c r="AO100" s="448" t="s">
        <v>607</v>
      </c>
      <c r="AP100" s="449">
        <v>66255600</v>
      </c>
      <c r="AQ100" s="449">
        <f t="shared" si="67"/>
        <v>70429.702799999999</v>
      </c>
      <c r="AU100" s="447" t="s">
        <v>553</v>
      </c>
      <c r="AV100" s="448" t="s">
        <v>402</v>
      </c>
      <c r="AW100" s="449">
        <v>9282000</v>
      </c>
      <c r="AX100" s="449">
        <v>9282000</v>
      </c>
      <c r="AY100" s="449">
        <v>0</v>
      </c>
      <c r="AZ100" s="450">
        <f t="shared" si="68"/>
        <v>9866.7659999999996</v>
      </c>
      <c r="BA100" s="450">
        <f t="shared" si="69"/>
        <v>9866.7659999999996</v>
      </c>
      <c r="BB100" s="450">
        <f t="shared" si="70"/>
        <v>0</v>
      </c>
      <c r="BF100" s="447" t="s">
        <v>449</v>
      </c>
      <c r="BG100" s="448" t="s">
        <v>618</v>
      </c>
      <c r="BH100" s="449">
        <v>15029540</v>
      </c>
      <c r="BI100" s="450">
        <f t="shared" si="71"/>
        <v>15029.54</v>
      </c>
      <c r="BM100" s="451" t="s">
        <v>553</v>
      </c>
      <c r="BN100" s="94" t="s">
        <v>603</v>
      </c>
      <c r="BO100" s="95">
        <v>0</v>
      </c>
      <c r="BP100" s="95">
        <v>3300000</v>
      </c>
      <c r="BQ100" s="95">
        <v>2555157</v>
      </c>
      <c r="BR100" s="95">
        <v>744843</v>
      </c>
      <c r="BS100" s="95">
        <v>2555157</v>
      </c>
      <c r="BT100" s="450">
        <f t="shared" si="72"/>
        <v>3300</v>
      </c>
      <c r="BU100" s="450">
        <f t="shared" si="73"/>
        <v>2555.1570000000002</v>
      </c>
      <c r="BV100" s="450">
        <f t="shared" si="74"/>
        <v>744.84299999999996</v>
      </c>
      <c r="BW100" s="450">
        <f t="shared" si="75"/>
        <v>2555.1570000000002</v>
      </c>
      <c r="CA100" s="94" t="s">
        <v>406</v>
      </c>
      <c r="CB100" s="450">
        <v>20000000</v>
      </c>
      <c r="CC100" s="450">
        <f t="shared" si="76"/>
        <v>20000</v>
      </c>
      <c r="CG100" s="448" t="s">
        <v>602</v>
      </c>
      <c r="CH100" s="449">
        <v>0</v>
      </c>
      <c r="CI100" s="449">
        <v>56259190</v>
      </c>
      <c r="CJ100" s="449">
        <v>-56259190</v>
      </c>
      <c r="CK100" s="449">
        <v>55667458</v>
      </c>
      <c r="CL100" s="449">
        <v>591732</v>
      </c>
      <c r="CM100" s="449">
        <v>25644258</v>
      </c>
      <c r="CN100" s="449">
        <f t="shared" si="77"/>
        <v>56259.19</v>
      </c>
      <c r="CO100" s="449">
        <f t="shared" si="78"/>
        <v>55667.457999999999</v>
      </c>
      <c r="CP100" s="449">
        <f t="shared" si="79"/>
        <v>591.73199999999997</v>
      </c>
      <c r="CQ100" s="449">
        <f t="shared" si="80"/>
        <v>25644.258000000002</v>
      </c>
      <c r="CU100" s="448" t="s">
        <v>407</v>
      </c>
      <c r="CV100" s="449">
        <v>-680000</v>
      </c>
      <c r="CW100" s="449">
        <v>0</v>
      </c>
      <c r="CX100" s="450">
        <f t="shared" si="81"/>
        <v>-680</v>
      </c>
      <c r="CY100" s="450">
        <f t="shared" si="82"/>
        <v>0</v>
      </c>
      <c r="DB100" s="602" t="s">
        <v>602</v>
      </c>
      <c r="DC100" s="603">
        <v>59058590</v>
      </c>
      <c r="DD100" s="603">
        <v>58700258</v>
      </c>
      <c r="DE100" s="603">
        <v>358332</v>
      </c>
      <c r="DF100" s="603">
        <v>34621258</v>
      </c>
      <c r="DG100" s="604">
        <f t="shared" si="83"/>
        <v>59058.59</v>
      </c>
      <c r="DH100" s="604">
        <f t="shared" si="84"/>
        <v>58700.258000000002</v>
      </c>
      <c r="DI100" s="604">
        <f t="shared" si="85"/>
        <v>358.33199999999999</v>
      </c>
      <c r="DJ100" s="604">
        <f t="shared" si="86"/>
        <v>34621.258000000002</v>
      </c>
      <c r="DN100" s="94" t="s">
        <v>609</v>
      </c>
      <c r="DO100" s="94">
        <v>880000</v>
      </c>
      <c r="DP100" s="94">
        <v>149940</v>
      </c>
      <c r="DQ100" s="666">
        <f t="shared" si="87"/>
        <v>880</v>
      </c>
      <c r="DR100" s="666">
        <f t="shared" si="88"/>
        <v>149.94</v>
      </c>
      <c r="DV100" s="94" t="s">
        <v>401</v>
      </c>
      <c r="DW100" s="95">
        <v>81604202</v>
      </c>
      <c r="DX100" s="95">
        <v>76603035</v>
      </c>
      <c r="DY100" s="95">
        <v>5001167</v>
      </c>
      <c r="DZ100" s="95">
        <v>49975647</v>
      </c>
      <c r="EA100" s="95">
        <f t="shared" si="89"/>
        <v>81604.202000000005</v>
      </c>
      <c r="EB100" s="95">
        <f t="shared" si="90"/>
        <v>76603.035000000003</v>
      </c>
      <c r="EC100" s="95">
        <f t="shared" si="91"/>
        <v>5001.1670000000004</v>
      </c>
      <c r="ED100" s="95">
        <f t="shared" si="92"/>
        <v>49975.646999999997</v>
      </c>
      <c r="EH100" s="444" t="s">
        <v>407</v>
      </c>
      <c r="EI100" s="444">
        <v>1300000</v>
      </c>
      <c r="EJ100" s="450">
        <f t="shared" si="93"/>
        <v>1300</v>
      </c>
      <c r="EN100" s="444" t="s">
        <v>398</v>
      </c>
      <c r="EO100" s="450">
        <v>10000000</v>
      </c>
      <c r="EP100" s="450">
        <v>4697869</v>
      </c>
      <c r="EQ100" s="450">
        <v>5302131</v>
      </c>
      <c r="ER100" s="450">
        <v>4697869</v>
      </c>
      <c r="ES100" s="746">
        <f t="shared" si="94"/>
        <v>10000</v>
      </c>
      <c r="ET100" s="746">
        <f t="shared" si="95"/>
        <v>4697.8689999999997</v>
      </c>
      <c r="EU100" s="746">
        <f t="shared" si="96"/>
        <v>5302.1310000000003</v>
      </c>
      <c r="EV100" s="746">
        <f t="shared" si="97"/>
        <v>4697.8689999999997</v>
      </c>
      <c r="EZ100" s="780" t="s">
        <v>449</v>
      </c>
      <c r="FA100" s="781" t="s">
        <v>412</v>
      </c>
      <c r="FB100" s="444">
        <v>11418412</v>
      </c>
      <c r="FC100" s="450">
        <f t="shared" si="98"/>
        <v>11418.412</v>
      </c>
      <c r="FG100" s="785" t="s">
        <v>553</v>
      </c>
      <c r="FH100" s="784" t="s">
        <v>398</v>
      </c>
      <c r="FI100" s="782">
        <v>10000000</v>
      </c>
      <c r="FJ100" s="783">
        <v>4819674</v>
      </c>
      <c r="FK100" s="783">
        <v>5180326</v>
      </c>
      <c r="FL100" s="783">
        <v>4819674</v>
      </c>
      <c r="FM100" s="450">
        <f t="shared" si="99"/>
        <v>10000</v>
      </c>
      <c r="FN100" s="450">
        <f t="shared" si="100"/>
        <v>4819.674</v>
      </c>
      <c r="FO100" s="450">
        <f t="shared" si="101"/>
        <v>5180.326</v>
      </c>
      <c r="FP100" s="450">
        <f t="shared" si="102"/>
        <v>4819.674</v>
      </c>
      <c r="FT100" s="451" t="s">
        <v>553</v>
      </c>
      <c r="FU100" s="94" t="s">
        <v>406</v>
      </c>
      <c r="FV100" s="95">
        <v>16036905</v>
      </c>
      <c r="FW100" s="95">
        <v>100702154</v>
      </c>
      <c r="FX100" s="95">
        <v>19746000</v>
      </c>
      <c r="FY100" s="450">
        <f t="shared" si="103"/>
        <v>16036.905000000001</v>
      </c>
      <c r="FZ100" s="450">
        <f t="shared" si="104"/>
        <v>100702.15399999999</v>
      </c>
      <c r="GA100" s="450">
        <f t="shared" si="105"/>
        <v>19746</v>
      </c>
      <c r="GG100" s="817" t="s">
        <v>553</v>
      </c>
      <c r="GH100" s="818" t="s">
        <v>398</v>
      </c>
      <c r="GI100" s="819">
        <v>6249776</v>
      </c>
      <c r="GJ100" s="819">
        <v>5672308</v>
      </c>
      <c r="GK100" s="819">
        <v>577468</v>
      </c>
      <c r="GL100" s="819">
        <v>5569450</v>
      </c>
      <c r="GM100" s="819">
        <v>102858</v>
      </c>
      <c r="GN100" s="450">
        <f t="shared" si="106"/>
        <v>6249.7759999999998</v>
      </c>
      <c r="GO100" s="450">
        <f t="shared" si="107"/>
        <v>5672.308</v>
      </c>
      <c r="GP100" s="450">
        <f t="shared" si="108"/>
        <v>577.46799999999996</v>
      </c>
      <c r="GQ100" s="450">
        <f t="shared" si="109"/>
        <v>5569.45</v>
      </c>
      <c r="GR100" s="450">
        <f t="shared" si="110"/>
        <v>102.858</v>
      </c>
      <c r="GV100" s="841" t="s">
        <v>607</v>
      </c>
      <c r="GW100" s="840">
        <v>290196955</v>
      </c>
      <c r="GX100" s="450">
        <f t="shared" si="111"/>
        <v>290196.95500000002</v>
      </c>
      <c r="HB100" s="843" t="s">
        <v>598</v>
      </c>
      <c r="HC100" s="819">
        <v>749700</v>
      </c>
      <c r="HD100" s="819">
        <v>749700</v>
      </c>
      <c r="HE100" s="819">
        <v>0</v>
      </c>
      <c r="HF100" s="819">
        <v>749700</v>
      </c>
      <c r="HG100" s="450">
        <f t="shared" si="112"/>
        <v>749.7</v>
      </c>
      <c r="HH100" s="450">
        <f t="shared" si="113"/>
        <v>0</v>
      </c>
      <c r="HI100" s="450">
        <f t="shared" si="114"/>
        <v>749.7</v>
      </c>
      <c r="HJ100" s="450">
        <f t="shared" si="115"/>
        <v>0</v>
      </c>
      <c r="HK100" s="450">
        <f t="shared" si="116"/>
        <v>749.7</v>
      </c>
    </row>
    <row r="101" spans="1:219" ht="15" customHeight="1" x14ac:dyDescent="0.3">
      <c r="A101" s="295" t="s">
        <v>553</v>
      </c>
      <c r="B101" s="296" t="s">
        <v>605</v>
      </c>
      <c r="C101" s="297">
        <v>95000000</v>
      </c>
      <c r="D101" s="298">
        <f t="shared" si="61"/>
        <v>100985</v>
      </c>
      <c r="E101" s="297">
        <v>0</v>
      </c>
      <c r="F101" s="297">
        <f t="shared" si="62"/>
        <v>0</v>
      </c>
      <c r="Q101" s="299" t="s">
        <v>553</v>
      </c>
      <c r="R101" s="300" t="s">
        <v>604</v>
      </c>
      <c r="S101" s="301">
        <v>44416667</v>
      </c>
      <c r="T101" s="301">
        <v>3752099</v>
      </c>
      <c r="U101" s="301">
        <f t="shared" si="64"/>
        <v>47214.917021000001</v>
      </c>
      <c r="V101" s="301">
        <f t="shared" si="65"/>
        <v>3988.481237</v>
      </c>
      <c r="Z101" s="296" t="s">
        <v>608</v>
      </c>
      <c r="AA101" s="297">
        <v>1631436</v>
      </c>
      <c r="AB101" s="297">
        <f t="shared" si="66"/>
        <v>1734.2164679999998</v>
      </c>
      <c r="AF101" s="296" t="s">
        <v>403</v>
      </c>
      <c r="AG101" s="297">
        <v>745672960</v>
      </c>
      <c r="AH101" s="297">
        <f t="shared" si="117"/>
        <v>792650.35647999996</v>
      </c>
      <c r="AI101" s="297">
        <v>63353560</v>
      </c>
      <c r="AL101" s="450"/>
      <c r="AN101" s="447" t="s">
        <v>553</v>
      </c>
      <c r="AO101" s="448" t="s">
        <v>406</v>
      </c>
      <c r="AP101" s="449">
        <v>54525000</v>
      </c>
      <c r="AQ101" s="449">
        <f t="shared" si="67"/>
        <v>57960.074999999997</v>
      </c>
      <c r="AU101" s="447" t="s">
        <v>355</v>
      </c>
      <c r="AV101" s="448" t="s">
        <v>403</v>
      </c>
      <c r="AW101" s="449">
        <v>745172960</v>
      </c>
      <c r="AX101" s="449">
        <v>667192099</v>
      </c>
      <c r="AY101" s="449">
        <v>77980861</v>
      </c>
      <c r="AZ101" s="450">
        <f t="shared" si="68"/>
        <v>792118.85647999996</v>
      </c>
      <c r="BA101" s="450">
        <f t="shared" si="69"/>
        <v>709225.20123700006</v>
      </c>
      <c r="BB101" s="450">
        <f t="shared" si="70"/>
        <v>82893.655243000001</v>
      </c>
      <c r="BF101" s="447" t="s">
        <v>355</v>
      </c>
      <c r="BG101" s="448" t="s">
        <v>415</v>
      </c>
      <c r="BH101" s="449">
        <v>15029540</v>
      </c>
      <c r="BI101" s="450">
        <f t="shared" si="71"/>
        <v>15029.54</v>
      </c>
      <c r="BM101" s="451" t="s">
        <v>553</v>
      </c>
      <c r="BN101" s="94" t="s">
        <v>402</v>
      </c>
      <c r="BO101" s="95">
        <v>0</v>
      </c>
      <c r="BP101" s="95">
        <v>10769500</v>
      </c>
      <c r="BQ101" s="95">
        <v>10769500</v>
      </c>
      <c r="BR101" s="95">
        <v>0</v>
      </c>
      <c r="BS101" s="95">
        <v>4224500</v>
      </c>
      <c r="BT101" s="450">
        <f t="shared" si="72"/>
        <v>10769.5</v>
      </c>
      <c r="BU101" s="450">
        <f t="shared" si="73"/>
        <v>10769.5</v>
      </c>
      <c r="BV101" s="450">
        <f t="shared" si="74"/>
        <v>0</v>
      </c>
      <c r="BW101" s="450">
        <f t="shared" si="75"/>
        <v>4224.5</v>
      </c>
      <c r="CA101" s="94" t="s">
        <v>407</v>
      </c>
      <c r="CB101" s="450">
        <v>0</v>
      </c>
      <c r="CC101" s="450">
        <f t="shared" si="76"/>
        <v>0</v>
      </c>
      <c r="CG101" s="448" t="s">
        <v>603</v>
      </c>
      <c r="CH101" s="449">
        <v>0</v>
      </c>
      <c r="CI101" s="449">
        <v>2555157</v>
      </c>
      <c r="CJ101" s="449">
        <v>-2555157</v>
      </c>
      <c r="CK101" s="449">
        <v>2555157</v>
      </c>
      <c r="CL101" s="449">
        <v>0</v>
      </c>
      <c r="CM101" s="449">
        <v>2555157</v>
      </c>
      <c r="CN101" s="449">
        <f t="shared" si="77"/>
        <v>2555.1570000000002</v>
      </c>
      <c r="CO101" s="449">
        <f t="shared" si="78"/>
        <v>2555.1570000000002</v>
      </c>
      <c r="CP101" s="449">
        <f t="shared" si="79"/>
        <v>0</v>
      </c>
      <c r="CQ101" s="449">
        <f t="shared" si="80"/>
        <v>2555.1570000000002</v>
      </c>
      <c r="CU101" s="448" t="s">
        <v>408</v>
      </c>
      <c r="CV101" s="449">
        <v>-71397016</v>
      </c>
      <c r="CW101" s="449">
        <v>120400798</v>
      </c>
      <c r="CX101" s="450">
        <f t="shared" si="81"/>
        <v>-71397.016000000003</v>
      </c>
      <c r="CY101" s="450">
        <f t="shared" si="82"/>
        <v>120400.798</v>
      </c>
      <c r="DB101" s="602" t="s">
        <v>603</v>
      </c>
      <c r="DC101" s="603">
        <v>2555157</v>
      </c>
      <c r="DD101" s="603">
        <v>2555157</v>
      </c>
      <c r="DE101" s="603">
        <v>0</v>
      </c>
      <c r="DF101" s="603">
        <v>2555157</v>
      </c>
      <c r="DG101" s="604">
        <f t="shared" si="83"/>
        <v>2555.1570000000002</v>
      </c>
      <c r="DH101" s="604">
        <f t="shared" si="84"/>
        <v>2555.1570000000002</v>
      </c>
      <c r="DI101" s="604">
        <f t="shared" si="85"/>
        <v>0</v>
      </c>
      <c r="DJ101" s="604">
        <f t="shared" si="86"/>
        <v>2555.1570000000002</v>
      </c>
      <c r="DN101" s="94" t="s">
        <v>411</v>
      </c>
      <c r="DO101" s="94">
        <v>0</v>
      </c>
      <c r="DP101" s="94">
        <v>0</v>
      </c>
      <c r="DQ101" s="666">
        <f t="shared" si="87"/>
        <v>0</v>
      </c>
      <c r="DR101" s="666">
        <f t="shared" si="88"/>
        <v>0</v>
      </c>
      <c r="DV101" s="94" t="s">
        <v>601</v>
      </c>
      <c r="DW101" s="95">
        <f>108368773+2300</f>
        <v>108371073</v>
      </c>
      <c r="DX101" s="95">
        <v>107498207</v>
      </c>
      <c r="DY101" s="95">
        <v>870566</v>
      </c>
      <c r="DZ101" s="95">
        <v>75116493</v>
      </c>
      <c r="EA101" s="95">
        <f t="shared" si="89"/>
        <v>108371.073</v>
      </c>
      <c r="EB101" s="95">
        <f t="shared" si="90"/>
        <v>107498.20699999999</v>
      </c>
      <c r="EC101" s="95">
        <f t="shared" si="91"/>
        <v>870.56600000000003</v>
      </c>
      <c r="ED101" s="95">
        <f t="shared" si="92"/>
        <v>75116.493000000002</v>
      </c>
      <c r="EH101" s="444" t="s">
        <v>408</v>
      </c>
      <c r="EI101" s="444">
        <v>57961699</v>
      </c>
      <c r="EJ101" s="450">
        <f t="shared" si="93"/>
        <v>57961.699000000001</v>
      </c>
      <c r="EN101" s="444" t="s">
        <v>399</v>
      </c>
      <c r="EO101" s="450">
        <v>1969275</v>
      </c>
      <c r="EP101" s="450">
        <v>1969275</v>
      </c>
      <c r="EQ101" s="450">
        <v>0</v>
      </c>
      <c r="ER101" s="450">
        <v>1969275</v>
      </c>
      <c r="ES101" s="746">
        <f t="shared" si="94"/>
        <v>1969.2750000000001</v>
      </c>
      <c r="ET101" s="746">
        <f t="shared" si="95"/>
        <v>1969.2750000000001</v>
      </c>
      <c r="EU101" s="746">
        <f t="shared" si="96"/>
        <v>0</v>
      </c>
      <c r="EV101" s="746">
        <f t="shared" si="97"/>
        <v>1969.2750000000001</v>
      </c>
      <c r="EZ101" s="780" t="s">
        <v>355</v>
      </c>
      <c r="FA101" s="781" t="s">
        <v>538</v>
      </c>
      <c r="FB101" s="444">
        <v>0</v>
      </c>
      <c r="FC101" s="450">
        <f t="shared" si="98"/>
        <v>0</v>
      </c>
      <c r="FG101" s="785" t="s">
        <v>553</v>
      </c>
      <c r="FH101" s="784" t="s">
        <v>399</v>
      </c>
      <c r="FI101" s="782">
        <v>1969275</v>
      </c>
      <c r="FJ101" s="783">
        <v>1969275</v>
      </c>
      <c r="FK101" s="783">
        <v>0</v>
      </c>
      <c r="FL101" s="783">
        <v>1969275</v>
      </c>
      <c r="FM101" s="450">
        <f t="shared" si="99"/>
        <v>1969.2750000000001</v>
      </c>
      <c r="FN101" s="450">
        <f t="shared" si="100"/>
        <v>1969.2750000000001</v>
      </c>
      <c r="FO101" s="450">
        <f t="shared" si="101"/>
        <v>0</v>
      </c>
      <c r="FP101" s="450">
        <f t="shared" si="102"/>
        <v>1969.2750000000001</v>
      </c>
      <c r="FT101" s="451" t="s">
        <v>553</v>
      </c>
      <c r="FU101" s="94" t="s">
        <v>407</v>
      </c>
      <c r="FV101" s="95">
        <v>90426</v>
      </c>
      <c r="FW101" s="95">
        <v>2179787</v>
      </c>
      <c r="FX101" s="95">
        <v>6947574</v>
      </c>
      <c r="FY101" s="450">
        <f t="shared" si="103"/>
        <v>90.426000000000002</v>
      </c>
      <c r="FZ101" s="450">
        <f t="shared" si="104"/>
        <v>2179.7869999999998</v>
      </c>
      <c r="GA101" s="450">
        <f t="shared" si="105"/>
        <v>6947.5739999999996</v>
      </c>
      <c r="GG101" s="817" t="s">
        <v>553</v>
      </c>
      <c r="GH101" s="818" t="s">
        <v>399</v>
      </c>
      <c r="GI101" s="819">
        <v>1969275</v>
      </c>
      <c r="GJ101" s="819">
        <v>1969275</v>
      </c>
      <c r="GK101" s="819">
        <v>0</v>
      </c>
      <c r="GL101" s="819">
        <v>1969275</v>
      </c>
      <c r="GM101" s="819">
        <v>0</v>
      </c>
      <c r="GN101" s="450">
        <f t="shared" si="106"/>
        <v>1969.2750000000001</v>
      </c>
      <c r="GO101" s="450">
        <f t="shared" si="107"/>
        <v>1969.2750000000001</v>
      </c>
      <c r="GP101" s="450">
        <f t="shared" si="108"/>
        <v>0</v>
      </c>
      <c r="GQ101" s="450">
        <f t="shared" si="109"/>
        <v>1969.2750000000001</v>
      </c>
      <c r="GR101" s="450">
        <f t="shared" si="110"/>
        <v>0</v>
      </c>
      <c r="GV101" s="841" t="s">
        <v>406</v>
      </c>
      <c r="GW101" s="840">
        <v>80956155</v>
      </c>
      <c r="GX101" s="450">
        <f t="shared" si="111"/>
        <v>80956.154999999999</v>
      </c>
      <c r="HB101" s="843" t="s">
        <v>599</v>
      </c>
      <c r="HC101" s="819">
        <v>916300</v>
      </c>
      <c r="HD101" s="819">
        <v>916300</v>
      </c>
      <c r="HE101" s="819">
        <v>0</v>
      </c>
      <c r="HF101" s="819">
        <v>0</v>
      </c>
      <c r="HG101" s="450">
        <f t="shared" si="112"/>
        <v>916.3</v>
      </c>
      <c r="HH101" s="450">
        <f t="shared" si="113"/>
        <v>0</v>
      </c>
      <c r="HI101" s="450">
        <f t="shared" si="114"/>
        <v>916.3</v>
      </c>
      <c r="HJ101" s="450">
        <f t="shared" si="115"/>
        <v>0</v>
      </c>
      <c r="HK101" s="450">
        <f t="shared" si="116"/>
        <v>0</v>
      </c>
    </row>
    <row r="102" spans="1:219" ht="15" customHeight="1" x14ac:dyDescent="0.3">
      <c r="A102" s="295" t="s">
        <v>553</v>
      </c>
      <c r="B102" s="296" t="s">
        <v>494</v>
      </c>
      <c r="C102" s="297">
        <v>13000000</v>
      </c>
      <c r="D102" s="298">
        <f t="shared" si="61"/>
        <v>13819</v>
      </c>
      <c r="E102" s="297">
        <v>0</v>
      </c>
      <c r="F102" s="297">
        <f t="shared" si="62"/>
        <v>0</v>
      </c>
      <c r="Q102" s="299" t="s">
        <v>553</v>
      </c>
      <c r="R102" s="300" t="s">
        <v>605</v>
      </c>
      <c r="S102" s="301">
        <v>95000000</v>
      </c>
      <c r="T102" s="301">
        <v>0</v>
      </c>
      <c r="U102" s="301">
        <f t="shared" si="64"/>
        <v>100985</v>
      </c>
      <c r="V102" s="301">
        <f t="shared" si="65"/>
        <v>0</v>
      </c>
      <c r="Z102" s="296" t="s">
        <v>410</v>
      </c>
      <c r="AA102" s="297">
        <v>1631436</v>
      </c>
      <c r="AB102" s="297">
        <f t="shared" si="66"/>
        <v>1734.2164679999998</v>
      </c>
      <c r="AF102" s="296" t="s">
        <v>404</v>
      </c>
      <c r="AG102" s="297">
        <v>593256293</v>
      </c>
      <c r="AH102" s="297">
        <f t="shared" si="117"/>
        <v>630631.4394589999</v>
      </c>
      <c r="AI102" s="297">
        <v>45785669</v>
      </c>
      <c r="AL102" s="450"/>
      <c r="AN102" s="447" t="s">
        <v>553</v>
      </c>
      <c r="AO102" s="448" t="s">
        <v>407</v>
      </c>
      <c r="AP102" s="449">
        <v>5000000</v>
      </c>
      <c r="AQ102" s="449">
        <f t="shared" si="67"/>
        <v>5315</v>
      </c>
      <c r="AU102" s="447" t="s">
        <v>553</v>
      </c>
      <c r="AV102" s="448" t="s">
        <v>404</v>
      </c>
      <c r="AW102" s="449">
        <v>593256293</v>
      </c>
      <c r="AX102" s="449">
        <v>584340000</v>
      </c>
      <c r="AY102" s="449">
        <v>8916293</v>
      </c>
      <c r="AZ102" s="450">
        <f t="shared" si="68"/>
        <v>630631.4394589999</v>
      </c>
      <c r="BA102" s="450">
        <f t="shared" si="69"/>
        <v>621153.41999999993</v>
      </c>
      <c r="BB102" s="450">
        <f t="shared" si="70"/>
        <v>9478.0194589999992</v>
      </c>
      <c r="BF102" s="447" t="s">
        <v>553</v>
      </c>
      <c r="BG102" s="448" t="s">
        <v>620</v>
      </c>
      <c r="BH102" s="449">
        <v>15029540</v>
      </c>
      <c r="BI102" s="450">
        <f t="shared" si="71"/>
        <v>15029.54</v>
      </c>
      <c r="BM102" s="451" t="s">
        <v>355</v>
      </c>
      <c r="BN102" s="94" t="s">
        <v>403</v>
      </c>
      <c r="BO102" s="95">
        <v>0</v>
      </c>
      <c r="BP102" s="95">
        <v>701972960</v>
      </c>
      <c r="BQ102" s="95">
        <v>677192099</v>
      </c>
      <c r="BR102" s="95">
        <v>24780861</v>
      </c>
      <c r="BS102" s="95">
        <v>224412422</v>
      </c>
      <c r="BT102" s="450">
        <f t="shared" si="72"/>
        <v>701972.96</v>
      </c>
      <c r="BU102" s="450">
        <f t="shared" si="73"/>
        <v>677192.09900000005</v>
      </c>
      <c r="BV102" s="450">
        <f t="shared" si="74"/>
        <v>24780.861000000001</v>
      </c>
      <c r="BW102" s="450">
        <f t="shared" si="75"/>
        <v>224412.42199999999</v>
      </c>
      <c r="CA102" s="94" t="s">
        <v>408</v>
      </c>
      <c r="CB102" s="450">
        <v>65515549</v>
      </c>
      <c r="CC102" s="450">
        <f t="shared" si="76"/>
        <v>65515.548999999999</v>
      </c>
      <c r="CG102" s="448" t="s">
        <v>402</v>
      </c>
      <c r="CH102" s="449">
        <v>0</v>
      </c>
      <c r="CI102" s="449">
        <v>63858335</v>
      </c>
      <c r="CJ102" s="449">
        <v>-63858335</v>
      </c>
      <c r="CK102" s="449">
        <v>13858335</v>
      </c>
      <c r="CL102" s="449">
        <v>50000000</v>
      </c>
      <c r="CM102" s="449">
        <v>6128500</v>
      </c>
      <c r="CN102" s="449">
        <f t="shared" si="77"/>
        <v>63858.334999999999</v>
      </c>
      <c r="CO102" s="449">
        <f t="shared" si="78"/>
        <v>13858.334999999999</v>
      </c>
      <c r="CP102" s="449">
        <f t="shared" si="79"/>
        <v>50000</v>
      </c>
      <c r="CQ102" s="449">
        <f t="shared" si="80"/>
        <v>6128.5</v>
      </c>
      <c r="CU102" s="448" t="s">
        <v>409</v>
      </c>
      <c r="CV102" s="449">
        <v>312970</v>
      </c>
      <c r="CW102" s="449">
        <v>249900</v>
      </c>
      <c r="CX102" s="450">
        <f t="shared" si="81"/>
        <v>312.97000000000003</v>
      </c>
      <c r="CY102" s="450">
        <f t="shared" si="82"/>
        <v>249.9</v>
      </c>
      <c r="DB102" s="602" t="s">
        <v>402</v>
      </c>
      <c r="DC102" s="603">
        <v>67713377</v>
      </c>
      <c r="DD102" s="603">
        <v>45664953</v>
      </c>
      <c r="DE102" s="603">
        <v>22048424</v>
      </c>
      <c r="DF102" s="603">
        <v>10725470</v>
      </c>
      <c r="DG102" s="604">
        <f t="shared" si="83"/>
        <v>67713.376999999993</v>
      </c>
      <c r="DH102" s="604">
        <f t="shared" si="84"/>
        <v>45664.953000000001</v>
      </c>
      <c r="DI102" s="604">
        <f t="shared" si="85"/>
        <v>22048.423999999999</v>
      </c>
      <c r="DJ102" s="604">
        <f t="shared" si="86"/>
        <v>10725.47</v>
      </c>
      <c r="DN102" s="94" t="s">
        <v>412</v>
      </c>
      <c r="DO102" s="94">
        <v>-15528219</v>
      </c>
      <c r="DP102" s="94">
        <v>10767513</v>
      </c>
      <c r="DQ102" s="666">
        <f t="shared" si="87"/>
        <v>-15528.218999999999</v>
      </c>
      <c r="DR102" s="666">
        <f t="shared" si="88"/>
        <v>10767.513000000001</v>
      </c>
      <c r="DV102" s="94" t="s">
        <v>602</v>
      </c>
      <c r="DW102" s="95">
        <v>60798259</v>
      </c>
      <c r="DX102" s="95">
        <v>60798258</v>
      </c>
      <c r="DY102" s="95">
        <v>1</v>
      </c>
      <c r="DZ102" s="95">
        <v>39228258</v>
      </c>
      <c r="EA102" s="95">
        <f t="shared" si="89"/>
        <v>60798.258999999998</v>
      </c>
      <c r="EB102" s="95">
        <f t="shared" si="90"/>
        <v>60798.258000000002</v>
      </c>
      <c r="EC102" s="95">
        <f t="shared" si="91"/>
        <v>1E-3</v>
      </c>
      <c r="ED102" s="95">
        <f t="shared" si="92"/>
        <v>39228.258000000002</v>
      </c>
      <c r="EH102" s="444" t="s">
        <v>409</v>
      </c>
      <c r="EI102" s="444">
        <v>63070</v>
      </c>
      <c r="EJ102" s="450">
        <f t="shared" si="93"/>
        <v>63.07</v>
      </c>
      <c r="EN102" s="444" t="s">
        <v>400</v>
      </c>
      <c r="EO102" s="450">
        <v>356217261</v>
      </c>
      <c r="EP102" s="450">
        <v>315568309</v>
      </c>
      <c r="EQ102" s="450">
        <v>40648952</v>
      </c>
      <c r="ER102" s="450">
        <v>234387090</v>
      </c>
      <c r="ES102" s="746">
        <f t="shared" si="94"/>
        <v>356217.261</v>
      </c>
      <c r="ET102" s="746">
        <f t="shared" si="95"/>
        <v>315568.30900000001</v>
      </c>
      <c r="EU102" s="746">
        <f t="shared" si="96"/>
        <v>40648.951999999997</v>
      </c>
      <c r="EV102" s="746">
        <f t="shared" si="97"/>
        <v>234387.09</v>
      </c>
      <c r="EZ102" s="780" t="s">
        <v>553</v>
      </c>
      <c r="FA102" s="781" t="s">
        <v>690</v>
      </c>
      <c r="FB102" s="444">
        <v>0</v>
      </c>
      <c r="FC102" s="450">
        <f t="shared" si="98"/>
        <v>0</v>
      </c>
      <c r="FG102" s="785" t="s">
        <v>355</v>
      </c>
      <c r="FH102" s="784" t="s">
        <v>400</v>
      </c>
      <c r="FI102" s="782">
        <v>387936384</v>
      </c>
      <c r="FJ102" s="783">
        <v>366308035</v>
      </c>
      <c r="FK102" s="783">
        <v>21628349</v>
      </c>
      <c r="FL102" s="783">
        <v>274892240</v>
      </c>
      <c r="FM102" s="450">
        <f t="shared" si="99"/>
        <v>387936.38400000002</v>
      </c>
      <c r="FN102" s="450">
        <f t="shared" si="100"/>
        <v>366308.03499999997</v>
      </c>
      <c r="FO102" s="450">
        <f t="shared" si="101"/>
        <v>21628.348999999998</v>
      </c>
      <c r="FP102" s="450">
        <f t="shared" si="102"/>
        <v>274892.24</v>
      </c>
      <c r="FT102" s="451" t="s">
        <v>553</v>
      </c>
      <c r="FU102" s="94" t="s">
        <v>408</v>
      </c>
      <c r="FV102" s="95">
        <v>12994508</v>
      </c>
      <c r="FW102" s="95">
        <v>0</v>
      </c>
      <c r="FX102" s="95">
        <v>59167099</v>
      </c>
      <c r="FY102" s="450">
        <f t="shared" si="103"/>
        <v>12994.508</v>
      </c>
      <c r="FZ102" s="450">
        <f t="shared" si="104"/>
        <v>0</v>
      </c>
      <c r="GA102" s="450">
        <f t="shared" si="105"/>
        <v>59167.099000000002</v>
      </c>
      <c r="GG102" s="817" t="s">
        <v>355</v>
      </c>
      <c r="GH102" s="818" t="s">
        <v>400</v>
      </c>
      <c r="GI102" s="819">
        <v>380267872</v>
      </c>
      <c r="GJ102" s="819">
        <v>377803362</v>
      </c>
      <c r="GK102" s="819">
        <v>2464510</v>
      </c>
      <c r="GL102" s="819">
        <v>305304924</v>
      </c>
      <c r="GM102" s="819">
        <v>72498438</v>
      </c>
      <c r="GN102" s="450">
        <f t="shared" si="106"/>
        <v>380267.87199999997</v>
      </c>
      <c r="GO102" s="450">
        <f t="shared" si="107"/>
        <v>377803.36200000002</v>
      </c>
      <c r="GP102" s="450">
        <f t="shared" si="108"/>
        <v>2464.5100000000002</v>
      </c>
      <c r="GQ102" s="450">
        <f t="shared" si="109"/>
        <v>305304.924</v>
      </c>
      <c r="GR102" s="450">
        <f t="shared" si="110"/>
        <v>72498.437999999995</v>
      </c>
      <c r="GV102" s="841" t="s">
        <v>407</v>
      </c>
      <c r="GW102" s="840">
        <v>28848645</v>
      </c>
      <c r="GX102" s="450">
        <f t="shared" si="111"/>
        <v>28848.645</v>
      </c>
      <c r="HB102" s="843" t="s">
        <v>717</v>
      </c>
      <c r="HC102" s="819">
        <v>0</v>
      </c>
      <c r="HD102" s="819">
        <v>0</v>
      </c>
      <c r="HE102" s="819">
        <v>0</v>
      </c>
      <c r="HF102" s="819">
        <v>0</v>
      </c>
      <c r="HG102" s="450">
        <f t="shared" si="112"/>
        <v>0</v>
      </c>
      <c r="HH102" s="450">
        <f t="shared" si="113"/>
        <v>0</v>
      </c>
      <c r="HI102" s="450">
        <f t="shared" si="114"/>
        <v>0</v>
      </c>
      <c r="HJ102" s="450">
        <f t="shared" si="115"/>
        <v>0</v>
      </c>
      <c r="HK102" s="450">
        <f t="shared" si="116"/>
        <v>0</v>
      </c>
    </row>
    <row r="103" spans="1:219" ht="15" customHeight="1" x14ac:dyDescent="0.3">
      <c r="A103" s="295" t="s">
        <v>355</v>
      </c>
      <c r="B103" s="296" t="s">
        <v>606</v>
      </c>
      <c r="C103" s="297">
        <v>31000000</v>
      </c>
      <c r="D103" s="298">
        <f t="shared" si="61"/>
        <v>32953</v>
      </c>
      <c r="E103" s="297">
        <v>0</v>
      </c>
      <c r="F103" s="297">
        <f t="shared" si="62"/>
        <v>0</v>
      </c>
      <c r="Q103" s="299" t="s">
        <v>553</v>
      </c>
      <c r="R103" s="300" t="s">
        <v>494</v>
      </c>
      <c r="S103" s="301">
        <v>13000000</v>
      </c>
      <c r="T103" s="301">
        <v>1041250</v>
      </c>
      <c r="U103" s="301">
        <f t="shared" si="64"/>
        <v>13819</v>
      </c>
      <c r="V103" s="301">
        <f t="shared" si="65"/>
        <v>1106.8487499999999</v>
      </c>
      <c r="Z103" s="296" t="s">
        <v>412</v>
      </c>
      <c r="AA103" s="297">
        <v>32390647</v>
      </c>
      <c r="AB103" s="297">
        <f t="shared" si="66"/>
        <v>34431.257761000001</v>
      </c>
      <c r="AF103" s="296" t="s">
        <v>604</v>
      </c>
      <c r="AG103" s="297">
        <v>44416667</v>
      </c>
      <c r="AH103" s="297">
        <f t="shared" si="117"/>
        <v>47214.917021000001</v>
      </c>
      <c r="AI103" s="297">
        <v>5608357</v>
      </c>
      <c r="AL103" s="450"/>
      <c r="AN103" s="447" t="s">
        <v>553</v>
      </c>
      <c r="AO103" s="448" t="s">
        <v>408</v>
      </c>
      <c r="AP103" s="449">
        <v>6730600</v>
      </c>
      <c r="AQ103" s="449">
        <f t="shared" si="67"/>
        <v>7154.6278000000002</v>
      </c>
      <c r="AU103" s="447" t="s">
        <v>553</v>
      </c>
      <c r="AV103" s="448" t="s">
        <v>604</v>
      </c>
      <c r="AW103" s="449">
        <v>44416667</v>
      </c>
      <c r="AX103" s="449">
        <v>10352099</v>
      </c>
      <c r="AY103" s="449">
        <v>34064568</v>
      </c>
      <c r="AZ103" s="450">
        <f t="shared" si="68"/>
        <v>47214.917021000001</v>
      </c>
      <c r="BA103" s="450">
        <f t="shared" si="69"/>
        <v>11004.281236999999</v>
      </c>
      <c r="BB103" s="450">
        <f t="shared" si="70"/>
        <v>36210.635783999998</v>
      </c>
      <c r="BF103" s="447"/>
      <c r="BG103" s="448"/>
      <c r="BH103" s="449"/>
      <c r="BI103" s="450"/>
      <c r="BM103" s="451" t="s">
        <v>553</v>
      </c>
      <c r="BN103" s="94" t="s">
        <v>404</v>
      </c>
      <c r="BO103" s="95">
        <v>0</v>
      </c>
      <c r="BP103" s="95">
        <v>593256293</v>
      </c>
      <c r="BQ103" s="95">
        <v>584340000</v>
      </c>
      <c r="BR103" s="95">
        <v>8916293</v>
      </c>
      <c r="BS103" s="95">
        <v>190493310</v>
      </c>
      <c r="BT103" s="450">
        <f t="shared" si="72"/>
        <v>593256.29299999995</v>
      </c>
      <c r="BU103" s="450">
        <f t="shared" si="73"/>
        <v>584340</v>
      </c>
      <c r="BV103" s="450">
        <f t="shared" si="74"/>
        <v>8916.2929999999997</v>
      </c>
      <c r="BW103" s="450">
        <f t="shared" si="75"/>
        <v>190493.31</v>
      </c>
      <c r="CA103" s="94" t="s">
        <v>409</v>
      </c>
      <c r="CB103" s="450">
        <v>0</v>
      </c>
      <c r="CC103" s="450">
        <f t="shared" si="76"/>
        <v>0</v>
      </c>
      <c r="CG103" s="448" t="s">
        <v>403</v>
      </c>
      <c r="CH103" s="449">
        <v>0</v>
      </c>
      <c r="CI103" s="449">
        <v>703255048</v>
      </c>
      <c r="CJ103" s="449">
        <v>-703255048</v>
      </c>
      <c r="CK103" s="449">
        <v>680103648</v>
      </c>
      <c r="CL103" s="449">
        <v>23151400</v>
      </c>
      <c r="CM103" s="449">
        <v>247614059</v>
      </c>
      <c r="CN103" s="449">
        <f t="shared" si="77"/>
        <v>703255.04799999995</v>
      </c>
      <c r="CO103" s="449">
        <f t="shared" si="78"/>
        <v>680103.64800000004</v>
      </c>
      <c r="CP103" s="449">
        <f t="shared" si="79"/>
        <v>23151.4</v>
      </c>
      <c r="CQ103" s="449">
        <f t="shared" si="80"/>
        <v>247614.05900000001</v>
      </c>
      <c r="CU103" s="448" t="s">
        <v>608</v>
      </c>
      <c r="CV103" s="449">
        <v>417510</v>
      </c>
      <c r="CW103" s="449">
        <v>413670</v>
      </c>
      <c r="CX103" s="450">
        <f t="shared" si="81"/>
        <v>417.51</v>
      </c>
      <c r="CY103" s="450">
        <f t="shared" si="82"/>
        <v>413.67</v>
      </c>
      <c r="DB103" s="602" t="s">
        <v>403</v>
      </c>
      <c r="DC103" s="603">
        <v>703492453</v>
      </c>
      <c r="DD103" s="603">
        <v>679773166</v>
      </c>
      <c r="DE103" s="603">
        <v>23719287</v>
      </c>
      <c r="DF103" s="603">
        <v>376222241</v>
      </c>
      <c r="DG103" s="604">
        <f t="shared" si="83"/>
        <v>703492.45299999998</v>
      </c>
      <c r="DH103" s="604">
        <f t="shared" si="84"/>
        <v>679773.16599999997</v>
      </c>
      <c r="DI103" s="604">
        <f t="shared" si="85"/>
        <v>23719.287</v>
      </c>
      <c r="DJ103" s="604">
        <f t="shared" si="86"/>
        <v>376222.24099999998</v>
      </c>
      <c r="DN103" s="94" t="s">
        <v>413</v>
      </c>
      <c r="DO103" s="94">
        <v>-15528219</v>
      </c>
      <c r="DP103" s="94">
        <v>10767513</v>
      </c>
      <c r="DQ103" s="666">
        <f t="shared" si="87"/>
        <v>-15528.218999999999</v>
      </c>
      <c r="DR103" s="666">
        <f t="shared" si="88"/>
        <v>10767.513000000001</v>
      </c>
      <c r="DV103" s="94" t="s">
        <v>603</v>
      </c>
      <c r="DW103" s="95">
        <v>2627166</v>
      </c>
      <c r="DX103" s="95">
        <v>2627166</v>
      </c>
      <c r="DY103" s="95">
        <v>0</v>
      </c>
      <c r="DZ103" s="95">
        <v>2627166</v>
      </c>
      <c r="EA103" s="95">
        <f t="shared" si="89"/>
        <v>2627.1660000000002</v>
      </c>
      <c r="EB103" s="95">
        <f t="shared" si="90"/>
        <v>2627.1660000000002</v>
      </c>
      <c r="EC103" s="95">
        <f t="shared" si="91"/>
        <v>0</v>
      </c>
      <c r="ED103" s="95">
        <f t="shared" si="92"/>
        <v>2627.1660000000002</v>
      </c>
      <c r="EH103" s="444" t="s">
        <v>608</v>
      </c>
      <c r="EI103" s="444">
        <v>1678311</v>
      </c>
      <c r="EJ103" s="450">
        <f t="shared" si="93"/>
        <v>1678.3109999999999</v>
      </c>
      <c r="EN103" s="444" t="s">
        <v>401</v>
      </c>
      <c r="EO103" s="450">
        <v>91467952</v>
      </c>
      <c r="EP103" s="450">
        <v>83213735</v>
      </c>
      <c r="EQ103" s="450">
        <v>8254217</v>
      </c>
      <c r="ER103" s="450">
        <v>57070926</v>
      </c>
      <c r="ES103" s="746">
        <f t="shared" si="94"/>
        <v>91467.952000000005</v>
      </c>
      <c r="ET103" s="746">
        <f t="shared" si="95"/>
        <v>83213.735000000001</v>
      </c>
      <c r="EU103" s="746">
        <f t="shared" si="96"/>
        <v>8254.2170000000006</v>
      </c>
      <c r="EV103" s="746">
        <f t="shared" si="97"/>
        <v>57070.925999999999</v>
      </c>
      <c r="EZ103" s="780" t="s">
        <v>355</v>
      </c>
      <c r="FA103" s="781" t="s">
        <v>413</v>
      </c>
      <c r="FB103" s="444">
        <v>11418412</v>
      </c>
      <c r="FC103" s="450">
        <f t="shared" si="98"/>
        <v>11418.412</v>
      </c>
      <c r="FG103" s="785" t="s">
        <v>553</v>
      </c>
      <c r="FH103" s="784" t="s">
        <v>401</v>
      </c>
      <c r="FI103" s="782">
        <v>87776153</v>
      </c>
      <c r="FJ103" s="783">
        <v>81432603</v>
      </c>
      <c r="FK103" s="783">
        <v>6343550</v>
      </c>
      <c r="FL103" s="783">
        <v>65701375</v>
      </c>
      <c r="FM103" s="450">
        <f t="shared" si="99"/>
        <v>87776.153000000006</v>
      </c>
      <c r="FN103" s="450">
        <f t="shared" si="100"/>
        <v>81432.603000000003</v>
      </c>
      <c r="FO103" s="450">
        <f t="shared" si="101"/>
        <v>6343.55</v>
      </c>
      <c r="FP103" s="450">
        <f t="shared" si="102"/>
        <v>65701.375</v>
      </c>
      <c r="FT103" s="451" t="s">
        <v>553</v>
      </c>
      <c r="FU103" s="94" t="s">
        <v>409</v>
      </c>
      <c r="FV103" s="95">
        <v>0</v>
      </c>
      <c r="FW103" s="95">
        <v>0</v>
      </c>
      <c r="FX103" s="95">
        <v>2000000</v>
      </c>
      <c r="FY103" s="450">
        <f t="shared" si="103"/>
        <v>0</v>
      </c>
      <c r="FZ103" s="450">
        <f t="shared" si="104"/>
        <v>0</v>
      </c>
      <c r="GA103" s="450">
        <f t="shared" si="105"/>
        <v>2000</v>
      </c>
      <c r="GG103" s="817" t="s">
        <v>553</v>
      </c>
      <c r="GH103" s="818" t="s">
        <v>401</v>
      </c>
      <c r="GI103" s="819">
        <v>79657482</v>
      </c>
      <c r="GJ103" s="819">
        <v>79630582</v>
      </c>
      <c r="GK103" s="819">
        <v>26900</v>
      </c>
      <c r="GL103" s="819">
        <v>70405270</v>
      </c>
      <c r="GM103" s="819">
        <v>9225312</v>
      </c>
      <c r="GN103" s="450">
        <f t="shared" si="106"/>
        <v>79657.482000000004</v>
      </c>
      <c r="GO103" s="450">
        <f t="shared" si="107"/>
        <v>79630.581999999995</v>
      </c>
      <c r="GP103" s="450">
        <f t="shared" si="108"/>
        <v>26.9</v>
      </c>
      <c r="GQ103" s="450">
        <f t="shared" si="109"/>
        <v>70405.27</v>
      </c>
      <c r="GR103" s="450">
        <f t="shared" si="110"/>
        <v>9225.3119999999999</v>
      </c>
      <c r="GV103" s="841" t="s">
        <v>408</v>
      </c>
      <c r="GW103" s="840">
        <v>180142255</v>
      </c>
      <c r="GX103" s="450">
        <f t="shared" si="111"/>
        <v>180142.255</v>
      </c>
      <c r="HB103" s="843" t="s">
        <v>600</v>
      </c>
      <c r="HC103" s="819">
        <v>10384087</v>
      </c>
      <c r="HD103" s="819">
        <v>10384087</v>
      </c>
      <c r="HE103" s="819">
        <v>0</v>
      </c>
      <c r="HF103" s="819">
        <v>9395756</v>
      </c>
      <c r="HG103" s="450">
        <f t="shared" si="112"/>
        <v>10384.087</v>
      </c>
      <c r="HH103" s="450">
        <f t="shared" si="113"/>
        <v>0</v>
      </c>
      <c r="HI103" s="450">
        <f t="shared" si="114"/>
        <v>10384.087</v>
      </c>
      <c r="HJ103" s="450">
        <f t="shared" si="115"/>
        <v>0</v>
      </c>
      <c r="HK103" s="450">
        <f t="shared" si="116"/>
        <v>9395.7559999999994</v>
      </c>
    </row>
    <row r="104" spans="1:219" ht="15" customHeight="1" x14ac:dyDescent="0.3">
      <c r="A104" s="295" t="s">
        <v>553</v>
      </c>
      <c r="B104" s="296" t="s">
        <v>405</v>
      </c>
      <c r="C104" s="297">
        <v>31000000</v>
      </c>
      <c r="D104" s="298">
        <f t="shared" si="61"/>
        <v>32953</v>
      </c>
      <c r="E104" s="297">
        <v>0</v>
      </c>
      <c r="F104" s="297">
        <f t="shared" si="62"/>
        <v>0</v>
      </c>
      <c r="Q104" s="299" t="s">
        <v>355</v>
      </c>
      <c r="R104" s="300" t="s">
        <v>606</v>
      </c>
      <c r="S104" s="301">
        <v>30796161</v>
      </c>
      <c r="T104" s="301">
        <v>0</v>
      </c>
      <c r="U104" s="301">
        <f t="shared" si="64"/>
        <v>32736.319142999997</v>
      </c>
      <c r="V104" s="301">
        <f t="shared" si="65"/>
        <v>0</v>
      </c>
      <c r="Z104" s="296" t="s">
        <v>413</v>
      </c>
      <c r="AA104" s="297">
        <v>32390647</v>
      </c>
      <c r="AB104" s="297">
        <f t="shared" si="66"/>
        <v>34431.257761000001</v>
      </c>
      <c r="AF104" s="296" t="s">
        <v>605</v>
      </c>
      <c r="AG104" s="297">
        <v>95000000</v>
      </c>
      <c r="AH104" s="297">
        <f t="shared" si="117"/>
        <v>100985</v>
      </c>
      <c r="AI104" s="297">
        <v>9877034</v>
      </c>
      <c r="AL104" s="450"/>
      <c r="AN104" s="447" t="s">
        <v>355</v>
      </c>
      <c r="AO104" s="448" t="s">
        <v>608</v>
      </c>
      <c r="AP104" s="449">
        <v>156140</v>
      </c>
      <c r="AQ104" s="449">
        <f t="shared" si="67"/>
        <v>165.97681999999998</v>
      </c>
      <c r="AU104" s="447" t="s">
        <v>553</v>
      </c>
      <c r="AV104" s="448" t="s">
        <v>605</v>
      </c>
      <c r="AW104" s="449">
        <v>95000000</v>
      </c>
      <c r="AX104" s="449">
        <v>60000000</v>
      </c>
      <c r="AY104" s="449">
        <v>35000000</v>
      </c>
      <c r="AZ104" s="450">
        <f t="shared" si="68"/>
        <v>100985</v>
      </c>
      <c r="BA104" s="450">
        <f t="shared" si="69"/>
        <v>63780</v>
      </c>
      <c r="BB104" s="450">
        <f t="shared" si="70"/>
        <v>37205</v>
      </c>
      <c r="BF104" s="447"/>
      <c r="BG104" s="448"/>
      <c r="BH104" s="449"/>
      <c r="BI104" s="450"/>
      <c r="BM104" s="451" t="s">
        <v>553</v>
      </c>
      <c r="BN104" s="94" t="s">
        <v>604</v>
      </c>
      <c r="BO104" s="95">
        <v>0</v>
      </c>
      <c r="BP104" s="95">
        <v>34416667</v>
      </c>
      <c r="BQ104" s="95">
        <v>20352099</v>
      </c>
      <c r="BR104" s="95">
        <v>14064568</v>
      </c>
      <c r="BS104" s="95">
        <v>9613673</v>
      </c>
      <c r="BT104" s="450">
        <f t="shared" si="72"/>
        <v>34416.667000000001</v>
      </c>
      <c r="BU104" s="450">
        <f t="shared" si="73"/>
        <v>20352.098999999998</v>
      </c>
      <c r="BV104" s="450">
        <f t="shared" si="74"/>
        <v>14064.567999999999</v>
      </c>
      <c r="BW104" s="450">
        <f t="shared" si="75"/>
        <v>9613.6730000000007</v>
      </c>
      <c r="CA104" s="94" t="s">
        <v>608</v>
      </c>
      <c r="CB104" s="450">
        <v>413711</v>
      </c>
      <c r="CC104" s="450">
        <f t="shared" si="76"/>
        <v>413.71100000000001</v>
      </c>
      <c r="CG104" s="448" t="s">
        <v>404</v>
      </c>
      <c r="CH104" s="449">
        <v>0</v>
      </c>
      <c r="CI104" s="449">
        <v>593256293</v>
      </c>
      <c r="CJ104" s="449">
        <v>-593256293</v>
      </c>
      <c r="CK104" s="449">
        <v>584340000</v>
      </c>
      <c r="CL104" s="449">
        <v>8916293</v>
      </c>
      <c r="CM104" s="449">
        <v>205544835</v>
      </c>
      <c r="CN104" s="449">
        <f t="shared" si="77"/>
        <v>593256.29299999995</v>
      </c>
      <c r="CO104" s="449">
        <f t="shared" si="78"/>
        <v>584340</v>
      </c>
      <c r="CP104" s="449">
        <f t="shared" si="79"/>
        <v>8916.2929999999997</v>
      </c>
      <c r="CQ104" s="449">
        <f t="shared" si="80"/>
        <v>205544.83499999999</v>
      </c>
      <c r="CU104" s="448" t="s">
        <v>410</v>
      </c>
      <c r="CV104" s="449">
        <v>417510</v>
      </c>
      <c r="CW104" s="449">
        <v>413670</v>
      </c>
      <c r="CX104" s="450">
        <f t="shared" si="81"/>
        <v>417.51</v>
      </c>
      <c r="CY104" s="450">
        <f t="shared" si="82"/>
        <v>413.67</v>
      </c>
      <c r="DB104" s="602" t="s">
        <v>404</v>
      </c>
      <c r="DC104" s="603">
        <v>593256293</v>
      </c>
      <c r="DD104" s="603">
        <v>584340000</v>
      </c>
      <c r="DE104" s="603">
        <v>8916293</v>
      </c>
      <c r="DF104" s="603">
        <v>321894724</v>
      </c>
      <c r="DG104" s="604">
        <f t="shared" si="83"/>
        <v>593256.29299999995</v>
      </c>
      <c r="DH104" s="604">
        <f t="shared" si="84"/>
        <v>584340</v>
      </c>
      <c r="DI104" s="604">
        <f t="shared" si="85"/>
        <v>8916.2929999999997</v>
      </c>
      <c r="DJ104" s="604">
        <f t="shared" si="86"/>
        <v>321894.72399999999</v>
      </c>
      <c r="DN104" s="94" t="s">
        <v>532</v>
      </c>
      <c r="DO104" s="94">
        <v>-15528219</v>
      </c>
      <c r="DP104" s="94">
        <v>10767513</v>
      </c>
      <c r="DQ104" s="666">
        <f t="shared" si="87"/>
        <v>-15528.218999999999</v>
      </c>
      <c r="DR104" s="666">
        <f t="shared" si="88"/>
        <v>10767.513000000001</v>
      </c>
      <c r="DV104" s="94" t="s">
        <v>402</v>
      </c>
      <c r="DW104" s="95">
        <v>71115316</v>
      </c>
      <c r="DX104" s="95">
        <v>51103316</v>
      </c>
      <c r="DY104" s="95">
        <v>20012000</v>
      </c>
      <c r="DZ104" s="95">
        <v>20366111</v>
      </c>
      <c r="EA104" s="95">
        <f t="shared" si="89"/>
        <v>71115.316000000006</v>
      </c>
      <c r="EB104" s="95">
        <f t="shared" si="90"/>
        <v>51103.315999999999</v>
      </c>
      <c r="EC104" s="95">
        <f t="shared" si="91"/>
        <v>20012</v>
      </c>
      <c r="ED104" s="95">
        <f t="shared" si="92"/>
        <v>20366.111000000001</v>
      </c>
      <c r="EH104" s="444" t="s">
        <v>410</v>
      </c>
      <c r="EI104" s="444">
        <v>798311</v>
      </c>
      <c r="EJ104" s="450">
        <f t="shared" si="93"/>
        <v>798.31100000000004</v>
      </c>
      <c r="EN104" s="444" t="s">
        <v>601</v>
      </c>
      <c r="EO104" s="450">
        <v>109635898</v>
      </c>
      <c r="EP104" s="450">
        <v>107521164</v>
      </c>
      <c r="EQ104" s="450">
        <v>2114734</v>
      </c>
      <c r="ER104" s="450">
        <v>86539204</v>
      </c>
      <c r="ES104" s="746">
        <f t="shared" si="94"/>
        <v>109635.898</v>
      </c>
      <c r="ET104" s="746">
        <f t="shared" si="95"/>
        <v>107521.164</v>
      </c>
      <c r="EU104" s="746">
        <f t="shared" si="96"/>
        <v>2114.7339999999999</v>
      </c>
      <c r="EV104" s="746">
        <f t="shared" si="97"/>
        <v>86539.203999999998</v>
      </c>
      <c r="EZ104" s="780" t="s">
        <v>553</v>
      </c>
      <c r="FA104" s="781" t="s">
        <v>614</v>
      </c>
      <c r="FB104" s="444">
        <v>0</v>
      </c>
      <c r="FC104" s="450">
        <f t="shared" si="98"/>
        <v>0</v>
      </c>
      <c r="FG104" s="785" t="s">
        <v>553</v>
      </c>
      <c r="FH104" s="784" t="s">
        <v>601</v>
      </c>
      <c r="FI104" s="782">
        <v>136351420</v>
      </c>
      <c r="FJ104" s="783">
        <v>127230154</v>
      </c>
      <c r="FK104" s="783">
        <v>9121266</v>
      </c>
      <c r="FL104" s="783">
        <v>106530525</v>
      </c>
      <c r="FM104" s="450">
        <f t="shared" si="99"/>
        <v>136351.42000000001</v>
      </c>
      <c r="FN104" s="450">
        <f t="shared" si="100"/>
        <v>127230.15399999999</v>
      </c>
      <c r="FO104" s="450">
        <f t="shared" si="101"/>
        <v>9121.2659999999996</v>
      </c>
      <c r="FP104" s="450">
        <f t="shared" si="102"/>
        <v>106530.52499999999</v>
      </c>
      <c r="FT104" s="451" t="s">
        <v>355</v>
      </c>
      <c r="FU104" s="94" t="s">
        <v>608</v>
      </c>
      <c r="FV104" s="95">
        <v>4630470</v>
      </c>
      <c r="FW104" s="95">
        <v>333520</v>
      </c>
      <c r="FX104" s="95">
        <v>390790</v>
      </c>
      <c r="FY104" s="450">
        <f t="shared" si="103"/>
        <v>4630.47</v>
      </c>
      <c r="FZ104" s="450">
        <f t="shared" si="104"/>
        <v>333.52</v>
      </c>
      <c r="GA104" s="450">
        <f t="shared" si="105"/>
        <v>390.79</v>
      </c>
      <c r="GG104" s="817" t="s">
        <v>553</v>
      </c>
      <c r="GH104" s="818" t="s">
        <v>601</v>
      </c>
      <c r="GI104" s="819">
        <v>137718065</v>
      </c>
      <c r="GJ104" s="819">
        <v>136872456</v>
      </c>
      <c r="GK104" s="819">
        <v>845609</v>
      </c>
      <c r="GL104" s="819">
        <v>120628326</v>
      </c>
      <c r="GM104" s="819">
        <v>16244130</v>
      </c>
      <c r="GN104" s="450">
        <f t="shared" si="106"/>
        <v>137718.065</v>
      </c>
      <c r="GO104" s="450">
        <f t="shared" si="107"/>
        <v>136872.45600000001</v>
      </c>
      <c r="GP104" s="450">
        <f t="shared" si="108"/>
        <v>845.60900000000004</v>
      </c>
      <c r="GQ104" s="450">
        <f t="shared" si="109"/>
        <v>120628.326</v>
      </c>
      <c r="GR104" s="450">
        <f t="shared" si="110"/>
        <v>16244.13</v>
      </c>
      <c r="GV104" s="841" t="s">
        <v>409</v>
      </c>
      <c r="GW104" s="840">
        <v>249900</v>
      </c>
      <c r="GX104" s="450">
        <f t="shared" si="111"/>
        <v>249.9</v>
      </c>
      <c r="HB104" s="843" t="s">
        <v>397</v>
      </c>
      <c r="HC104" s="819">
        <v>7641583</v>
      </c>
      <c r="HD104" s="819">
        <v>7641583</v>
      </c>
      <c r="HE104" s="819">
        <v>0</v>
      </c>
      <c r="HF104" s="819">
        <v>7641583</v>
      </c>
      <c r="HG104" s="450">
        <f t="shared" si="112"/>
        <v>7641.5829999999996</v>
      </c>
      <c r="HH104" s="450">
        <f t="shared" si="113"/>
        <v>0</v>
      </c>
      <c r="HI104" s="450">
        <f t="shared" si="114"/>
        <v>7641.5829999999996</v>
      </c>
      <c r="HJ104" s="450">
        <f t="shared" si="115"/>
        <v>0</v>
      </c>
      <c r="HK104" s="450">
        <f t="shared" si="116"/>
        <v>7641.5829999999996</v>
      </c>
    </row>
    <row r="105" spans="1:219" ht="15" customHeight="1" x14ac:dyDescent="0.3">
      <c r="A105" s="295" t="s">
        <v>355</v>
      </c>
      <c r="B105" s="296" t="s">
        <v>607</v>
      </c>
      <c r="C105" s="297">
        <v>833413000</v>
      </c>
      <c r="D105" s="298">
        <f t="shared" si="61"/>
        <v>885918.01899999997</v>
      </c>
      <c r="E105" s="297">
        <v>7744600</v>
      </c>
      <c r="F105" s="297">
        <f t="shared" si="62"/>
        <v>8232.5097999999998</v>
      </c>
      <c r="Q105" s="299" t="s">
        <v>553</v>
      </c>
      <c r="R105" s="300" t="s">
        <v>405</v>
      </c>
      <c r="S105" s="301">
        <v>30796161</v>
      </c>
      <c r="T105" s="301">
        <v>0</v>
      </c>
      <c r="U105" s="301">
        <f t="shared" si="64"/>
        <v>32736.319142999997</v>
      </c>
      <c r="V105" s="301">
        <f t="shared" si="65"/>
        <v>0</v>
      </c>
      <c r="Z105" s="296" t="s">
        <v>532</v>
      </c>
      <c r="AA105" s="297">
        <v>14510647</v>
      </c>
      <c r="AB105" s="297">
        <f t="shared" si="66"/>
        <v>15424.817761</v>
      </c>
      <c r="AF105" s="296" t="s">
        <v>494</v>
      </c>
      <c r="AG105" s="297">
        <v>13000000</v>
      </c>
      <c r="AH105" s="297">
        <f t="shared" si="117"/>
        <v>13819</v>
      </c>
      <c r="AI105" s="297">
        <v>2082500</v>
      </c>
      <c r="AL105" s="450"/>
      <c r="AN105" s="447" t="s">
        <v>553</v>
      </c>
      <c r="AO105" s="448" t="s">
        <v>410</v>
      </c>
      <c r="AP105" s="449">
        <v>153640</v>
      </c>
      <c r="AQ105" s="449">
        <f t="shared" si="67"/>
        <v>163.31931999999998</v>
      </c>
      <c r="AU105" s="447" t="s">
        <v>553</v>
      </c>
      <c r="AV105" s="448" t="s">
        <v>494</v>
      </c>
      <c r="AW105" s="449">
        <v>12500000</v>
      </c>
      <c r="AX105" s="449">
        <v>12500000</v>
      </c>
      <c r="AY105" s="449">
        <v>0</v>
      </c>
      <c r="AZ105" s="450">
        <f t="shared" si="68"/>
        <v>13287.5</v>
      </c>
      <c r="BA105" s="450">
        <f t="shared" si="69"/>
        <v>13287.5</v>
      </c>
      <c r="BB105" s="450">
        <f t="shared" si="70"/>
        <v>0</v>
      </c>
      <c r="BF105" s="447"/>
      <c r="BG105" s="448"/>
      <c r="BH105" s="449"/>
      <c r="BI105" s="450"/>
      <c r="BM105" s="451" t="s">
        <v>553</v>
      </c>
      <c r="BN105" s="94" t="s">
        <v>605</v>
      </c>
      <c r="BO105" s="95">
        <v>0</v>
      </c>
      <c r="BP105" s="95">
        <v>61800000</v>
      </c>
      <c r="BQ105" s="95">
        <v>60000000</v>
      </c>
      <c r="BR105" s="95">
        <v>1800000</v>
      </c>
      <c r="BS105" s="95">
        <v>20140439</v>
      </c>
      <c r="BT105" s="450">
        <f t="shared" si="72"/>
        <v>61800</v>
      </c>
      <c r="BU105" s="450">
        <f t="shared" si="73"/>
        <v>60000</v>
      </c>
      <c r="BV105" s="450">
        <f t="shared" si="74"/>
        <v>1800</v>
      </c>
      <c r="BW105" s="450">
        <f t="shared" si="75"/>
        <v>20140.438999999998</v>
      </c>
      <c r="CA105" s="94" t="s">
        <v>410</v>
      </c>
      <c r="CB105" s="450">
        <v>362660</v>
      </c>
      <c r="CC105" s="450">
        <f t="shared" si="76"/>
        <v>362.66</v>
      </c>
      <c r="CG105" s="448" t="s">
        <v>604</v>
      </c>
      <c r="CH105" s="449">
        <v>0</v>
      </c>
      <c r="CI105" s="449">
        <v>34416667</v>
      </c>
      <c r="CJ105" s="449">
        <v>-34416667</v>
      </c>
      <c r="CK105" s="449">
        <v>20352099</v>
      </c>
      <c r="CL105" s="449">
        <v>14064568</v>
      </c>
      <c r="CM105" s="449">
        <v>11636023</v>
      </c>
      <c r="CN105" s="449">
        <f t="shared" si="77"/>
        <v>34416.667000000001</v>
      </c>
      <c r="CO105" s="449">
        <f t="shared" si="78"/>
        <v>20352.098999999998</v>
      </c>
      <c r="CP105" s="449">
        <f t="shared" si="79"/>
        <v>14064.567999999999</v>
      </c>
      <c r="CQ105" s="449">
        <f t="shared" si="80"/>
        <v>11636.022999999999</v>
      </c>
      <c r="CU105" s="448" t="s">
        <v>412</v>
      </c>
      <c r="CV105" s="449">
        <v>55000000</v>
      </c>
      <c r="CW105" s="449">
        <v>11510314</v>
      </c>
      <c r="CX105" s="450">
        <f t="shared" si="81"/>
        <v>55000</v>
      </c>
      <c r="CY105" s="450">
        <f t="shared" si="82"/>
        <v>11510.314</v>
      </c>
      <c r="DB105" s="602" t="s">
        <v>604</v>
      </c>
      <c r="DC105" s="603">
        <v>34416667</v>
      </c>
      <c r="DD105" s="603">
        <v>19613673</v>
      </c>
      <c r="DE105" s="603">
        <v>14802994</v>
      </c>
      <c r="DF105" s="603">
        <v>13645051</v>
      </c>
      <c r="DG105" s="604">
        <f t="shared" si="83"/>
        <v>34416.667000000001</v>
      </c>
      <c r="DH105" s="604">
        <f t="shared" si="84"/>
        <v>19613.672999999999</v>
      </c>
      <c r="DI105" s="604">
        <f t="shared" si="85"/>
        <v>14802.994000000001</v>
      </c>
      <c r="DJ105" s="604">
        <f t="shared" si="86"/>
        <v>13645.050999999999</v>
      </c>
      <c r="DN105" s="94" t="s">
        <v>618</v>
      </c>
      <c r="DO105" s="94">
        <v>66735996</v>
      </c>
      <c r="DP105" s="94">
        <v>8321146</v>
      </c>
      <c r="DQ105" s="666">
        <f t="shared" si="87"/>
        <v>66735.995999999999</v>
      </c>
      <c r="DR105" s="666">
        <f t="shared" si="88"/>
        <v>8321.1460000000006</v>
      </c>
      <c r="DV105" s="94" t="s">
        <v>403</v>
      </c>
      <c r="DW105" s="95">
        <v>703492453</v>
      </c>
      <c r="DX105" s="95">
        <v>679773166</v>
      </c>
      <c r="DY105" s="95">
        <v>23719287</v>
      </c>
      <c r="DZ105" s="95">
        <v>431277193</v>
      </c>
      <c r="EA105" s="95">
        <f t="shared" si="89"/>
        <v>703492.45299999998</v>
      </c>
      <c r="EB105" s="95">
        <f t="shared" si="90"/>
        <v>679773.16599999997</v>
      </c>
      <c r="EC105" s="95">
        <f t="shared" si="91"/>
        <v>23719.287</v>
      </c>
      <c r="ED105" s="95">
        <f t="shared" si="92"/>
        <v>431277.19300000003</v>
      </c>
      <c r="EH105" s="444" t="s">
        <v>609</v>
      </c>
      <c r="EI105" s="444">
        <v>880000</v>
      </c>
      <c r="EJ105" s="450">
        <f t="shared" si="93"/>
        <v>880</v>
      </c>
      <c r="EN105" s="444" t="s">
        <v>602</v>
      </c>
      <c r="EO105" s="450">
        <v>62518259</v>
      </c>
      <c r="EP105" s="450">
        <v>62518258</v>
      </c>
      <c r="EQ105" s="450">
        <v>1</v>
      </c>
      <c r="ER105" s="450">
        <v>43308258</v>
      </c>
      <c r="ES105" s="746">
        <f t="shared" si="94"/>
        <v>62518.258999999998</v>
      </c>
      <c r="ET105" s="746">
        <f t="shared" si="95"/>
        <v>62518.258000000002</v>
      </c>
      <c r="EU105" s="746">
        <f t="shared" si="96"/>
        <v>1E-3</v>
      </c>
      <c r="EV105" s="746">
        <f t="shared" si="97"/>
        <v>43308.258000000002</v>
      </c>
      <c r="EZ105" s="780" t="s">
        <v>553</v>
      </c>
      <c r="FA105" s="781" t="s">
        <v>532</v>
      </c>
      <c r="FB105" s="444">
        <v>11418412</v>
      </c>
      <c r="FC105" s="450">
        <f t="shared" si="98"/>
        <v>11418.412</v>
      </c>
      <c r="FG105" s="785" t="s">
        <v>553</v>
      </c>
      <c r="FH105" s="784" t="s">
        <v>602</v>
      </c>
      <c r="FI105" s="782">
        <v>62518259</v>
      </c>
      <c r="FJ105" s="783">
        <v>62518258</v>
      </c>
      <c r="FK105" s="783">
        <v>1</v>
      </c>
      <c r="FL105" s="783">
        <v>46834258</v>
      </c>
      <c r="FM105" s="450">
        <f t="shared" si="99"/>
        <v>62518.258999999998</v>
      </c>
      <c r="FN105" s="450">
        <f t="shared" si="100"/>
        <v>62518.258000000002</v>
      </c>
      <c r="FO105" s="450">
        <f t="shared" si="101"/>
        <v>1E-3</v>
      </c>
      <c r="FP105" s="450">
        <f t="shared" si="102"/>
        <v>46834.258000000002</v>
      </c>
      <c r="FT105" s="451" t="s">
        <v>553</v>
      </c>
      <c r="FU105" s="94" t="s">
        <v>410</v>
      </c>
      <c r="FV105" s="95">
        <v>333520</v>
      </c>
      <c r="FW105" s="95">
        <v>333520</v>
      </c>
      <c r="FX105" s="95">
        <v>390790</v>
      </c>
      <c r="FY105" s="450">
        <f t="shared" si="103"/>
        <v>333.52</v>
      </c>
      <c r="FZ105" s="450">
        <f t="shared" si="104"/>
        <v>333.52</v>
      </c>
      <c r="GA105" s="450">
        <f t="shared" si="105"/>
        <v>390.79</v>
      </c>
      <c r="GG105" s="817" t="s">
        <v>553</v>
      </c>
      <c r="GH105" s="818" t="s">
        <v>602</v>
      </c>
      <c r="GI105" s="819">
        <v>64129259</v>
      </c>
      <c r="GJ105" s="819">
        <v>62537258</v>
      </c>
      <c r="GK105" s="819">
        <v>1592001</v>
      </c>
      <c r="GL105" s="819">
        <v>54162258</v>
      </c>
      <c r="GM105" s="819">
        <v>8375000</v>
      </c>
      <c r="GN105" s="450">
        <f t="shared" si="106"/>
        <v>64129.258999999998</v>
      </c>
      <c r="GO105" s="450">
        <f t="shared" si="107"/>
        <v>62537.258000000002</v>
      </c>
      <c r="GP105" s="450">
        <f t="shared" si="108"/>
        <v>1592.001</v>
      </c>
      <c r="GQ105" s="450">
        <f t="shared" si="109"/>
        <v>54162.258000000002</v>
      </c>
      <c r="GR105" s="450">
        <f t="shared" si="110"/>
        <v>8375</v>
      </c>
      <c r="GV105" s="841" t="s">
        <v>608</v>
      </c>
      <c r="GW105" s="840">
        <v>8156178</v>
      </c>
      <c r="GX105" s="450">
        <f t="shared" si="111"/>
        <v>8156.1779999999999</v>
      </c>
      <c r="HB105" s="843" t="s">
        <v>398</v>
      </c>
      <c r="HC105" s="819">
        <v>5672308</v>
      </c>
      <c r="HD105" s="819">
        <v>5672308</v>
      </c>
      <c r="HE105" s="819">
        <v>0</v>
      </c>
      <c r="HF105" s="819">
        <v>5672308</v>
      </c>
      <c r="HG105" s="450">
        <f t="shared" si="112"/>
        <v>5672.308</v>
      </c>
      <c r="HH105" s="450">
        <f t="shared" si="113"/>
        <v>0</v>
      </c>
      <c r="HI105" s="450">
        <f t="shared" si="114"/>
        <v>5672.308</v>
      </c>
      <c r="HJ105" s="450">
        <f t="shared" si="115"/>
        <v>0</v>
      </c>
      <c r="HK105" s="450">
        <f t="shared" si="116"/>
        <v>5672.308</v>
      </c>
    </row>
    <row r="106" spans="1:219" ht="15" customHeight="1" x14ac:dyDescent="0.3">
      <c r="A106" s="295" t="s">
        <v>553</v>
      </c>
      <c r="B106" s="296" t="s">
        <v>406</v>
      </c>
      <c r="C106" s="297">
        <v>0</v>
      </c>
      <c r="D106" s="298">
        <f t="shared" si="61"/>
        <v>0</v>
      </c>
      <c r="E106" s="297">
        <v>0</v>
      </c>
      <c r="F106" s="297">
        <f t="shared" si="62"/>
        <v>0</v>
      </c>
      <c r="Q106" s="299" t="s">
        <v>355</v>
      </c>
      <c r="R106" s="300" t="s">
        <v>607</v>
      </c>
      <c r="S106" s="301">
        <v>833413000</v>
      </c>
      <c r="T106" s="301">
        <v>10510507</v>
      </c>
      <c r="U106" s="301">
        <f t="shared" si="64"/>
        <v>885918.01899999997</v>
      </c>
      <c r="V106" s="301">
        <f t="shared" si="65"/>
        <v>11172.668941</v>
      </c>
      <c r="Z106" s="296" t="s">
        <v>531</v>
      </c>
      <c r="AA106" s="297">
        <v>17880000</v>
      </c>
      <c r="AB106" s="297">
        <f t="shared" si="66"/>
        <v>19006.439999999999</v>
      </c>
      <c r="AF106" s="296" t="s">
        <v>606</v>
      </c>
      <c r="AG106" s="297">
        <v>796161</v>
      </c>
      <c r="AH106" s="297">
        <f t="shared" si="117"/>
        <v>846.31914299999994</v>
      </c>
      <c r="AI106" s="297">
        <v>115100</v>
      </c>
      <c r="AL106" s="450"/>
      <c r="AN106" s="447" t="s">
        <v>553</v>
      </c>
      <c r="AO106" s="448" t="s">
        <v>411</v>
      </c>
      <c r="AP106" s="449">
        <v>2500</v>
      </c>
      <c r="AQ106" s="449">
        <f t="shared" si="67"/>
        <v>2.6574999999999998</v>
      </c>
      <c r="AU106" s="447" t="s">
        <v>355</v>
      </c>
      <c r="AV106" s="448" t="s">
        <v>606</v>
      </c>
      <c r="AW106" s="449">
        <v>9495100</v>
      </c>
      <c r="AX106" s="449">
        <v>115100</v>
      </c>
      <c r="AY106" s="449">
        <v>9380000</v>
      </c>
      <c r="AZ106" s="450">
        <f t="shared" si="68"/>
        <v>10093.291299999999</v>
      </c>
      <c r="BA106" s="450">
        <f t="shared" si="69"/>
        <v>122.35129999999998</v>
      </c>
      <c r="BB106" s="450">
        <f t="shared" si="70"/>
        <v>9970.9399999999987</v>
      </c>
      <c r="BF106" s="447"/>
      <c r="BG106" s="448"/>
      <c r="BH106" s="449"/>
      <c r="BI106" s="450"/>
      <c r="BM106" s="451" t="s">
        <v>553</v>
      </c>
      <c r="BN106" s="94" t="s">
        <v>494</v>
      </c>
      <c r="BO106" s="95">
        <v>0</v>
      </c>
      <c r="BP106" s="95">
        <v>12500000</v>
      </c>
      <c r="BQ106" s="95">
        <v>12500000</v>
      </c>
      <c r="BR106" s="95">
        <v>0</v>
      </c>
      <c r="BS106" s="95">
        <v>4165000</v>
      </c>
      <c r="BT106" s="450">
        <f t="shared" si="72"/>
        <v>12500</v>
      </c>
      <c r="BU106" s="450">
        <f t="shared" si="73"/>
        <v>12500</v>
      </c>
      <c r="BV106" s="450">
        <f t="shared" si="74"/>
        <v>0</v>
      </c>
      <c r="BW106" s="450">
        <f t="shared" si="75"/>
        <v>4165</v>
      </c>
      <c r="CA106" s="94" t="s">
        <v>609</v>
      </c>
      <c r="CB106" s="450">
        <v>0</v>
      </c>
      <c r="CC106" s="450">
        <f t="shared" si="76"/>
        <v>0</v>
      </c>
      <c r="CG106" s="448" t="s">
        <v>605</v>
      </c>
      <c r="CH106" s="449">
        <v>0</v>
      </c>
      <c r="CI106" s="449">
        <v>63082088</v>
      </c>
      <c r="CJ106" s="449">
        <v>-63082088</v>
      </c>
      <c r="CK106" s="449">
        <v>62911549</v>
      </c>
      <c r="CL106" s="449">
        <v>170539</v>
      </c>
      <c r="CM106" s="449">
        <v>25226951</v>
      </c>
      <c r="CN106" s="449">
        <f t="shared" si="77"/>
        <v>63082.088000000003</v>
      </c>
      <c r="CO106" s="449">
        <f t="shared" si="78"/>
        <v>62911.548999999999</v>
      </c>
      <c r="CP106" s="449">
        <f t="shared" si="79"/>
        <v>170.53899999999999</v>
      </c>
      <c r="CQ106" s="449">
        <f t="shared" si="80"/>
        <v>25226.951000000001</v>
      </c>
      <c r="CU106" s="448" t="s">
        <v>413</v>
      </c>
      <c r="CV106" s="449">
        <v>55000000</v>
      </c>
      <c r="CW106" s="449">
        <v>11510314</v>
      </c>
      <c r="CX106" s="450">
        <f t="shared" si="81"/>
        <v>55000</v>
      </c>
      <c r="CY106" s="450">
        <f t="shared" si="82"/>
        <v>11510.314</v>
      </c>
      <c r="DB106" s="602" t="s">
        <v>605</v>
      </c>
      <c r="DC106" s="603">
        <v>63319493</v>
      </c>
      <c r="DD106" s="603">
        <v>63319493</v>
      </c>
      <c r="DE106" s="603">
        <v>0</v>
      </c>
      <c r="DF106" s="603">
        <v>34434966</v>
      </c>
      <c r="DG106" s="604">
        <f t="shared" si="83"/>
        <v>63319.493000000002</v>
      </c>
      <c r="DH106" s="604">
        <f t="shared" si="84"/>
        <v>63319.493000000002</v>
      </c>
      <c r="DI106" s="604">
        <f t="shared" si="85"/>
        <v>0</v>
      </c>
      <c r="DJ106" s="604">
        <f t="shared" si="86"/>
        <v>34434.966</v>
      </c>
      <c r="DN106" s="94" t="s">
        <v>414</v>
      </c>
      <c r="DO106" s="94">
        <v>8321146</v>
      </c>
      <c r="DP106" s="94">
        <v>8321146</v>
      </c>
      <c r="DQ106" s="666">
        <f t="shared" si="87"/>
        <v>8321.1460000000006</v>
      </c>
      <c r="DR106" s="666">
        <f t="shared" si="88"/>
        <v>8321.1460000000006</v>
      </c>
      <c r="DV106" s="94" t="s">
        <v>404</v>
      </c>
      <c r="DW106" s="95">
        <v>593256293</v>
      </c>
      <c r="DX106" s="95">
        <v>584340000</v>
      </c>
      <c r="DY106" s="95">
        <v>8916293</v>
      </c>
      <c r="DZ106" s="95">
        <v>368408048</v>
      </c>
      <c r="EA106" s="95">
        <f t="shared" si="89"/>
        <v>593256.29299999995</v>
      </c>
      <c r="EB106" s="95">
        <f t="shared" si="90"/>
        <v>584340</v>
      </c>
      <c r="EC106" s="95">
        <f t="shared" si="91"/>
        <v>8916.2929999999997</v>
      </c>
      <c r="ED106" s="95">
        <f t="shared" si="92"/>
        <v>368408.04800000001</v>
      </c>
      <c r="EH106" s="444" t="s">
        <v>411</v>
      </c>
      <c r="EI106" s="444">
        <v>0</v>
      </c>
      <c r="EJ106" s="450">
        <f t="shared" si="93"/>
        <v>0</v>
      </c>
      <c r="EN106" s="444" t="s">
        <v>603</v>
      </c>
      <c r="EO106" s="450">
        <v>2627166</v>
      </c>
      <c r="EP106" s="450">
        <v>2627166</v>
      </c>
      <c r="EQ106" s="450">
        <v>0</v>
      </c>
      <c r="ER106" s="450">
        <v>2627166</v>
      </c>
      <c r="ES106" s="746">
        <f t="shared" si="94"/>
        <v>2627.1660000000002</v>
      </c>
      <c r="ET106" s="746">
        <f t="shared" si="95"/>
        <v>2627.1660000000002</v>
      </c>
      <c r="EU106" s="746">
        <f t="shared" si="96"/>
        <v>0</v>
      </c>
      <c r="EV106" s="746">
        <f t="shared" si="97"/>
        <v>2627.1660000000002</v>
      </c>
      <c r="EZ106" s="780" t="s">
        <v>355</v>
      </c>
      <c r="FA106" s="781" t="s">
        <v>495</v>
      </c>
      <c r="FB106" s="444">
        <v>0</v>
      </c>
      <c r="FC106" s="450">
        <f t="shared" si="98"/>
        <v>0</v>
      </c>
      <c r="FG106" s="785" t="s">
        <v>553</v>
      </c>
      <c r="FH106" s="784" t="s">
        <v>603</v>
      </c>
      <c r="FI106" s="782">
        <v>2627166</v>
      </c>
      <c r="FJ106" s="783">
        <v>2627166</v>
      </c>
      <c r="FK106" s="783">
        <v>0</v>
      </c>
      <c r="FL106" s="783">
        <v>2627166</v>
      </c>
      <c r="FM106" s="450">
        <f t="shared" si="99"/>
        <v>2627.1660000000002</v>
      </c>
      <c r="FN106" s="450">
        <f t="shared" si="100"/>
        <v>2627.1660000000002</v>
      </c>
      <c r="FO106" s="450">
        <f t="shared" si="101"/>
        <v>0</v>
      </c>
      <c r="FP106" s="450">
        <f t="shared" si="102"/>
        <v>2627.1660000000002</v>
      </c>
      <c r="FT106" s="451" t="s">
        <v>553</v>
      </c>
      <c r="FU106" s="94" t="s">
        <v>609</v>
      </c>
      <c r="FV106" s="95">
        <v>5099575</v>
      </c>
      <c r="FW106" s="95">
        <v>0</v>
      </c>
      <c r="FX106" s="95">
        <v>0</v>
      </c>
      <c r="FY106" s="450">
        <f t="shared" si="103"/>
        <v>5099.5749999999998</v>
      </c>
      <c r="FZ106" s="450">
        <f t="shared" si="104"/>
        <v>0</v>
      </c>
      <c r="GA106" s="450">
        <f t="shared" si="105"/>
        <v>0</v>
      </c>
      <c r="GG106" s="817" t="s">
        <v>553</v>
      </c>
      <c r="GH106" s="818" t="s">
        <v>603</v>
      </c>
      <c r="GI106" s="819">
        <v>2627166</v>
      </c>
      <c r="GJ106" s="819">
        <v>2627166</v>
      </c>
      <c r="GK106" s="819">
        <v>0</v>
      </c>
      <c r="GL106" s="819">
        <v>2627166</v>
      </c>
      <c r="GM106" s="819">
        <v>0</v>
      </c>
      <c r="GN106" s="450">
        <f t="shared" si="106"/>
        <v>2627.1660000000002</v>
      </c>
      <c r="GO106" s="450">
        <f t="shared" si="107"/>
        <v>2627.1660000000002</v>
      </c>
      <c r="GP106" s="450">
        <f t="shared" si="108"/>
        <v>0</v>
      </c>
      <c r="GQ106" s="450">
        <f t="shared" si="109"/>
        <v>2627.1660000000002</v>
      </c>
      <c r="GR106" s="450">
        <f t="shared" si="110"/>
        <v>0</v>
      </c>
      <c r="GV106" s="841" t="s">
        <v>410</v>
      </c>
      <c r="GW106" s="840">
        <v>3127143</v>
      </c>
      <c r="GX106" s="450">
        <f t="shared" si="111"/>
        <v>3127.143</v>
      </c>
      <c r="HB106" s="843" t="s">
        <v>399</v>
      </c>
      <c r="HC106" s="819">
        <v>1969275</v>
      </c>
      <c r="HD106" s="819">
        <v>1969275</v>
      </c>
      <c r="HE106" s="819">
        <v>0</v>
      </c>
      <c r="HF106" s="819">
        <v>1969275</v>
      </c>
      <c r="HG106" s="450">
        <f t="shared" si="112"/>
        <v>1969.2750000000001</v>
      </c>
      <c r="HH106" s="450">
        <f t="shared" si="113"/>
        <v>0</v>
      </c>
      <c r="HI106" s="450">
        <f t="shared" si="114"/>
        <v>1969.2750000000001</v>
      </c>
      <c r="HJ106" s="450">
        <f t="shared" si="115"/>
        <v>0</v>
      </c>
      <c r="HK106" s="450">
        <f t="shared" si="116"/>
        <v>1969.2750000000001</v>
      </c>
    </row>
    <row r="107" spans="1:219" ht="15" customHeight="1" x14ac:dyDescent="0.3">
      <c r="A107" s="295" t="s">
        <v>553</v>
      </c>
      <c r="B107" s="296" t="s">
        <v>407</v>
      </c>
      <c r="C107" s="297">
        <v>55047000</v>
      </c>
      <c r="D107" s="298">
        <f t="shared" si="61"/>
        <v>58514.960999999996</v>
      </c>
      <c r="E107" s="297">
        <v>0</v>
      </c>
      <c r="F107" s="297">
        <f t="shared" si="62"/>
        <v>0</v>
      </c>
      <c r="Q107" s="299" t="s">
        <v>553</v>
      </c>
      <c r="R107" s="300" t="s">
        <v>406</v>
      </c>
      <c r="S107" s="301">
        <v>0</v>
      </c>
      <c r="T107" s="301">
        <v>0</v>
      </c>
      <c r="U107" s="301">
        <f t="shared" si="64"/>
        <v>0</v>
      </c>
      <c r="V107" s="301">
        <f t="shared" si="65"/>
        <v>0</v>
      </c>
      <c r="Z107" s="296" t="s">
        <v>618</v>
      </c>
      <c r="AA107" s="297">
        <v>645000</v>
      </c>
      <c r="AB107" s="297">
        <f t="shared" si="66"/>
        <v>685.63499999999999</v>
      </c>
      <c r="AF107" s="296" t="s">
        <v>405</v>
      </c>
      <c r="AG107" s="297">
        <v>796161</v>
      </c>
      <c r="AH107" s="297">
        <f t="shared" si="117"/>
        <v>846.31914299999994</v>
      </c>
      <c r="AI107" s="297">
        <v>115100</v>
      </c>
      <c r="AL107" s="450"/>
      <c r="AN107" s="447" t="s">
        <v>449</v>
      </c>
      <c r="AO107" s="448" t="s">
        <v>610</v>
      </c>
      <c r="AP107" s="449">
        <v>4360000</v>
      </c>
      <c r="AQ107" s="449">
        <f t="shared" si="67"/>
        <v>4634.6799999999994</v>
      </c>
      <c r="AU107" s="447" t="s">
        <v>553</v>
      </c>
      <c r="AV107" s="448" t="s">
        <v>405</v>
      </c>
      <c r="AW107" s="449">
        <v>9495100</v>
      </c>
      <c r="AX107" s="449">
        <v>115100</v>
      </c>
      <c r="AY107" s="449">
        <v>9380000</v>
      </c>
      <c r="AZ107" s="450">
        <f t="shared" si="68"/>
        <v>10093.291299999999</v>
      </c>
      <c r="BA107" s="450">
        <f t="shared" si="69"/>
        <v>122.35129999999998</v>
      </c>
      <c r="BB107" s="450">
        <f t="shared" si="70"/>
        <v>9970.9399999999987</v>
      </c>
      <c r="BF107" s="447"/>
      <c r="BG107" s="448"/>
      <c r="BH107" s="449"/>
      <c r="BI107" s="450"/>
      <c r="BM107" s="451" t="s">
        <v>355</v>
      </c>
      <c r="BN107" s="94" t="s">
        <v>606</v>
      </c>
      <c r="BO107" s="95">
        <v>0</v>
      </c>
      <c r="BP107" s="95">
        <v>9495100</v>
      </c>
      <c r="BQ107" s="95">
        <v>115100</v>
      </c>
      <c r="BR107" s="95">
        <v>9380000</v>
      </c>
      <c r="BS107" s="95">
        <v>115100</v>
      </c>
      <c r="BT107" s="450">
        <f t="shared" si="72"/>
        <v>9495.1</v>
      </c>
      <c r="BU107" s="450">
        <f t="shared" si="73"/>
        <v>115.1</v>
      </c>
      <c r="BV107" s="450">
        <f t="shared" si="74"/>
        <v>9380</v>
      </c>
      <c r="BW107" s="450">
        <f t="shared" si="75"/>
        <v>115.1</v>
      </c>
      <c r="CA107" s="94" t="s">
        <v>411</v>
      </c>
      <c r="CB107" s="450">
        <v>51051</v>
      </c>
      <c r="CC107" s="450">
        <f t="shared" si="76"/>
        <v>51.051000000000002</v>
      </c>
      <c r="CG107" s="448" t="s">
        <v>494</v>
      </c>
      <c r="CH107" s="449">
        <v>0</v>
      </c>
      <c r="CI107" s="449">
        <v>12500000</v>
      </c>
      <c r="CJ107" s="449">
        <v>-12500000</v>
      </c>
      <c r="CK107" s="449">
        <v>12500000</v>
      </c>
      <c r="CL107" s="449">
        <v>0</v>
      </c>
      <c r="CM107" s="449">
        <v>5206250</v>
      </c>
      <c r="CN107" s="449">
        <f t="shared" si="77"/>
        <v>12500</v>
      </c>
      <c r="CO107" s="449">
        <f t="shared" si="78"/>
        <v>12500</v>
      </c>
      <c r="CP107" s="449">
        <f t="shared" si="79"/>
        <v>0</v>
      </c>
      <c r="CQ107" s="449">
        <f t="shared" si="80"/>
        <v>5206.25</v>
      </c>
      <c r="CU107" s="448" t="s">
        <v>614</v>
      </c>
      <c r="CV107" s="449">
        <v>55000000</v>
      </c>
      <c r="CW107" s="449">
        <v>0</v>
      </c>
      <c r="CX107" s="450">
        <f t="shared" si="81"/>
        <v>55000</v>
      </c>
      <c r="CY107" s="450">
        <f t="shared" si="82"/>
        <v>0</v>
      </c>
      <c r="DB107" s="602" t="s">
        <v>494</v>
      </c>
      <c r="DC107" s="603">
        <v>12500000</v>
      </c>
      <c r="DD107" s="603">
        <v>12500000</v>
      </c>
      <c r="DE107" s="603">
        <v>0</v>
      </c>
      <c r="DF107" s="603">
        <v>6247500</v>
      </c>
      <c r="DG107" s="604">
        <f t="shared" si="83"/>
        <v>12500</v>
      </c>
      <c r="DH107" s="604">
        <f t="shared" si="84"/>
        <v>12500</v>
      </c>
      <c r="DI107" s="604">
        <f t="shared" si="85"/>
        <v>0</v>
      </c>
      <c r="DJ107" s="604">
        <f t="shared" si="86"/>
        <v>6247.5</v>
      </c>
      <c r="DN107" s="94" t="s">
        <v>619</v>
      </c>
      <c r="DO107" s="94">
        <v>8321146</v>
      </c>
      <c r="DP107" s="94">
        <v>8321146</v>
      </c>
      <c r="DQ107" s="666">
        <f t="shared" si="87"/>
        <v>8321.1460000000006</v>
      </c>
      <c r="DR107" s="666">
        <f t="shared" si="88"/>
        <v>8321.1460000000006</v>
      </c>
      <c r="DV107" s="94" t="s">
        <v>604</v>
      </c>
      <c r="DW107" s="95">
        <v>34416667</v>
      </c>
      <c r="DX107" s="95">
        <v>19613673</v>
      </c>
      <c r="DY107" s="95">
        <v>14802994</v>
      </c>
      <c r="DZ107" s="95">
        <v>15688376</v>
      </c>
      <c r="EA107" s="95">
        <f t="shared" si="89"/>
        <v>34416.667000000001</v>
      </c>
      <c r="EB107" s="95">
        <f t="shared" si="90"/>
        <v>19613.672999999999</v>
      </c>
      <c r="EC107" s="95">
        <f t="shared" si="91"/>
        <v>14802.994000000001</v>
      </c>
      <c r="ED107" s="95">
        <f t="shared" si="92"/>
        <v>15688.376</v>
      </c>
      <c r="EH107" s="444" t="s">
        <v>412</v>
      </c>
      <c r="EI107" s="444">
        <v>33609772</v>
      </c>
      <c r="EJ107" s="450">
        <f t="shared" si="93"/>
        <v>33609.771999999997</v>
      </c>
      <c r="EN107" s="444" t="s">
        <v>402</v>
      </c>
      <c r="EO107" s="450">
        <v>89967986</v>
      </c>
      <c r="EP107" s="450">
        <v>59687986</v>
      </c>
      <c r="EQ107" s="450">
        <v>30280000</v>
      </c>
      <c r="ER107" s="450">
        <v>44841536</v>
      </c>
      <c r="ES107" s="746">
        <f t="shared" si="94"/>
        <v>89967.986000000004</v>
      </c>
      <c r="ET107" s="746">
        <f t="shared" si="95"/>
        <v>59687.985999999997</v>
      </c>
      <c r="EU107" s="746">
        <f t="shared" si="96"/>
        <v>30280</v>
      </c>
      <c r="EV107" s="746">
        <f t="shared" si="97"/>
        <v>44841.536</v>
      </c>
      <c r="EZ107" s="780" t="s">
        <v>553</v>
      </c>
      <c r="FA107" s="781" t="s">
        <v>617</v>
      </c>
      <c r="FB107" s="444">
        <v>0</v>
      </c>
      <c r="FC107" s="450">
        <f t="shared" si="98"/>
        <v>0</v>
      </c>
      <c r="FG107" s="785" t="s">
        <v>553</v>
      </c>
      <c r="FH107" s="784" t="s">
        <v>402</v>
      </c>
      <c r="FI107" s="782">
        <v>98663386</v>
      </c>
      <c r="FJ107" s="783">
        <v>92499854</v>
      </c>
      <c r="FK107" s="783">
        <v>6163532</v>
      </c>
      <c r="FL107" s="783">
        <v>53198916</v>
      </c>
      <c r="FM107" s="450">
        <f t="shared" si="99"/>
        <v>98663.385999999999</v>
      </c>
      <c r="FN107" s="450">
        <f t="shared" si="100"/>
        <v>92499.854000000007</v>
      </c>
      <c r="FO107" s="450">
        <f t="shared" si="101"/>
        <v>6163.5320000000002</v>
      </c>
      <c r="FP107" s="450">
        <f t="shared" si="102"/>
        <v>53198.915999999997</v>
      </c>
      <c r="FT107" s="451" t="s">
        <v>553</v>
      </c>
      <c r="FU107" s="94" t="s">
        <v>411</v>
      </c>
      <c r="FV107" s="95">
        <v>-802625</v>
      </c>
      <c r="FW107" s="95">
        <v>0</v>
      </c>
      <c r="FX107" s="95">
        <v>0</v>
      </c>
      <c r="FY107" s="450">
        <f t="shared" si="103"/>
        <v>-802.625</v>
      </c>
      <c r="FZ107" s="450">
        <f t="shared" si="104"/>
        <v>0</v>
      </c>
      <c r="GA107" s="450">
        <f t="shared" si="105"/>
        <v>0</v>
      </c>
      <c r="GG107" s="817" t="s">
        <v>553</v>
      </c>
      <c r="GH107" s="818" t="s">
        <v>402</v>
      </c>
      <c r="GI107" s="819">
        <v>96135900</v>
      </c>
      <c r="GJ107" s="819">
        <v>96135900</v>
      </c>
      <c r="GK107" s="819">
        <v>0</v>
      </c>
      <c r="GL107" s="819">
        <v>57481904</v>
      </c>
      <c r="GM107" s="819">
        <v>38653996</v>
      </c>
      <c r="GN107" s="450">
        <f t="shared" si="106"/>
        <v>96135.9</v>
      </c>
      <c r="GO107" s="450">
        <f t="shared" si="107"/>
        <v>96135.9</v>
      </c>
      <c r="GP107" s="450">
        <f t="shared" si="108"/>
        <v>0</v>
      </c>
      <c r="GQ107" s="450">
        <f t="shared" si="109"/>
        <v>57481.904000000002</v>
      </c>
      <c r="GR107" s="450">
        <f t="shared" si="110"/>
        <v>38653.995999999999</v>
      </c>
      <c r="GV107" s="841" t="s">
        <v>609</v>
      </c>
      <c r="GW107" s="840">
        <v>5029035</v>
      </c>
      <c r="GX107" s="450">
        <f t="shared" si="111"/>
        <v>5029.0349999999999</v>
      </c>
      <c r="HB107" s="843" t="s">
        <v>400</v>
      </c>
      <c r="HC107" s="819">
        <v>395046075</v>
      </c>
      <c r="HD107" s="819">
        <v>395046075</v>
      </c>
      <c r="HE107" s="819">
        <v>0</v>
      </c>
      <c r="HF107" s="819">
        <v>393520505</v>
      </c>
      <c r="HG107" s="450">
        <f t="shared" si="112"/>
        <v>395046.07500000001</v>
      </c>
      <c r="HH107" s="450">
        <f t="shared" si="113"/>
        <v>0</v>
      </c>
      <c r="HI107" s="450">
        <f t="shared" si="114"/>
        <v>395046.07500000001</v>
      </c>
      <c r="HJ107" s="450">
        <f t="shared" si="115"/>
        <v>0</v>
      </c>
      <c r="HK107" s="450">
        <f t="shared" si="116"/>
        <v>393520.505</v>
      </c>
    </row>
    <row r="108" spans="1:219" ht="15" customHeight="1" x14ac:dyDescent="0.3">
      <c r="A108" s="295" t="s">
        <v>553</v>
      </c>
      <c r="B108" s="296" t="s">
        <v>408</v>
      </c>
      <c r="C108" s="297">
        <v>773366000</v>
      </c>
      <c r="D108" s="298">
        <f t="shared" si="61"/>
        <v>822088.05799999996</v>
      </c>
      <c r="E108" s="297">
        <v>7744600</v>
      </c>
      <c r="F108" s="297">
        <f t="shared" si="62"/>
        <v>8232.5097999999998</v>
      </c>
      <c r="Q108" s="299" t="s">
        <v>553</v>
      </c>
      <c r="R108" s="300" t="s">
        <v>407</v>
      </c>
      <c r="S108" s="301">
        <v>55047000</v>
      </c>
      <c r="T108" s="301">
        <v>0</v>
      </c>
      <c r="U108" s="301">
        <f t="shared" si="64"/>
        <v>58514.960999999996</v>
      </c>
      <c r="V108" s="301">
        <f t="shared" si="65"/>
        <v>0</v>
      </c>
      <c r="Z108" s="296" t="s">
        <v>414</v>
      </c>
      <c r="AA108" s="297">
        <v>0</v>
      </c>
      <c r="AB108" s="297">
        <f t="shared" si="66"/>
        <v>0</v>
      </c>
      <c r="AF108" s="296" t="s">
        <v>607</v>
      </c>
      <c r="AG108" s="297">
        <v>909033500</v>
      </c>
      <c r="AH108" s="297">
        <f t="shared" si="117"/>
        <v>966302.61049999995</v>
      </c>
      <c r="AI108" s="297">
        <v>84054306</v>
      </c>
      <c r="AL108" s="450"/>
      <c r="AN108" s="447" t="s">
        <v>355</v>
      </c>
      <c r="AO108" s="448" t="s">
        <v>611</v>
      </c>
      <c r="AP108" s="449">
        <v>4360000</v>
      </c>
      <c r="AQ108" s="449">
        <f t="shared" si="67"/>
        <v>4634.6799999999994</v>
      </c>
      <c r="AU108" s="447" t="s">
        <v>355</v>
      </c>
      <c r="AV108" s="448" t="s">
        <v>607</v>
      </c>
      <c r="AW108" s="449">
        <v>918808500</v>
      </c>
      <c r="AX108" s="449">
        <v>798757511</v>
      </c>
      <c r="AY108" s="449">
        <v>120050989</v>
      </c>
      <c r="AZ108" s="450">
        <f t="shared" si="68"/>
        <v>976693.43549999991</v>
      </c>
      <c r="BA108" s="450">
        <f t="shared" si="69"/>
        <v>849079.23419300001</v>
      </c>
      <c r="BB108" s="450">
        <f t="shared" si="70"/>
        <v>127614.201307</v>
      </c>
      <c r="BF108" s="447"/>
      <c r="BG108" s="448"/>
      <c r="BH108" s="449"/>
      <c r="BI108" s="450"/>
      <c r="BM108" s="451" t="s">
        <v>553</v>
      </c>
      <c r="BN108" s="94" t="s">
        <v>405</v>
      </c>
      <c r="BO108" s="95">
        <v>0</v>
      </c>
      <c r="BP108" s="95">
        <v>9495100</v>
      </c>
      <c r="BQ108" s="95">
        <v>115100</v>
      </c>
      <c r="BR108" s="95">
        <v>9380000</v>
      </c>
      <c r="BS108" s="95">
        <v>115100</v>
      </c>
      <c r="BT108" s="450">
        <f t="shared" si="72"/>
        <v>9495.1</v>
      </c>
      <c r="BU108" s="450">
        <f t="shared" si="73"/>
        <v>115.1</v>
      </c>
      <c r="BV108" s="450">
        <f t="shared" si="74"/>
        <v>9380</v>
      </c>
      <c r="BW108" s="450">
        <f t="shared" si="75"/>
        <v>115.1</v>
      </c>
      <c r="CA108" s="94" t="s">
        <v>412</v>
      </c>
      <c r="CB108" s="450">
        <v>14581450</v>
      </c>
      <c r="CC108" s="450">
        <f t="shared" si="76"/>
        <v>14581.45</v>
      </c>
      <c r="CG108" s="448" t="s">
        <v>606</v>
      </c>
      <c r="CH108" s="449">
        <v>0</v>
      </c>
      <c r="CI108" s="449">
        <v>9495100</v>
      </c>
      <c r="CJ108" s="449">
        <v>-9495100</v>
      </c>
      <c r="CK108" s="449">
        <v>8464407</v>
      </c>
      <c r="CL108" s="449">
        <v>1030693</v>
      </c>
      <c r="CM108" s="449">
        <v>115100</v>
      </c>
      <c r="CN108" s="449">
        <f t="shared" si="77"/>
        <v>9495.1</v>
      </c>
      <c r="CO108" s="449">
        <f t="shared" si="78"/>
        <v>8464.4069999999992</v>
      </c>
      <c r="CP108" s="449">
        <f t="shared" si="79"/>
        <v>1030.693</v>
      </c>
      <c r="CQ108" s="449">
        <f t="shared" si="80"/>
        <v>115.1</v>
      </c>
      <c r="CU108" s="448" t="s">
        <v>532</v>
      </c>
      <c r="CV108" s="449">
        <v>0</v>
      </c>
      <c r="CW108" s="449">
        <v>11510314</v>
      </c>
      <c r="CX108" s="450">
        <f t="shared" si="81"/>
        <v>0</v>
      </c>
      <c r="CY108" s="450">
        <f t="shared" si="82"/>
        <v>11510.314</v>
      </c>
      <c r="DB108" s="602" t="s">
        <v>606</v>
      </c>
      <c r="DC108" s="603">
        <v>9495100</v>
      </c>
      <c r="DD108" s="603">
        <v>8464407</v>
      </c>
      <c r="DE108" s="603">
        <v>1030693</v>
      </c>
      <c r="DF108" s="603">
        <v>8464407</v>
      </c>
      <c r="DG108" s="604">
        <f t="shared" si="83"/>
        <v>9495.1</v>
      </c>
      <c r="DH108" s="604">
        <f t="shared" si="84"/>
        <v>8464.4069999999992</v>
      </c>
      <c r="DI108" s="604">
        <f t="shared" si="85"/>
        <v>1030.693</v>
      </c>
      <c r="DJ108" s="604">
        <f t="shared" si="86"/>
        <v>8464.4069999999992</v>
      </c>
      <c r="DN108" s="94" t="s">
        <v>415</v>
      </c>
      <c r="DO108" s="94">
        <v>58414850</v>
      </c>
      <c r="DP108" s="94">
        <v>0</v>
      </c>
      <c r="DQ108" s="666">
        <f t="shared" si="87"/>
        <v>58414.85</v>
      </c>
      <c r="DR108" s="666">
        <f t="shared" si="88"/>
        <v>0</v>
      </c>
      <c r="DV108" s="94" t="s">
        <v>605</v>
      </c>
      <c r="DW108" s="95">
        <v>63319493</v>
      </c>
      <c r="DX108" s="95">
        <v>63319493</v>
      </c>
      <c r="DY108" s="95">
        <v>0</v>
      </c>
      <c r="DZ108" s="95">
        <v>39892019</v>
      </c>
      <c r="EA108" s="95">
        <f t="shared" si="89"/>
        <v>63319.493000000002</v>
      </c>
      <c r="EB108" s="95">
        <f t="shared" si="90"/>
        <v>63319.493000000002</v>
      </c>
      <c r="EC108" s="95">
        <f t="shared" si="91"/>
        <v>0</v>
      </c>
      <c r="ED108" s="95">
        <f t="shared" si="92"/>
        <v>39892.019</v>
      </c>
      <c r="EH108" s="444" t="s">
        <v>413</v>
      </c>
      <c r="EI108" s="444">
        <v>33609772</v>
      </c>
      <c r="EJ108" s="450">
        <f t="shared" si="93"/>
        <v>33609.771999999997</v>
      </c>
      <c r="EN108" s="444" t="s">
        <v>403</v>
      </c>
      <c r="EO108" s="450">
        <v>674136465</v>
      </c>
      <c r="EP108" s="450">
        <v>662320840</v>
      </c>
      <c r="EQ108" s="450">
        <v>11815625</v>
      </c>
      <c r="ER108" s="450">
        <v>513569429</v>
      </c>
      <c r="ES108" s="746">
        <f t="shared" si="94"/>
        <v>674136.46499999997</v>
      </c>
      <c r="ET108" s="746">
        <f t="shared" si="95"/>
        <v>662320.84</v>
      </c>
      <c r="EU108" s="746">
        <f t="shared" si="96"/>
        <v>11815.625</v>
      </c>
      <c r="EV108" s="746">
        <f t="shared" si="97"/>
        <v>513569.429</v>
      </c>
      <c r="EZ108" s="780" t="s">
        <v>553</v>
      </c>
      <c r="FA108" s="781" t="s">
        <v>904</v>
      </c>
      <c r="FB108" s="444">
        <v>0</v>
      </c>
      <c r="FC108" s="450">
        <f t="shared" si="98"/>
        <v>0</v>
      </c>
      <c r="FG108" s="785" t="s">
        <v>355</v>
      </c>
      <c r="FH108" s="784" t="s">
        <v>403</v>
      </c>
      <c r="FI108" s="782">
        <v>673955515</v>
      </c>
      <c r="FJ108" s="783">
        <v>665915361</v>
      </c>
      <c r="FK108" s="783">
        <v>8040154</v>
      </c>
      <c r="FL108" s="783">
        <v>560450866</v>
      </c>
      <c r="FM108" s="450">
        <f t="shared" si="99"/>
        <v>673955.51500000001</v>
      </c>
      <c r="FN108" s="450">
        <f t="shared" si="100"/>
        <v>665915.36100000003</v>
      </c>
      <c r="FO108" s="450">
        <f t="shared" si="101"/>
        <v>8040.1540000000005</v>
      </c>
      <c r="FP108" s="450">
        <f t="shared" si="102"/>
        <v>560450.86600000004</v>
      </c>
      <c r="FT108" s="451" t="s">
        <v>449</v>
      </c>
      <c r="FU108" s="94" t="s">
        <v>412</v>
      </c>
      <c r="FV108" s="95">
        <v>3370000</v>
      </c>
      <c r="FW108" s="95">
        <v>121155000</v>
      </c>
      <c r="FX108" s="95">
        <v>52753813</v>
      </c>
      <c r="FY108" s="450">
        <f t="shared" si="103"/>
        <v>3370</v>
      </c>
      <c r="FZ108" s="450">
        <f t="shared" si="104"/>
        <v>121155</v>
      </c>
      <c r="GA108" s="450">
        <f t="shared" si="105"/>
        <v>52753.813000000002</v>
      </c>
      <c r="GG108" s="817" t="s">
        <v>355</v>
      </c>
      <c r="GH108" s="818" t="s">
        <v>403</v>
      </c>
      <c r="GI108" s="819">
        <v>690233022</v>
      </c>
      <c r="GJ108" s="819">
        <v>690233022</v>
      </c>
      <c r="GK108" s="819">
        <v>0</v>
      </c>
      <c r="GL108" s="819">
        <v>622340869</v>
      </c>
      <c r="GM108" s="819">
        <v>67892153</v>
      </c>
      <c r="GN108" s="450">
        <f t="shared" si="106"/>
        <v>690233.022</v>
      </c>
      <c r="GO108" s="450">
        <f t="shared" si="107"/>
        <v>690233.022</v>
      </c>
      <c r="GP108" s="450">
        <f t="shared" si="108"/>
        <v>0</v>
      </c>
      <c r="GQ108" s="450">
        <f t="shared" si="109"/>
        <v>622340.86899999995</v>
      </c>
      <c r="GR108" s="450">
        <f t="shared" si="110"/>
        <v>67892.153000000006</v>
      </c>
      <c r="GV108" s="841" t="s">
        <v>610</v>
      </c>
      <c r="GW108" s="840">
        <v>165784000</v>
      </c>
      <c r="GX108" s="450">
        <f t="shared" si="111"/>
        <v>165784</v>
      </c>
      <c r="HB108" s="843" t="s">
        <v>401</v>
      </c>
      <c r="HC108" s="819">
        <v>78174631</v>
      </c>
      <c r="HD108" s="819">
        <v>78174631</v>
      </c>
      <c r="HE108" s="819">
        <v>0</v>
      </c>
      <c r="HF108" s="819">
        <v>78174631</v>
      </c>
      <c r="HG108" s="450">
        <f t="shared" si="112"/>
        <v>78174.630999999994</v>
      </c>
      <c r="HH108" s="450">
        <f t="shared" si="113"/>
        <v>0</v>
      </c>
      <c r="HI108" s="450">
        <f t="shared" si="114"/>
        <v>78174.630999999994</v>
      </c>
      <c r="HJ108" s="450">
        <f t="shared" si="115"/>
        <v>0</v>
      </c>
      <c r="HK108" s="450">
        <f t="shared" si="116"/>
        <v>78174.630999999994</v>
      </c>
    </row>
    <row r="109" spans="1:219" ht="15" customHeight="1" x14ac:dyDescent="0.3">
      <c r="A109" s="295" t="s">
        <v>553</v>
      </c>
      <c r="B109" s="296" t="s">
        <v>409</v>
      </c>
      <c r="C109" s="297">
        <v>5000000</v>
      </c>
      <c r="D109" s="298">
        <f t="shared" si="61"/>
        <v>5315</v>
      </c>
      <c r="E109" s="297">
        <v>0</v>
      </c>
      <c r="F109" s="297">
        <f t="shared" si="62"/>
        <v>0</v>
      </c>
      <c r="Q109" s="299" t="s">
        <v>553</v>
      </c>
      <c r="R109" s="300" t="s">
        <v>408</v>
      </c>
      <c r="S109" s="301">
        <v>773366000</v>
      </c>
      <c r="T109" s="301">
        <v>10510507</v>
      </c>
      <c r="U109" s="301">
        <f t="shared" si="64"/>
        <v>822088.05799999996</v>
      </c>
      <c r="V109" s="301">
        <f t="shared" si="65"/>
        <v>11172.668941</v>
      </c>
      <c r="Z109" s="296" t="s">
        <v>619</v>
      </c>
      <c r="AA109" s="297">
        <v>0</v>
      </c>
      <c r="AB109" s="297">
        <f t="shared" si="66"/>
        <v>0</v>
      </c>
      <c r="AF109" s="296" t="s">
        <v>406</v>
      </c>
      <c r="AG109" s="297">
        <v>54525000</v>
      </c>
      <c r="AH109" s="297">
        <f t="shared" si="117"/>
        <v>57960.074999999997</v>
      </c>
      <c r="AI109" s="297">
        <v>0</v>
      </c>
      <c r="AL109" s="450"/>
      <c r="AN109" s="447" t="s">
        <v>553</v>
      </c>
      <c r="AO109" s="448" t="s">
        <v>612</v>
      </c>
      <c r="AP109" s="449">
        <v>4360000</v>
      </c>
      <c r="AQ109" s="449">
        <f t="shared" si="67"/>
        <v>4634.6799999999994</v>
      </c>
      <c r="AU109" s="447" t="s">
        <v>553</v>
      </c>
      <c r="AV109" s="448" t="s">
        <v>406</v>
      </c>
      <c r="AW109" s="449">
        <v>54525000</v>
      </c>
      <c r="AX109" s="449">
        <v>54525000</v>
      </c>
      <c r="AY109" s="449">
        <v>0</v>
      </c>
      <c r="AZ109" s="450">
        <f t="shared" si="68"/>
        <v>57960.074999999997</v>
      </c>
      <c r="BA109" s="450">
        <f t="shared" si="69"/>
        <v>57960.074999999997</v>
      </c>
      <c r="BB109" s="450">
        <f t="shared" si="70"/>
        <v>0</v>
      </c>
      <c r="BF109" s="447"/>
      <c r="BG109" s="448"/>
      <c r="BH109" s="449"/>
      <c r="BI109" s="450"/>
      <c r="BM109" s="451" t="s">
        <v>355</v>
      </c>
      <c r="BN109" s="94" t="s">
        <v>607</v>
      </c>
      <c r="BO109" s="95">
        <v>0</v>
      </c>
      <c r="BP109" s="95">
        <v>946566553</v>
      </c>
      <c r="BQ109" s="95">
        <v>858228935</v>
      </c>
      <c r="BR109" s="95">
        <v>88337618</v>
      </c>
      <c r="BS109" s="95">
        <v>276013704</v>
      </c>
      <c r="BT109" s="450">
        <f t="shared" si="72"/>
        <v>946566.55299999996</v>
      </c>
      <c r="BU109" s="450">
        <f t="shared" si="73"/>
        <v>858228.93500000006</v>
      </c>
      <c r="BV109" s="450">
        <f t="shared" si="74"/>
        <v>88337.618000000002</v>
      </c>
      <c r="BW109" s="450">
        <f t="shared" si="75"/>
        <v>276013.70400000003</v>
      </c>
      <c r="CA109" s="94" t="s">
        <v>413</v>
      </c>
      <c r="CB109" s="450">
        <v>14581450</v>
      </c>
      <c r="CC109" s="450">
        <f t="shared" si="76"/>
        <v>14581.45</v>
      </c>
      <c r="CG109" s="448" t="s">
        <v>405</v>
      </c>
      <c r="CH109" s="449">
        <v>0</v>
      </c>
      <c r="CI109" s="449">
        <v>9495100</v>
      </c>
      <c r="CJ109" s="449">
        <v>-9495100</v>
      </c>
      <c r="CK109" s="449">
        <v>8464407</v>
      </c>
      <c r="CL109" s="449">
        <v>1030693</v>
      </c>
      <c r="CM109" s="449">
        <v>115100</v>
      </c>
      <c r="CN109" s="449">
        <f t="shared" si="77"/>
        <v>9495.1</v>
      </c>
      <c r="CO109" s="449">
        <f t="shared" si="78"/>
        <v>8464.4069999999992</v>
      </c>
      <c r="CP109" s="449">
        <f t="shared" si="79"/>
        <v>1030.693</v>
      </c>
      <c r="CQ109" s="449">
        <f t="shared" si="80"/>
        <v>115.1</v>
      </c>
      <c r="CU109" s="448" t="s">
        <v>638</v>
      </c>
      <c r="CV109" s="449">
        <v>200000000</v>
      </c>
      <c r="CW109" s="449">
        <v>81363727</v>
      </c>
      <c r="CX109" s="450">
        <f t="shared" si="81"/>
        <v>200000</v>
      </c>
      <c r="CY109" s="450">
        <f t="shared" si="82"/>
        <v>81363.726999999999</v>
      </c>
      <c r="DB109" s="602" t="s">
        <v>405</v>
      </c>
      <c r="DC109" s="603">
        <v>9495100</v>
      </c>
      <c r="DD109" s="603">
        <v>8464407</v>
      </c>
      <c r="DE109" s="603">
        <v>1030693</v>
      </c>
      <c r="DF109" s="603">
        <v>8464407</v>
      </c>
      <c r="DG109" s="604">
        <f t="shared" si="83"/>
        <v>9495.1</v>
      </c>
      <c r="DH109" s="604">
        <f t="shared" si="84"/>
        <v>8464.4069999999992</v>
      </c>
      <c r="DI109" s="604">
        <f t="shared" si="85"/>
        <v>1030.693</v>
      </c>
      <c r="DJ109" s="604">
        <f t="shared" si="86"/>
        <v>8464.4069999999992</v>
      </c>
      <c r="DN109" s="94" t="s">
        <v>620</v>
      </c>
      <c r="DO109" s="94">
        <v>58414850</v>
      </c>
      <c r="DP109" s="94">
        <v>0</v>
      </c>
      <c r="DQ109" s="666">
        <f t="shared" si="87"/>
        <v>58414.85</v>
      </c>
      <c r="DR109" s="666">
        <f t="shared" si="88"/>
        <v>0</v>
      </c>
      <c r="DV109" s="94" t="s">
        <v>494</v>
      </c>
      <c r="DW109" s="95">
        <v>12500000</v>
      </c>
      <c r="DX109" s="95">
        <v>12500000</v>
      </c>
      <c r="DY109" s="95">
        <v>0</v>
      </c>
      <c r="DZ109" s="95">
        <v>7288750</v>
      </c>
      <c r="EA109" s="95">
        <f t="shared" si="89"/>
        <v>12500</v>
      </c>
      <c r="EB109" s="95">
        <f t="shared" si="90"/>
        <v>12500</v>
      </c>
      <c r="EC109" s="95">
        <f t="shared" si="91"/>
        <v>0</v>
      </c>
      <c r="ED109" s="95">
        <f t="shared" si="92"/>
        <v>7288.75</v>
      </c>
      <c r="EH109" s="444" t="s">
        <v>614</v>
      </c>
      <c r="EI109" s="444">
        <v>22000000</v>
      </c>
      <c r="EJ109" s="450">
        <f t="shared" si="93"/>
        <v>22000</v>
      </c>
      <c r="EN109" s="444" t="s">
        <v>404</v>
      </c>
      <c r="EO109" s="450">
        <v>563256293</v>
      </c>
      <c r="EP109" s="450">
        <v>554340000</v>
      </c>
      <c r="EQ109" s="450">
        <v>8916293</v>
      </c>
      <c r="ER109" s="450">
        <v>442003610</v>
      </c>
      <c r="ES109" s="746">
        <f t="shared" si="94"/>
        <v>563256.29299999995</v>
      </c>
      <c r="ET109" s="746">
        <f t="shared" si="95"/>
        <v>554340</v>
      </c>
      <c r="EU109" s="746">
        <f t="shared" si="96"/>
        <v>8916.2929999999997</v>
      </c>
      <c r="EV109" s="746">
        <f t="shared" si="97"/>
        <v>442003.61</v>
      </c>
      <c r="EZ109" s="780" t="s">
        <v>449</v>
      </c>
      <c r="FA109" s="781" t="s">
        <v>638</v>
      </c>
      <c r="FB109" s="444">
        <v>25328784</v>
      </c>
      <c r="FC109" s="450">
        <f t="shared" si="98"/>
        <v>25328.784</v>
      </c>
      <c r="FG109" s="785" t="s">
        <v>553</v>
      </c>
      <c r="FH109" s="784" t="s">
        <v>404</v>
      </c>
      <c r="FI109" s="782">
        <v>563075343</v>
      </c>
      <c r="FJ109" s="783">
        <v>557934521</v>
      </c>
      <c r="FK109" s="783">
        <v>5140822</v>
      </c>
      <c r="FL109" s="783">
        <v>480031493</v>
      </c>
      <c r="FM109" s="450">
        <f t="shared" si="99"/>
        <v>563075.34299999999</v>
      </c>
      <c r="FN109" s="450">
        <f t="shared" si="100"/>
        <v>557934.52099999995</v>
      </c>
      <c r="FO109" s="450">
        <f t="shared" si="101"/>
        <v>5140.8220000000001</v>
      </c>
      <c r="FP109" s="450">
        <f t="shared" si="102"/>
        <v>480031.49300000002</v>
      </c>
      <c r="FT109" s="451" t="s">
        <v>355</v>
      </c>
      <c r="FU109" s="94" t="s">
        <v>538</v>
      </c>
      <c r="FV109" s="95">
        <v>0</v>
      </c>
      <c r="FW109" s="95">
        <v>81155000</v>
      </c>
      <c r="FX109" s="95">
        <v>0</v>
      </c>
      <c r="FY109" s="450">
        <f t="shared" si="103"/>
        <v>0</v>
      </c>
      <c r="FZ109" s="450">
        <f t="shared" si="104"/>
        <v>81155</v>
      </c>
      <c r="GA109" s="450">
        <f t="shared" si="105"/>
        <v>0</v>
      </c>
      <c r="GG109" s="817" t="s">
        <v>553</v>
      </c>
      <c r="GH109" s="818" t="s">
        <v>404</v>
      </c>
      <c r="GI109" s="819">
        <v>590170538</v>
      </c>
      <c r="GJ109" s="819">
        <v>590170538</v>
      </c>
      <c r="GK109" s="819">
        <v>0</v>
      </c>
      <c r="GL109" s="819">
        <v>533297594</v>
      </c>
      <c r="GM109" s="819">
        <v>56872944</v>
      </c>
      <c r="GN109" s="450">
        <f t="shared" si="106"/>
        <v>590170.53799999994</v>
      </c>
      <c r="GO109" s="450">
        <f t="shared" si="107"/>
        <v>590170.53799999994</v>
      </c>
      <c r="GP109" s="450">
        <f t="shared" si="108"/>
        <v>0</v>
      </c>
      <c r="GQ109" s="450">
        <f t="shared" si="109"/>
        <v>533297.59400000004</v>
      </c>
      <c r="GR109" s="450">
        <f t="shared" si="110"/>
        <v>56872.944000000003</v>
      </c>
      <c r="GV109" s="841" t="s">
        <v>611</v>
      </c>
      <c r="GW109" s="840">
        <v>165784000</v>
      </c>
      <c r="GX109" s="450">
        <f t="shared" si="111"/>
        <v>165784</v>
      </c>
      <c r="HB109" s="843" t="s">
        <v>601</v>
      </c>
      <c r="HC109" s="819">
        <v>152183824</v>
      </c>
      <c r="HD109" s="819">
        <v>152183824</v>
      </c>
      <c r="HE109" s="819">
        <v>0</v>
      </c>
      <c r="HF109" s="819">
        <v>150658254</v>
      </c>
      <c r="HG109" s="450">
        <f t="shared" si="112"/>
        <v>152183.82399999999</v>
      </c>
      <c r="HH109" s="450">
        <f t="shared" si="113"/>
        <v>0</v>
      </c>
      <c r="HI109" s="450">
        <f t="shared" si="114"/>
        <v>152183.82399999999</v>
      </c>
      <c r="HJ109" s="450">
        <f t="shared" si="115"/>
        <v>0</v>
      </c>
      <c r="HK109" s="450">
        <f t="shared" si="116"/>
        <v>150658.25399999999</v>
      </c>
    </row>
    <row r="110" spans="1:219" ht="15" customHeight="1" x14ac:dyDescent="0.3">
      <c r="A110" s="295" t="s">
        <v>355</v>
      </c>
      <c r="B110" s="296" t="s">
        <v>608</v>
      </c>
      <c r="C110" s="297">
        <v>2270900</v>
      </c>
      <c r="D110" s="298">
        <f t="shared" si="61"/>
        <v>2413.9666999999999</v>
      </c>
      <c r="E110" s="297">
        <v>66664</v>
      </c>
      <c r="F110" s="297">
        <f t="shared" si="62"/>
        <v>70.863832000000002</v>
      </c>
      <c r="Q110" s="299" t="s">
        <v>553</v>
      </c>
      <c r="R110" s="300" t="s">
        <v>409</v>
      </c>
      <c r="S110" s="301">
        <v>5000000</v>
      </c>
      <c r="T110" s="301">
        <v>0</v>
      </c>
      <c r="U110" s="301">
        <f t="shared" si="64"/>
        <v>5315</v>
      </c>
      <c r="V110" s="301">
        <f t="shared" si="65"/>
        <v>0</v>
      </c>
      <c r="Z110" s="296" t="s">
        <v>415</v>
      </c>
      <c r="AA110" s="297">
        <v>645000</v>
      </c>
      <c r="AB110" s="297">
        <f t="shared" si="66"/>
        <v>685.63499999999999</v>
      </c>
      <c r="AF110" s="296" t="s">
        <v>407</v>
      </c>
      <c r="AG110" s="297">
        <v>55047000</v>
      </c>
      <c r="AH110" s="297">
        <f t="shared" si="117"/>
        <v>58514.960999999996</v>
      </c>
      <c r="AI110" s="297">
        <v>1300000</v>
      </c>
      <c r="AL110" s="450"/>
      <c r="AN110" s="447" t="s">
        <v>449</v>
      </c>
      <c r="AO110" s="448" t="s">
        <v>412</v>
      </c>
      <c r="AP110" s="449">
        <v>35416301</v>
      </c>
      <c r="AQ110" s="449">
        <f t="shared" si="67"/>
        <v>37647.527963</v>
      </c>
      <c r="AU110" s="447" t="s">
        <v>553</v>
      </c>
      <c r="AV110" s="448" t="s">
        <v>407</v>
      </c>
      <c r="AW110" s="449">
        <v>55047000</v>
      </c>
      <c r="AX110" s="449">
        <v>7290000</v>
      </c>
      <c r="AY110" s="449">
        <v>47757000</v>
      </c>
      <c r="AZ110" s="450">
        <f t="shared" si="68"/>
        <v>58514.960999999996</v>
      </c>
      <c r="BA110" s="450">
        <f t="shared" si="69"/>
        <v>7749.2699999999995</v>
      </c>
      <c r="BB110" s="450">
        <f t="shared" si="70"/>
        <v>50765.690999999999</v>
      </c>
      <c r="BF110" s="447"/>
      <c r="BG110" s="448"/>
      <c r="BH110" s="449"/>
      <c r="BI110" s="450"/>
      <c r="BM110" s="451" t="s">
        <v>553</v>
      </c>
      <c r="BN110" s="94" t="s">
        <v>406</v>
      </c>
      <c r="BO110" s="95">
        <v>0</v>
      </c>
      <c r="BP110" s="95">
        <v>87725000</v>
      </c>
      <c r="BQ110" s="95">
        <v>87725000</v>
      </c>
      <c r="BR110" s="95">
        <v>0</v>
      </c>
      <c r="BS110" s="95">
        <v>54525000</v>
      </c>
      <c r="BT110" s="450">
        <f t="shared" si="72"/>
        <v>87725</v>
      </c>
      <c r="BU110" s="450">
        <f t="shared" si="73"/>
        <v>87725</v>
      </c>
      <c r="BV110" s="450">
        <f t="shared" si="74"/>
        <v>0</v>
      </c>
      <c r="BW110" s="450">
        <f t="shared" si="75"/>
        <v>54525</v>
      </c>
      <c r="CA110" s="94" t="s">
        <v>614</v>
      </c>
      <c r="CB110" s="450">
        <v>0</v>
      </c>
      <c r="CC110" s="450">
        <f t="shared" si="76"/>
        <v>0</v>
      </c>
      <c r="CG110" s="448" t="s">
        <v>607</v>
      </c>
      <c r="CH110" s="449">
        <v>0</v>
      </c>
      <c r="CI110" s="449">
        <v>936237328</v>
      </c>
      <c r="CJ110" s="449">
        <v>-936237328</v>
      </c>
      <c r="CK110" s="449">
        <v>898228935</v>
      </c>
      <c r="CL110" s="449">
        <v>38008393</v>
      </c>
      <c r="CM110" s="449">
        <v>361529253</v>
      </c>
      <c r="CN110" s="449">
        <f t="shared" si="77"/>
        <v>936237.32799999998</v>
      </c>
      <c r="CO110" s="449">
        <f t="shared" si="78"/>
        <v>898228.93500000006</v>
      </c>
      <c r="CP110" s="449">
        <f t="shared" si="79"/>
        <v>38008.392999999996</v>
      </c>
      <c r="CQ110" s="449">
        <f t="shared" si="80"/>
        <v>361529.25300000003</v>
      </c>
      <c r="CU110" s="448" t="s">
        <v>639</v>
      </c>
      <c r="CV110" s="449">
        <v>200000000</v>
      </c>
      <c r="CW110" s="449">
        <v>81363727</v>
      </c>
      <c r="CX110" s="450">
        <f t="shared" si="81"/>
        <v>200000</v>
      </c>
      <c r="CY110" s="450">
        <f t="shared" si="82"/>
        <v>81363.726999999999</v>
      </c>
      <c r="DB110" s="602" t="s">
        <v>607</v>
      </c>
      <c r="DC110" s="603">
        <v>904179654</v>
      </c>
      <c r="DD110" s="603">
        <v>846210889</v>
      </c>
      <c r="DE110" s="603">
        <v>57968765</v>
      </c>
      <c r="DF110" s="603">
        <v>501925951</v>
      </c>
      <c r="DG110" s="604">
        <f t="shared" si="83"/>
        <v>904179.65399999998</v>
      </c>
      <c r="DH110" s="604">
        <f t="shared" si="84"/>
        <v>846210.88899999997</v>
      </c>
      <c r="DI110" s="604">
        <f t="shared" si="85"/>
        <v>57968.764999999999</v>
      </c>
      <c r="DJ110" s="604">
        <f t="shared" si="86"/>
        <v>501925.951</v>
      </c>
      <c r="DV110" s="94" t="s">
        <v>606</v>
      </c>
      <c r="DW110" s="95">
        <v>9495100</v>
      </c>
      <c r="DX110" s="95">
        <v>8464407</v>
      </c>
      <c r="DY110" s="95">
        <v>1030693</v>
      </c>
      <c r="DZ110" s="95">
        <v>8464407</v>
      </c>
      <c r="EA110" s="95">
        <f t="shared" si="89"/>
        <v>9495.1</v>
      </c>
      <c r="EB110" s="95">
        <f t="shared" si="90"/>
        <v>8464.4069999999992</v>
      </c>
      <c r="EC110" s="95">
        <f t="shared" si="91"/>
        <v>1030.693</v>
      </c>
      <c r="ED110" s="95">
        <f t="shared" si="92"/>
        <v>8464.4069999999992</v>
      </c>
      <c r="EH110" s="444" t="s">
        <v>532</v>
      </c>
      <c r="EI110" s="444">
        <v>11609772</v>
      </c>
      <c r="EJ110" s="450">
        <f t="shared" si="93"/>
        <v>11609.772000000001</v>
      </c>
      <c r="EN110" s="444" t="s">
        <v>604</v>
      </c>
      <c r="EO110" s="450">
        <v>32613673</v>
      </c>
      <c r="EP110" s="450">
        <v>32161347</v>
      </c>
      <c r="EQ110" s="450">
        <v>452326</v>
      </c>
      <c r="ER110" s="450">
        <v>17905400</v>
      </c>
      <c r="ES110" s="746">
        <f t="shared" si="94"/>
        <v>32613.672999999999</v>
      </c>
      <c r="ET110" s="746">
        <f t="shared" si="95"/>
        <v>32161.347000000002</v>
      </c>
      <c r="EU110" s="746">
        <f t="shared" si="96"/>
        <v>452.32600000000002</v>
      </c>
      <c r="EV110" s="746">
        <f t="shared" si="97"/>
        <v>17905.400000000001</v>
      </c>
      <c r="EZ110" s="780" t="s">
        <v>355</v>
      </c>
      <c r="FA110" s="781" t="s">
        <v>639</v>
      </c>
      <c r="FB110" s="444">
        <v>25328784</v>
      </c>
      <c r="FC110" s="450">
        <f t="shared" si="98"/>
        <v>25328.784</v>
      </c>
      <c r="FG110" s="785" t="s">
        <v>553</v>
      </c>
      <c r="FH110" s="784" t="s">
        <v>604</v>
      </c>
      <c r="FI110" s="782">
        <v>32613673</v>
      </c>
      <c r="FJ110" s="783">
        <v>32161347</v>
      </c>
      <c r="FK110" s="783">
        <v>452326</v>
      </c>
      <c r="FL110" s="783">
        <v>19987608</v>
      </c>
      <c r="FM110" s="450">
        <f t="shared" si="99"/>
        <v>32613.672999999999</v>
      </c>
      <c r="FN110" s="450">
        <f t="shared" si="100"/>
        <v>32161.347000000002</v>
      </c>
      <c r="FO110" s="450">
        <f t="shared" si="101"/>
        <v>452.32600000000002</v>
      </c>
      <c r="FP110" s="450">
        <f t="shared" si="102"/>
        <v>19987.608</v>
      </c>
      <c r="FT110" s="451" t="s">
        <v>553</v>
      </c>
      <c r="FU110" s="94" t="s">
        <v>690</v>
      </c>
      <c r="FV110" s="95">
        <v>0</v>
      </c>
      <c r="FW110" s="95">
        <v>81155000</v>
      </c>
      <c r="FX110" s="95">
        <v>0</v>
      </c>
      <c r="FY110" s="450">
        <f t="shared" si="103"/>
        <v>0</v>
      </c>
      <c r="FZ110" s="450">
        <f t="shared" si="104"/>
        <v>81155</v>
      </c>
      <c r="GA110" s="450">
        <f t="shared" si="105"/>
        <v>0</v>
      </c>
      <c r="GG110" s="817" t="s">
        <v>553</v>
      </c>
      <c r="GH110" s="818" t="s">
        <v>604</v>
      </c>
      <c r="GI110" s="819">
        <v>24987608</v>
      </c>
      <c r="GJ110" s="819">
        <v>24987608</v>
      </c>
      <c r="GK110" s="819">
        <v>0</v>
      </c>
      <c r="GL110" s="819">
        <v>22055899</v>
      </c>
      <c r="GM110" s="819">
        <v>2931709</v>
      </c>
      <c r="GN110" s="450">
        <f t="shared" si="106"/>
        <v>24987.608</v>
      </c>
      <c r="GO110" s="450">
        <f t="shared" si="107"/>
        <v>24987.608</v>
      </c>
      <c r="GP110" s="450">
        <f t="shared" si="108"/>
        <v>0</v>
      </c>
      <c r="GQ110" s="450">
        <f t="shared" si="109"/>
        <v>22055.899000000001</v>
      </c>
      <c r="GR110" s="450">
        <f t="shared" si="110"/>
        <v>2931.7089999999998</v>
      </c>
      <c r="GV110" s="841" t="s">
        <v>612</v>
      </c>
      <c r="GW110" s="840">
        <v>163527825</v>
      </c>
      <c r="GX110" s="450">
        <f t="shared" si="111"/>
        <v>163527.82500000001</v>
      </c>
      <c r="HB110" s="843" t="s">
        <v>602</v>
      </c>
      <c r="HC110" s="819">
        <v>63094258</v>
      </c>
      <c r="HD110" s="819">
        <v>63094258</v>
      </c>
      <c r="HE110" s="819">
        <v>0</v>
      </c>
      <c r="HF110" s="819">
        <v>63094258</v>
      </c>
      <c r="HG110" s="450">
        <f t="shared" si="112"/>
        <v>63094.258000000002</v>
      </c>
      <c r="HH110" s="450">
        <f t="shared" si="113"/>
        <v>0</v>
      </c>
      <c r="HI110" s="450">
        <f t="shared" si="114"/>
        <v>63094.258000000002</v>
      </c>
      <c r="HJ110" s="450">
        <f t="shared" si="115"/>
        <v>0</v>
      </c>
      <c r="HK110" s="450">
        <f t="shared" si="116"/>
        <v>63094.258000000002</v>
      </c>
    </row>
    <row r="111" spans="1:219" ht="15" customHeight="1" x14ac:dyDescent="0.3">
      <c r="A111" s="295" t="s">
        <v>553</v>
      </c>
      <c r="B111" s="296" t="s">
        <v>410</v>
      </c>
      <c r="C111" s="297">
        <v>2252000</v>
      </c>
      <c r="D111" s="298">
        <f t="shared" si="61"/>
        <v>2393.8759999999997</v>
      </c>
      <c r="E111" s="297">
        <v>47764</v>
      </c>
      <c r="F111" s="297">
        <f t="shared" si="62"/>
        <v>50.773132000000004</v>
      </c>
      <c r="Q111" s="299" t="s">
        <v>355</v>
      </c>
      <c r="R111" s="300" t="s">
        <v>608</v>
      </c>
      <c r="S111" s="301">
        <v>2493639</v>
      </c>
      <c r="T111" s="301">
        <v>386323</v>
      </c>
      <c r="U111" s="301">
        <f t="shared" si="64"/>
        <v>2650.738257</v>
      </c>
      <c r="V111" s="301">
        <f t="shared" si="65"/>
        <v>410.66134899999997</v>
      </c>
      <c r="Z111" s="296" t="s">
        <v>620</v>
      </c>
      <c r="AA111" s="297">
        <v>645000</v>
      </c>
      <c r="AB111" s="297">
        <f t="shared" si="66"/>
        <v>685.63499999999999</v>
      </c>
      <c r="AF111" s="296" t="s">
        <v>408</v>
      </c>
      <c r="AG111" s="297">
        <v>794461500</v>
      </c>
      <c r="AH111" s="297">
        <f t="shared" si="117"/>
        <v>844512.57449999999</v>
      </c>
      <c r="AI111" s="297">
        <v>82754306</v>
      </c>
      <c r="AL111" s="450"/>
      <c r="AN111" s="447" t="s">
        <v>355</v>
      </c>
      <c r="AO111" s="448" t="s">
        <v>413</v>
      </c>
      <c r="AP111" s="449">
        <v>35416301</v>
      </c>
      <c r="AQ111" s="449">
        <f t="shared" si="67"/>
        <v>37647.527963</v>
      </c>
      <c r="AU111" s="447" t="s">
        <v>553</v>
      </c>
      <c r="AV111" s="448" t="s">
        <v>408</v>
      </c>
      <c r="AW111" s="449">
        <v>804236500</v>
      </c>
      <c r="AX111" s="449">
        <v>736942511</v>
      </c>
      <c r="AY111" s="449">
        <v>67293989</v>
      </c>
      <c r="AZ111" s="450">
        <f t="shared" si="68"/>
        <v>854903.39949999994</v>
      </c>
      <c r="BA111" s="450">
        <f t="shared" si="69"/>
        <v>783369.88919300004</v>
      </c>
      <c r="BB111" s="450">
        <f t="shared" si="70"/>
        <v>71533.510307000004</v>
      </c>
      <c r="BF111" s="447"/>
      <c r="BG111" s="448"/>
      <c r="BH111" s="449"/>
      <c r="BI111" s="450"/>
      <c r="BM111" s="451" t="s">
        <v>553</v>
      </c>
      <c r="BN111" s="94" t="s">
        <v>407</v>
      </c>
      <c r="BO111" s="95">
        <v>0</v>
      </c>
      <c r="BP111" s="95">
        <v>55047000</v>
      </c>
      <c r="BQ111" s="95">
        <v>14632574</v>
      </c>
      <c r="BR111" s="95">
        <v>40414426</v>
      </c>
      <c r="BS111" s="95">
        <v>6300000</v>
      </c>
      <c r="BT111" s="450">
        <f t="shared" si="72"/>
        <v>55047</v>
      </c>
      <c r="BU111" s="450">
        <f t="shared" si="73"/>
        <v>14632.574000000001</v>
      </c>
      <c r="BV111" s="450">
        <f t="shared" si="74"/>
        <v>40414.425999999999</v>
      </c>
      <c r="BW111" s="450">
        <f t="shared" si="75"/>
        <v>6300</v>
      </c>
      <c r="CA111" s="94" t="s">
        <v>532</v>
      </c>
      <c r="CB111" s="450">
        <v>14581450</v>
      </c>
      <c r="CC111" s="450">
        <f t="shared" si="76"/>
        <v>14581.45</v>
      </c>
      <c r="CG111" s="448" t="s">
        <v>406</v>
      </c>
      <c r="CH111" s="449">
        <v>0</v>
      </c>
      <c r="CI111" s="449">
        <v>127725000</v>
      </c>
      <c r="CJ111" s="449">
        <v>-127725000</v>
      </c>
      <c r="CK111" s="449">
        <v>127725000</v>
      </c>
      <c r="CL111" s="449">
        <v>0</v>
      </c>
      <c r="CM111" s="449">
        <v>74525000</v>
      </c>
      <c r="CN111" s="449">
        <f t="shared" si="77"/>
        <v>127725</v>
      </c>
      <c r="CO111" s="449">
        <f t="shared" si="78"/>
        <v>127725</v>
      </c>
      <c r="CP111" s="449">
        <f t="shared" si="79"/>
        <v>0</v>
      </c>
      <c r="CQ111" s="449">
        <f t="shared" si="80"/>
        <v>74525</v>
      </c>
      <c r="CU111" s="448" t="s">
        <v>618</v>
      </c>
      <c r="CV111" s="449">
        <v>2037482</v>
      </c>
      <c r="CW111" s="449">
        <v>14694842</v>
      </c>
      <c r="CX111" s="450">
        <f t="shared" si="81"/>
        <v>2037.482</v>
      </c>
      <c r="CY111" s="450">
        <f t="shared" si="82"/>
        <v>14694.842000000001</v>
      </c>
      <c r="DB111" s="602" t="s">
        <v>406</v>
      </c>
      <c r="DC111" s="603">
        <v>147471000</v>
      </c>
      <c r="DD111" s="603">
        <v>147471000</v>
      </c>
      <c r="DE111" s="603">
        <v>0</v>
      </c>
      <c r="DF111" s="603">
        <v>94271000</v>
      </c>
      <c r="DG111" s="604">
        <f t="shared" si="83"/>
        <v>147471</v>
      </c>
      <c r="DH111" s="604">
        <f t="shared" si="84"/>
        <v>147471</v>
      </c>
      <c r="DI111" s="604">
        <f t="shared" si="85"/>
        <v>0</v>
      </c>
      <c r="DJ111" s="604">
        <f t="shared" si="86"/>
        <v>94271</v>
      </c>
      <c r="DV111" s="94" t="s">
        <v>405</v>
      </c>
      <c r="DW111" s="95">
        <v>9495100</v>
      </c>
      <c r="DX111" s="95">
        <v>8464407</v>
      </c>
      <c r="DY111" s="95">
        <v>1030693</v>
      </c>
      <c r="DZ111" s="95">
        <v>8464407</v>
      </c>
      <c r="EA111" s="95">
        <f t="shared" si="89"/>
        <v>9495.1</v>
      </c>
      <c r="EB111" s="95">
        <f t="shared" si="90"/>
        <v>8464.4069999999992</v>
      </c>
      <c r="EC111" s="95">
        <f t="shared" si="91"/>
        <v>1030.693</v>
      </c>
      <c r="ED111" s="95">
        <f t="shared" si="92"/>
        <v>8464.4069999999992</v>
      </c>
      <c r="EH111" s="444" t="s">
        <v>638</v>
      </c>
      <c r="EI111" s="444">
        <v>60505545</v>
      </c>
      <c r="EJ111" s="450">
        <f t="shared" si="93"/>
        <v>60505.544999999998</v>
      </c>
      <c r="EN111" s="444" t="s">
        <v>605</v>
      </c>
      <c r="EO111" s="450">
        <v>65766499</v>
      </c>
      <c r="EP111" s="450">
        <v>63319493</v>
      </c>
      <c r="EQ111" s="450">
        <v>2447006</v>
      </c>
      <c r="ER111" s="450">
        <v>45330419</v>
      </c>
      <c r="ES111" s="746">
        <f t="shared" si="94"/>
        <v>65766.498999999996</v>
      </c>
      <c r="ET111" s="746">
        <f t="shared" si="95"/>
        <v>63319.493000000002</v>
      </c>
      <c r="EU111" s="746">
        <f t="shared" si="96"/>
        <v>2447.0059999999999</v>
      </c>
      <c r="EV111" s="746">
        <f t="shared" si="97"/>
        <v>45330.419000000002</v>
      </c>
      <c r="EZ111" s="780" t="s">
        <v>449</v>
      </c>
      <c r="FA111" s="781" t="s">
        <v>618</v>
      </c>
      <c r="FB111" s="444">
        <v>4412500</v>
      </c>
      <c r="FC111" s="450">
        <f t="shared" si="98"/>
        <v>4412.5</v>
      </c>
      <c r="FG111" s="785" t="s">
        <v>553</v>
      </c>
      <c r="FH111" s="784" t="s">
        <v>605</v>
      </c>
      <c r="FI111" s="782">
        <v>65766499</v>
      </c>
      <c r="FJ111" s="783">
        <v>63319493</v>
      </c>
      <c r="FK111" s="783">
        <v>2447006</v>
      </c>
      <c r="FL111" s="783">
        <v>51060515</v>
      </c>
      <c r="FM111" s="450">
        <f t="shared" si="99"/>
        <v>65766.498999999996</v>
      </c>
      <c r="FN111" s="450">
        <f t="shared" si="100"/>
        <v>63319.493000000002</v>
      </c>
      <c r="FO111" s="450">
        <f t="shared" si="101"/>
        <v>2447.0059999999999</v>
      </c>
      <c r="FP111" s="450">
        <f t="shared" si="102"/>
        <v>51060.514999999999</v>
      </c>
      <c r="FT111" s="451" t="s">
        <v>355</v>
      </c>
      <c r="FU111" s="94" t="s">
        <v>413</v>
      </c>
      <c r="FV111" s="95">
        <v>3370000</v>
      </c>
      <c r="FW111" s="95">
        <v>0</v>
      </c>
      <c r="FX111" s="95">
        <v>12753813</v>
      </c>
      <c r="FY111" s="450">
        <f t="shared" si="103"/>
        <v>3370</v>
      </c>
      <c r="FZ111" s="450">
        <f t="shared" si="104"/>
        <v>0</v>
      </c>
      <c r="GA111" s="450">
        <f t="shared" si="105"/>
        <v>12753.813</v>
      </c>
      <c r="GG111" s="817" t="s">
        <v>553</v>
      </c>
      <c r="GH111" s="818" t="s">
        <v>605</v>
      </c>
      <c r="GI111" s="819">
        <v>62574876</v>
      </c>
      <c r="GJ111" s="819">
        <v>62574876</v>
      </c>
      <c r="GK111" s="819">
        <v>0</v>
      </c>
      <c r="GL111" s="819">
        <v>56574876</v>
      </c>
      <c r="GM111" s="819">
        <v>6000000</v>
      </c>
      <c r="GN111" s="450">
        <f t="shared" si="106"/>
        <v>62574.875999999997</v>
      </c>
      <c r="GO111" s="450">
        <f t="shared" si="107"/>
        <v>62574.875999999997</v>
      </c>
      <c r="GP111" s="450">
        <f t="shared" si="108"/>
        <v>0</v>
      </c>
      <c r="GQ111" s="450">
        <f t="shared" si="109"/>
        <v>56574.875999999997</v>
      </c>
      <c r="GR111" s="450">
        <f t="shared" si="110"/>
        <v>6000</v>
      </c>
      <c r="GV111" s="841" t="s">
        <v>927</v>
      </c>
      <c r="GW111" s="840">
        <v>2256175</v>
      </c>
      <c r="GX111" s="450">
        <f t="shared" si="111"/>
        <v>2256.1750000000002</v>
      </c>
      <c r="HB111" s="843" t="s">
        <v>603</v>
      </c>
      <c r="HC111" s="819">
        <v>2627166</v>
      </c>
      <c r="HD111" s="819">
        <v>2627166</v>
      </c>
      <c r="HE111" s="819">
        <v>0</v>
      </c>
      <c r="HF111" s="819">
        <v>2627166</v>
      </c>
      <c r="HG111" s="450">
        <f t="shared" si="112"/>
        <v>2627.1660000000002</v>
      </c>
      <c r="HH111" s="450">
        <f t="shared" si="113"/>
        <v>0</v>
      </c>
      <c r="HI111" s="450">
        <f t="shared" si="114"/>
        <v>2627.1660000000002</v>
      </c>
      <c r="HJ111" s="450">
        <f t="shared" si="115"/>
        <v>0</v>
      </c>
      <c r="HK111" s="450">
        <f t="shared" si="116"/>
        <v>2627.1660000000002</v>
      </c>
    </row>
    <row r="112" spans="1:219" ht="15" customHeight="1" x14ac:dyDescent="0.3">
      <c r="A112" s="295" t="s">
        <v>553</v>
      </c>
      <c r="B112" s="296" t="s">
        <v>411</v>
      </c>
      <c r="C112" s="297">
        <v>18900</v>
      </c>
      <c r="D112" s="298">
        <f t="shared" si="61"/>
        <v>20.090699999999998</v>
      </c>
      <c r="E112" s="297">
        <v>18900</v>
      </c>
      <c r="F112" s="297">
        <f t="shared" si="62"/>
        <v>20.090699999999998</v>
      </c>
      <c r="Q112" s="299" t="s">
        <v>553</v>
      </c>
      <c r="R112" s="300" t="s">
        <v>410</v>
      </c>
      <c r="S112" s="301">
        <v>2252000</v>
      </c>
      <c r="T112" s="301">
        <v>144684</v>
      </c>
      <c r="U112" s="301">
        <f t="shared" si="64"/>
        <v>2393.8759999999997</v>
      </c>
      <c r="V112" s="301">
        <f t="shared" si="65"/>
        <v>153.799092</v>
      </c>
      <c r="Z112" s="296" t="s">
        <v>416</v>
      </c>
      <c r="AA112" s="297">
        <v>7414649353</v>
      </c>
      <c r="AB112" s="297">
        <f t="shared" si="66"/>
        <v>7881772.2622389998</v>
      </c>
      <c r="AF112" s="296" t="s">
        <v>409</v>
      </c>
      <c r="AG112" s="297">
        <v>5000000</v>
      </c>
      <c r="AH112" s="297">
        <f t="shared" si="117"/>
        <v>5315</v>
      </c>
      <c r="AI112" s="297">
        <v>0</v>
      </c>
      <c r="AL112" s="450"/>
      <c r="AN112" s="447" t="s">
        <v>553</v>
      </c>
      <c r="AO112" s="448" t="s">
        <v>532</v>
      </c>
      <c r="AP112" s="449">
        <v>11016301</v>
      </c>
      <c r="AQ112" s="449">
        <f t="shared" si="67"/>
        <v>11710.327963</v>
      </c>
      <c r="AU112" s="447" t="s">
        <v>553</v>
      </c>
      <c r="AV112" s="448" t="s">
        <v>409</v>
      </c>
      <c r="AW112" s="449">
        <v>5000000</v>
      </c>
      <c r="AX112" s="449">
        <v>0</v>
      </c>
      <c r="AY112" s="449">
        <v>5000000</v>
      </c>
      <c r="AZ112" s="450">
        <f t="shared" si="68"/>
        <v>5315</v>
      </c>
      <c r="BA112" s="450">
        <f t="shared" si="69"/>
        <v>0</v>
      </c>
      <c r="BB112" s="450">
        <f t="shared" si="70"/>
        <v>5315</v>
      </c>
      <c r="BF112" s="447"/>
      <c r="BG112" s="448"/>
      <c r="BH112" s="449"/>
      <c r="BI112" s="450"/>
      <c r="BM112" s="451" t="s">
        <v>553</v>
      </c>
      <c r="BN112" s="94" t="s">
        <v>408</v>
      </c>
      <c r="BO112" s="95">
        <v>0</v>
      </c>
      <c r="BP112" s="95">
        <v>797194553</v>
      </c>
      <c r="BQ112" s="95">
        <v>754271361</v>
      </c>
      <c r="BR112" s="95">
        <v>42923192</v>
      </c>
      <c r="BS112" s="95">
        <v>213588704</v>
      </c>
      <c r="BT112" s="450">
        <f t="shared" si="72"/>
        <v>797194.55299999996</v>
      </c>
      <c r="BU112" s="450">
        <f t="shared" si="73"/>
        <v>754271.36100000003</v>
      </c>
      <c r="BV112" s="450">
        <f t="shared" si="74"/>
        <v>42923.192000000003</v>
      </c>
      <c r="BW112" s="450">
        <f t="shared" si="75"/>
        <v>213588.704</v>
      </c>
      <c r="CA112" s="94" t="s">
        <v>618</v>
      </c>
      <c r="CB112" s="450">
        <v>8799999</v>
      </c>
      <c r="CC112" s="450">
        <f t="shared" si="76"/>
        <v>8799.9989999999998</v>
      </c>
      <c r="CG112" s="448" t="s">
        <v>407</v>
      </c>
      <c r="CH112" s="449">
        <v>0</v>
      </c>
      <c r="CI112" s="449">
        <v>44717775</v>
      </c>
      <c r="CJ112" s="449">
        <v>-44717775</v>
      </c>
      <c r="CK112" s="449">
        <v>14632574</v>
      </c>
      <c r="CL112" s="449">
        <v>30085201</v>
      </c>
      <c r="CM112" s="449">
        <v>6300000</v>
      </c>
      <c r="CN112" s="449">
        <f t="shared" si="77"/>
        <v>44717.775000000001</v>
      </c>
      <c r="CO112" s="449">
        <f t="shared" si="78"/>
        <v>14632.574000000001</v>
      </c>
      <c r="CP112" s="449">
        <f t="shared" si="79"/>
        <v>30085.201000000001</v>
      </c>
      <c r="CQ112" s="449">
        <f t="shared" si="80"/>
        <v>6300</v>
      </c>
      <c r="CU112" s="448" t="s">
        <v>415</v>
      </c>
      <c r="CV112" s="449">
        <v>2037482</v>
      </c>
      <c r="CW112" s="449">
        <v>14694842</v>
      </c>
      <c r="CX112" s="450">
        <f t="shared" si="81"/>
        <v>2037.482</v>
      </c>
      <c r="CY112" s="450">
        <f t="shared" si="82"/>
        <v>14694.842000000001</v>
      </c>
      <c r="DB112" s="602" t="s">
        <v>407</v>
      </c>
      <c r="DC112" s="603">
        <v>55047000</v>
      </c>
      <c r="DD112" s="603">
        <v>13952574</v>
      </c>
      <c r="DE112" s="603">
        <v>41094426</v>
      </c>
      <c r="DF112" s="603">
        <v>6300000</v>
      </c>
      <c r="DG112" s="604">
        <f t="shared" si="83"/>
        <v>55047</v>
      </c>
      <c r="DH112" s="604">
        <f t="shared" si="84"/>
        <v>13952.574000000001</v>
      </c>
      <c r="DI112" s="604">
        <f t="shared" si="85"/>
        <v>41094.425999999999</v>
      </c>
      <c r="DJ112" s="604">
        <f t="shared" si="86"/>
        <v>6300</v>
      </c>
      <c r="DV112" s="94" t="s">
        <v>607</v>
      </c>
      <c r="DW112" s="95">
        <v>867629426</v>
      </c>
      <c r="DX112" s="95">
        <v>846676317</v>
      </c>
      <c r="DY112" s="95">
        <v>20953109</v>
      </c>
      <c r="DZ112" s="95">
        <v>588137650</v>
      </c>
      <c r="EA112" s="95">
        <f t="shared" si="89"/>
        <v>867629.42599999998</v>
      </c>
      <c r="EB112" s="95">
        <f t="shared" si="90"/>
        <v>846676.31700000004</v>
      </c>
      <c r="EC112" s="95">
        <f t="shared" si="91"/>
        <v>20953.109</v>
      </c>
      <c r="ED112" s="95">
        <f t="shared" si="92"/>
        <v>588137.65</v>
      </c>
      <c r="EH112" s="444" t="s">
        <v>639</v>
      </c>
      <c r="EI112" s="444">
        <v>60505545</v>
      </c>
      <c r="EJ112" s="450">
        <f t="shared" si="93"/>
        <v>60505.544999999998</v>
      </c>
      <c r="EN112" s="444" t="s">
        <v>494</v>
      </c>
      <c r="EO112" s="450">
        <v>12500000</v>
      </c>
      <c r="EP112" s="450">
        <v>12500000</v>
      </c>
      <c r="EQ112" s="450">
        <v>0</v>
      </c>
      <c r="ER112" s="450">
        <v>8330000</v>
      </c>
      <c r="ES112" s="746">
        <f t="shared" si="94"/>
        <v>12500</v>
      </c>
      <c r="ET112" s="746">
        <f t="shared" si="95"/>
        <v>12500</v>
      </c>
      <c r="EU112" s="746">
        <f t="shared" si="96"/>
        <v>0</v>
      </c>
      <c r="EV112" s="746">
        <f t="shared" si="97"/>
        <v>8330</v>
      </c>
      <c r="EZ112" s="780" t="s">
        <v>355</v>
      </c>
      <c r="FA112" s="781" t="s">
        <v>415</v>
      </c>
      <c r="FB112" s="444">
        <v>4412500</v>
      </c>
      <c r="FC112" s="450">
        <f t="shared" si="98"/>
        <v>4412.5</v>
      </c>
      <c r="FG112" s="785" t="s">
        <v>553</v>
      </c>
      <c r="FH112" s="784" t="s">
        <v>494</v>
      </c>
      <c r="FI112" s="782">
        <v>12500000</v>
      </c>
      <c r="FJ112" s="783">
        <v>12500000</v>
      </c>
      <c r="FK112" s="783">
        <v>0</v>
      </c>
      <c r="FL112" s="783">
        <v>9371250</v>
      </c>
      <c r="FM112" s="450">
        <f t="shared" si="99"/>
        <v>12500</v>
      </c>
      <c r="FN112" s="450">
        <f t="shared" si="100"/>
        <v>12500</v>
      </c>
      <c r="FO112" s="450">
        <f t="shared" si="101"/>
        <v>0</v>
      </c>
      <c r="FP112" s="450">
        <f t="shared" si="102"/>
        <v>9371.25</v>
      </c>
      <c r="FT112" s="451" t="s">
        <v>553</v>
      </c>
      <c r="FU112" s="94" t="s">
        <v>532</v>
      </c>
      <c r="FV112" s="95">
        <v>3370000</v>
      </c>
      <c r="FW112" s="95">
        <v>0</v>
      </c>
      <c r="FX112" s="95">
        <v>12753813</v>
      </c>
      <c r="FY112" s="450">
        <f t="shared" si="103"/>
        <v>3370</v>
      </c>
      <c r="FZ112" s="450">
        <f t="shared" si="104"/>
        <v>0</v>
      </c>
      <c r="GA112" s="450">
        <f t="shared" si="105"/>
        <v>12753.813</v>
      </c>
      <c r="GG112" s="817" t="s">
        <v>553</v>
      </c>
      <c r="GH112" s="818" t="s">
        <v>494</v>
      </c>
      <c r="GI112" s="819">
        <v>12500000</v>
      </c>
      <c r="GJ112" s="819">
        <v>12500000</v>
      </c>
      <c r="GK112" s="819">
        <v>0</v>
      </c>
      <c r="GL112" s="819">
        <v>10412500</v>
      </c>
      <c r="GM112" s="819">
        <v>2087500</v>
      </c>
      <c r="GN112" s="450">
        <f t="shared" si="106"/>
        <v>12500</v>
      </c>
      <c r="GO112" s="450">
        <f t="shared" si="107"/>
        <v>12500</v>
      </c>
      <c r="GP112" s="450">
        <f t="shared" si="108"/>
        <v>0</v>
      </c>
      <c r="GQ112" s="450">
        <f t="shared" si="109"/>
        <v>10412.5</v>
      </c>
      <c r="GR112" s="450">
        <f t="shared" si="110"/>
        <v>2087.5</v>
      </c>
      <c r="GV112" s="841" t="s">
        <v>412</v>
      </c>
      <c r="GW112" s="840">
        <v>327021037</v>
      </c>
      <c r="GX112" s="450">
        <f t="shared" si="111"/>
        <v>327021.03700000001</v>
      </c>
      <c r="HB112" s="843" t="s">
        <v>402</v>
      </c>
      <c r="HC112" s="819">
        <v>98966196</v>
      </c>
      <c r="HD112" s="819">
        <v>98966196</v>
      </c>
      <c r="HE112" s="819">
        <v>0</v>
      </c>
      <c r="HF112" s="819">
        <v>98966196</v>
      </c>
      <c r="HG112" s="450">
        <f t="shared" si="112"/>
        <v>98966.195999999996</v>
      </c>
      <c r="HH112" s="450">
        <f t="shared" si="113"/>
        <v>0</v>
      </c>
      <c r="HI112" s="450">
        <f t="shared" si="114"/>
        <v>98966.195999999996</v>
      </c>
      <c r="HJ112" s="450">
        <f t="shared" si="115"/>
        <v>0</v>
      </c>
      <c r="HK112" s="450">
        <f t="shared" si="116"/>
        <v>98966.195999999996</v>
      </c>
    </row>
    <row r="113" spans="1:219" ht="15" customHeight="1" x14ac:dyDescent="0.3">
      <c r="A113" s="295" t="s">
        <v>449</v>
      </c>
      <c r="B113" s="296" t="s">
        <v>412</v>
      </c>
      <c r="C113" s="297">
        <v>253879000</v>
      </c>
      <c r="D113" s="298">
        <f t="shared" si="61"/>
        <v>269873.37699999998</v>
      </c>
      <c r="E113" s="297">
        <v>15471149</v>
      </c>
      <c r="F113" s="297">
        <f t="shared" si="62"/>
        <v>16445.831386999998</v>
      </c>
      <c r="Q113" s="299" t="s">
        <v>553</v>
      </c>
      <c r="R113" s="300" t="s">
        <v>411</v>
      </c>
      <c r="S113" s="301">
        <v>241639</v>
      </c>
      <c r="T113" s="301">
        <v>241639</v>
      </c>
      <c r="U113" s="301">
        <f t="shared" si="64"/>
        <v>256.862257</v>
      </c>
      <c r="V113" s="301">
        <f t="shared" si="65"/>
        <v>256.862257</v>
      </c>
      <c r="Z113" s="296" t="s">
        <v>417</v>
      </c>
      <c r="AA113" s="297">
        <v>6132258586</v>
      </c>
      <c r="AB113" s="297">
        <f t="shared" si="66"/>
        <v>6518590.8769180002</v>
      </c>
      <c r="AF113" s="296" t="s">
        <v>608</v>
      </c>
      <c r="AG113" s="297">
        <v>2808563</v>
      </c>
      <c r="AH113" s="297">
        <f t="shared" si="117"/>
        <v>2985.502469</v>
      </c>
      <c r="AI113" s="297">
        <v>2017759</v>
      </c>
      <c r="AL113" s="450"/>
      <c r="AN113" s="447" t="s">
        <v>553</v>
      </c>
      <c r="AO113" s="448" t="s">
        <v>531</v>
      </c>
      <c r="AP113" s="449">
        <v>24400000</v>
      </c>
      <c r="AQ113" s="449">
        <f t="shared" si="67"/>
        <v>25937.199999999997</v>
      </c>
      <c r="AU113" s="447" t="s">
        <v>355</v>
      </c>
      <c r="AV113" s="448" t="s">
        <v>608</v>
      </c>
      <c r="AW113" s="449">
        <v>3821063</v>
      </c>
      <c r="AX113" s="449">
        <v>2234049</v>
      </c>
      <c r="AY113" s="449">
        <v>1587014</v>
      </c>
      <c r="AZ113" s="450">
        <f t="shared" si="68"/>
        <v>4061.7899689999999</v>
      </c>
      <c r="BA113" s="450">
        <f t="shared" si="69"/>
        <v>2374.7940869999998</v>
      </c>
      <c r="BB113" s="450">
        <f t="shared" si="70"/>
        <v>1686.9958819999997</v>
      </c>
      <c r="BF113" s="447"/>
      <c r="BG113" s="448"/>
      <c r="BH113" s="449"/>
      <c r="BI113" s="450"/>
      <c r="BM113" s="451" t="s">
        <v>553</v>
      </c>
      <c r="BN113" s="94" t="s">
        <v>409</v>
      </c>
      <c r="BO113" s="95">
        <v>0</v>
      </c>
      <c r="BP113" s="95">
        <v>6600000</v>
      </c>
      <c r="BQ113" s="95">
        <v>1600000</v>
      </c>
      <c r="BR113" s="95">
        <v>5000000</v>
      </c>
      <c r="BS113" s="95">
        <v>1600000</v>
      </c>
      <c r="BT113" s="450">
        <f t="shared" si="72"/>
        <v>6600</v>
      </c>
      <c r="BU113" s="450">
        <f t="shared" si="73"/>
        <v>1600</v>
      </c>
      <c r="BV113" s="450">
        <f t="shared" si="74"/>
        <v>5000</v>
      </c>
      <c r="BW113" s="450">
        <f t="shared" si="75"/>
        <v>1600</v>
      </c>
      <c r="CA113" s="94" t="s">
        <v>415</v>
      </c>
      <c r="CB113" s="450">
        <v>8799999</v>
      </c>
      <c r="CC113" s="450">
        <f t="shared" si="76"/>
        <v>8799.9989999999998</v>
      </c>
      <c r="CG113" s="448" t="s">
        <v>408</v>
      </c>
      <c r="CH113" s="449">
        <v>0</v>
      </c>
      <c r="CI113" s="449">
        <v>757194553</v>
      </c>
      <c r="CJ113" s="449">
        <v>-757194553</v>
      </c>
      <c r="CK113" s="449">
        <v>754271361</v>
      </c>
      <c r="CL113" s="449">
        <v>2923192</v>
      </c>
      <c r="CM113" s="449">
        <v>279104253</v>
      </c>
      <c r="CN113" s="449">
        <f t="shared" si="77"/>
        <v>757194.55299999996</v>
      </c>
      <c r="CO113" s="449">
        <f t="shared" si="78"/>
        <v>754271.36100000003</v>
      </c>
      <c r="CP113" s="449">
        <f t="shared" si="79"/>
        <v>2923.192</v>
      </c>
      <c r="CQ113" s="449">
        <f t="shared" si="80"/>
        <v>279104.25300000003</v>
      </c>
      <c r="CU113" s="448" t="s">
        <v>620</v>
      </c>
      <c r="CV113" s="449">
        <v>2037482</v>
      </c>
      <c r="CW113" s="449">
        <v>14694842</v>
      </c>
      <c r="CX113" s="450">
        <f t="shared" si="81"/>
        <v>2037.482</v>
      </c>
      <c r="CY113" s="450">
        <f t="shared" si="82"/>
        <v>14694.842000000001</v>
      </c>
      <c r="DB113" s="602" t="s">
        <v>408</v>
      </c>
      <c r="DC113" s="603">
        <v>694748684</v>
      </c>
      <c r="DD113" s="603">
        <v>682874345</v>
      </c>
      <c r="DE113" s="603">
        <v>11874339</v>
      </c>
      <c r="DF113" s="603">
        <v>399505051</v>
      </c>
      <c r="DG113" s="604">
        <f t="shared" si="83"/>
        <v>694748.68400000001</v>
      </c>
      <c r="DH113" s="604">
        <f t="shared" si="84"/>
        <v>682874.34499999997</v>
      </c>
      <c r="DI113" s="604">
        <f t="shared" si="85"/>
        <v>11874.339</v>
      </c>
      <c r="DJ113" s="604">
        <f t="shared" si="86"/>
        <v>399505.05099999998</v>
      </c>
      <c r="DV113" s="94" t="s">
        <v>406</v>
      </c>
      <c r="DW113" s="95">
        <v>147471000</v>
      </c>
      <c r="DX113" s="95">
        <v>147471000</v>
      </c>
      <c r="DY113" s="95">
        <v>0</v>
      </c>
      <c r="DZ113" s="95">
        <v>114271000</v>
      </c>
      <c r="EA113" s="95">
        <f t="shared" si="89"/>
        <v>147471</v>
      </c>
      <c r="EB113" s="95">
        <f t="shared" si="90"/>
        <v>147471</v>
      </c>
      <c r="EC113" s="95">
        <f t="shared" si="91"/>
        <v>0</v>
      </c>
      <c r="ED113" s="95">
        <f t="shared" si="92"/>
        <v>114271</v>
      </c>
      <c r="EH113" s="444" t="s">
        <v>618</v>
      </c>
      <c r="EI113" s="444">
        <v>57335999</v>
      </c>
      <c r="EJ113" s="450">
        <f t="shared" si="93"/>
        <v>57335.999000000003</v>
      </c>
      <c r="EN113" s="444" t="s">
        <v>606</v>
      </c>
      <c r="EO113" s="450">
        <v>12464407</v>
      </c>
      <c r="EP113" s="450">
        <v>8464407</v>
      </c>
      <c r="EQ113" s="450">
        <v>4000000</v>
      </c>
      <c r="ER113" s="450">
        <v>8464407</v>
      </c>
      <c r="ES113" s="746">
        <f t="shared" si="94"/>
        <v>12464.406999999999</v>
      </c>
      <c r="ET113" s="746">
        <f t="shared" si="95"/>
        <v>8464.4069999999992</v>
      </c>
      <c r="EU113" s="746">
        <f t="shared" si="96"/>
        <v>4000</v>
      </c>
      <c r="EV113" s="746">
        <f t="shared" si="97"/>
        <v>8464.4069999999992</v>
      </c>
      <c r="EZ113" s="780" t="s">
        <v>553</v>
      </c>
      <c r="FA113" s="781" t="s">
        <v>620</v>
      </c>
      <c r="FB113" s="444">
        <v>4412500</v>
      </c>
      <c r="FC113" s="450">
        <f t="shared" si="98"/>
        <v>4412.5</v>
      </c>
      <c r="FG113" s="785" t="s">
        <v>355</v>
      </c>
      <c r="FH113" s="784" t="s">
        <v>606</v>
      </c>
      <c r="FI113" s="782">
        <v>12464407</v>
      </c>
      <c r="FJ113" s="783">
        <v>8464407</v>
      </c>
      <c r="FK113" s="783">
        <v>4000000</v>
      </c>
      <c r="FL113" s="783">
        <v>8464407</v>
      </c>
      <c r="FM113" s="450">
        <f t="shared" si="99"/>
        <v>12464.406999999999</v>
      </c>
      <c r="FN113" s="450">
        <f t="shared" si="100"/>
        <v>8464.4069999999992</v>
      </c>
      <c r="FO113" s="450">
        <f t="shared" si="101"/>
        <v>4000</v>
      </c>
      <c r="FP113" s="450">
        <f t="shared" si="102"/>
        <v>8464.4069999999992</v>
      </c>
      <c r="FT113" s="451" t="s">
        <v>355</v>
      </c>
      <c r="FU113" s="94" t="s">
        <v>495</v>
      </c>
      <c r="FV113" s="95">
        <v>0</v>
      </c>
      <c r="FW113" s="95">
        <v>40000000</v>
      </c>
      <c r="FX113" s="95">
        <v>40000000</v>
      </c>
      <c r="FY113" s="450">
        <f t="shared" si="103"/>
        <v>0</v>
      </c>
      <c r="FZ113" s="450">
        <f t="shared" si="104"/>
        <v>40000</v>
      </c>
      <c r="GA113" s="450">
        <f t="shared" si="105"/>
        <v>40000</v>
      </c>
      <c r="GG113" s="817" t="s">
        <v>355</v>
      </c>
      <c r="GH113" s="818" t="s">
        <v>606</v>
      </c>
      <c r="GI113" s="819">
        <v>14464407</v>
      </c>
      <c r="GJ113" s="819">
        <v>8464407</v>
      </c>
      <c r="GK113" s="819">
        <v>6000000</v>
      </c>
      <c r="GL113" s="819">
        <v>8464407</v>
      </c>
      <c r="GM113" s="819">
        <v>0</v>
      </c>
      <c r="GN113" s="450">
        <f t="shared" si="106"/>
        <v>14464.406999999999</v>
      </c>
      <c r="GO113" s="450">
        <f t="shared" si="107"/>
        <v>8464.4069999999992</v>
      </c>
      <c r="GP113" s="450">
        <f t="shared" si="108"/>
        <v>6000</v>
      </c>
      <c r="GQ113" s="450">
        <f t="shared" si="109"/>
        <v>8464.4069999999992</v>
      </c>
      <c r="GR113" s="450">
        <f t="shared" si="110"/>
        <v>0</v>
      </c>
      <c r="GV113" s="841" t="s">
        <v>538</v>
      </c>
      <c r="GW113" s="840">
        <v>81155000</v>
      </c>
      <c r="GX113" s="450">
        <f t="shared" si="111"/>
        <v>81155</v>
      </c>
      <c r="HB113" s="843" t="s">
        <v>403</v>
      </c>
      <c r="HC113" s="819">
        <v>718664228</v>
      </c>
      <c r="HD113" s="819">
        <v>718664228</v>
      </c>
      <c r="HE113" s="819">
        <v>0</v>
      </c>
      <c r="HF113" s="819">
        <v>718663428</v>
      </c>
      <c r="HG113" s="450">
        <f t="shared" si="112"/>
        <v>718664.228</v>
      </c>
      <c r="HH113" s="450">
        <f t="shared" si="113"/>
        <v>0</v>
      </c>
      <c r="HI113" s="450">
        <f t="shared" si="114"/>
        <v>718664.228</v>
      </c>
      <c r="HJ113" s="450">
        <f t="shared" si="115"/>
        <v>0</v>
      </c>
      <c r="HK113" s="450">
        <f t="shared" si="116"/>
        <v>718663.42799999996</v>
      </c>
    </row>
    <row r="114" spans="1:219" ht="15" customHeight="1" x14ac:dyDescent="0.3">
      <c r="A114" s="295" t="s">
        <v>355</v>
      </c>
      <c r="B114" s="296" t="s">
        <v>413</v>
      </c>
      <c r="C114" s="297">
        <v>253879000</v>
      </c>
      <c r="D114" s="298">
        <f t="shared" si="61"/>
        <v>269873.37699999998</v>
      </c>
      <c r="E114" s="297">
        <v>15471149</v>
      </c>
      <c r="F114" s="297">
        <f t="shared" si="62"/>
        <v>16445.831386999998</v>
      </c>
      <c r="Q114" s="299" t="s">
        <v>449</v>
      </c>
      <c r="R114" s="300" t="s">
        <v>412</v>
      </c>
      <c r="S114" s="301">
        <v>253879000</v>
      </c>
      <c r="T114" s="301">
        <v>29390511</v>
      </c>
      <c r="U114" s="301">
        <f t="shared" si="64"/>
        <v>269873.37699999998</v>
      </c>
      <c r="V114" s="301">
        <f t="shared" si="65"/>
        <v>31242.113192999997</v>
      </c>
      <c r="Z114" s="296" t="s">
        <v>418</v>
      </c>
      <c r="AA114" s="297">
        <v>6132258586</v>
      </c>
      <c r="AB114" s="297">
        <f t="shared" si="66"/>
        <v>6518590.8769180002</v>
      </c>
      <c r="AF114" s="296" t="s">
        <v>410</v>
      </c>
      <c r="AG114" s="297">
        <v>2566924</v>
      </c>
      <c r="AH114" s="297">
        <f t="shared" si="117"/>
        <v>2728.6402119999998</v>
      </c>
      <c r="AI114" s="297">
        <v>1776120</v>
      </c>
      <c r="AL114" s="450"/>
      <c r="AN114" s="447" t="s">
        <v>449</v>
      </c>
      <c r="AO114" s="448" t="s">
        <v>618</v>
      </c>
      <c r="AP114" s="449">
        <v>0</v>
      </c>
      <c r="AQ114" s="449">
        <f t="shared" si="67"/>
        <v>0</v>
      </c>
      <c r="AU114" s="447" t="s">
        <v>553</v>
      </c>
      <c r="AV114" s="448" t="s">
        <v>410</v>
      </c>
      <c r="AW114" s="449">
        <v>3566924</v>
      </c>
      <c r="AX114" s="449">
        <v>1979910</v>
      </c>
      <c r="AY114" s="449">
        <v>1587014</v>
      </c>
      <c r="AZ114" s="450">
        <f t="shared" si="68"/>
        <v>3791.6402119999998</v>
      </c>
      <c r="BA114" s="450">
        <f t="shared" si="69"/>
        <v>2104.6443300000001</v>
      </c>
      <c r="BB114" s="450">
        <f t="shared" si="70"/>
        <v>1686.9958819999997</v>
      </c>
      <c r="BF114" s="447"/>
      <c r="BG114" s="448"/>
      <c r="BH114" s="449"/>
      <c r="BI114" s="450"/>
      <c r="BM114" s="451" t="s">
        <v>355</v>
      </c>
      <c r="BN114" s="94" t="s">
        <v>608</v>
      </c>
      <c r="BO114" s="95">
        <v>0</v>
      </c>
      <c r="BP114" s="95">
        <v>3811063</v>
      </c>
      <c r="BQ114" s="95">
        <v>2819491</v>
      </c>
      <c r="BR114" s="95">
        <v>991572</v>
      </c>
      <c r="BS114" s="95">
        <v>2769341</v>
      </c>
      <c r="BT114" s="450">
        <f t="shared" si="72"/>
        <v>3811.0630000000001</v>
      </c>
      <c r="BU114" s="450">
        <f t="shared" si="73"/>
        <v>2819.491</v>
      </c>
      <c r="BV114" s="450">
        <f t="shared" si="74"/>
        <v>991.572</v>
      </c>
      <c r="BW114" s="450">
        <f t="shared" si="75"/>
        <v>2769.3409999999999</v>
      </c>
      <c r="CA114" s="94" t="s">
        <v>620</v>
      </c>
      <c r="CB114" s="450">
        <v>8799999</v>
      </c>
      <c r="CC114" s="450">
        <f t="shared" si="76"/>
        <v>8799.9989999999998</v>
      </c>
      <c r="CG114" s="448" t="s">
        <v>409</v>
      </c>
      <c r="CH114" s="449">
        <v>0</v>
      </c>
      <c r="CI114" s="449">
        <v>6600000</v>
      </c>
      <c r="CJ114" s="449">
        <v>-6600000</v>
      </c>
      <c r="CK114" s="449">
        <v>1600000</v>
      </c>
      <c r="CL114" s="449">
        <v>5000000</v>
      </c>
      <c r="CM114" s="449">
        <v>1600000</v>
      </c>
      <c r="CN114" s="449">
        <f t="shared" si="77"/>
        <v>6600</v>
      </c>
      <c r="CO114" s="449">
        <f t="shared" si="78"/>
        <v>1600</v>
      </c>
      <c r="CP114" s="449">
        <f t="shared" si="79"/>
        <v>5000</v>
      </c>
      <c r="CQ114" s="449">
        <f t="shared" si="80"/>
        <v>1600</v>
      </c>
      <c r="CU114" s="448" t="s">
        <v>416</v>
      </c>
      <c r="CV114" s="449">
        <v>255895592</v>
      </c>
      <c r="CW114" s="449">
        <v>255895592</v>
      </c>
      <c r="CX114" s="450">
        <f t="shared" si="81"/>
        <v>255895.592</v>
      </c>
      <c r="CY114" s="450">
        <f t="shared" si="82"/>
        <v>255895.592</v>
      </c>
      <c r="DB114" s="602" t="s">
        <v>409</v>
      </c>
      <c r="DC114" s="603">
        <v>6912970</v>
      </c>
      <c r="DD114" s="603">
        <v>1912970</v>
      </c>
      <c r="DE114" s="603">
        <v>5000000</v>
      </c>
      <c r="DF114" s="603">
        <v>1849900</v>
      </c>
      <c r="DG114" s="604">
        <f t="shared" si="83"/>
        <v>6912.97</v>
      </c>
      <c r="DH114" s="604">
        <f t="shared" si="84"/>
        <v>1912.97</v>
      </c>
      <c r="DI114" s="604">
        <f t="shared" si="85"/>
        <v>5000</v>
      </c>
      <c r="DJ114" s="604">
        <f t="shared" si="86"/>
        <v>1849.9</v>
      </c>
      <c r="DV114" s="94" t="s">
        <v>407</v>
      </c>
      <c r="DW114" s="95">
        <v>41756574</v>
      </c>
      <c r="DX114" s="95">
        <v>23756574</v>
      </c>
      <c r="DY114" s="95">
        <v>18000000</v>
      </c>
      <c r="DZ114" s="95">
        <v>6300000</v>
      </c>
      <c r="EA114" s="95">
        <f t="shared" si="89"/>
        <v>41756.574000000001</v>
      </c>
      <c r="EB114" s="95">
        <f t="shared" si="90"/>
        <v>23756.574000000001</v>
      </c>
      <c r="EC114" s="95">
        <f t="shared" si="91"/>
        <v>18000</v>
      </c>
      <c r="ED114" s="95">
        <f t="shared" si="92"/>
        <v>6300</v>
      </c>
      <c r="EH114" s="444" t="s">
        <v>414</v>
      </c>
      <c r="EI114" s="444">
        <v>0</v>
      </c>
      <c r="EJ114" s="450">
        <f t="shared" si="93"/>
        <v>0</v>
      </c>
      <c r="EN114" s="444" t="s">
        <v>405</v>
      </c>
      <c r="EO114" s="450">
        <v>12464407</v>
      </c>
      <c r="EP114" s="450">
        <v>8464407</v>
      </c>
      <c r="EQ114" s="450">
        <v>4000000</v>
      </c>
      <c r="ER114" s="450">
        <v>8464407</v>
      </c>
      <c r="ES114" s="746">
        <f t="shared" si="94"/>
        <v>12464.406999999999</v>
      </c>
      <c r="ET114" s="746">
        <f t="shared" si="95"/>
        <v>8464.4069999999992</v>
      </c>
      <c r="EU114" s="746">
        <f t="shared" si="96"/>
        <v>4000</v>
      </c>
      <c r="EV114" s="746">
        <f t="shared" si="97"/>
        <v>8464.4069999999992</v>
      </c>
      <c r="EZ114" s="780" t="s">
        <v>449</v>
      </c>
      <c r="FA114" s="781" t="s">
        <v>416</v>
      </c>
      <c r="FB114" s="444">
        <v>1513006736</v>
      </c>
      <c r="FC114" s="450">
        <f t="shared" si="98"/>
        <v>1513006.736</v>
      </c>
      <c r="FG114" s="785" t="s">
        <v>553</v>
      </c>
      <c r="FH114" s="784" t="s">
        <v>405</v>
      </c>
      <c r="FI114" s="782">
        <v>12464407</v>
      </c>
      <c r="FJ114" s="783">
        <v>8464407</v>
      </c>
      <c r="FK114" s="783">
        <v>4000000</v>
      </c>
      <c r="FL114" s="783">
        <v>8464407</v>
      </c>
      <c r="FM114" s="450">
        <f t="shared" si="99"/>
        <v>12464.406999999999</v>
      </c>
      <c r="FN114" s="450">
        <f t="shared" si="100"/>
        <v>8464.4069999999992</v>
      </c>
      <c r="FO114" s="450">
        <f t="shared" si="101"/>
        <v>4000</v>
      </c>
      <c r="FP114" s="450">
        <f t="shared" si="102"/>
        <v>8464.4069999999992</v>
      </c>
      <c r="FT114" s="451" t="s">
        <v>553</v>
      </c>
      <c r="FU114" s="94" t="s">
        <v>904</v>
      </c>
      <c r="FV114" s="95">
        <v>0</v>
      </c>
      <c r="FW114" s="95">
        <v>40000000</v>
      </c>
      <c r="FX114" s="95">
        <v>40000000</v>
      </c>
      <c r="FY114" s="450">
        <f t="shared" si="103"/>
        <v>0</v>
      </c>
      <c r="FZ114" s="450">
        <f t="shared" si="104"/>
        <v>40000</v>
      </c>
      <c r="GA114" s="450">
        <f t="shared" si="105"/>
        <v>40000</v>
      </c>
      <c r="GG114" s="817" t="s">
        <v>553</v>
      </c>
      <c r="GH114" s="818" t="s">
        <v>405</v>
      </c>
      <c r="GI114" s="819">
        <v>14464407</v>
      </c>
      <c r="GJ114" s="819">
        <v>8464407</v>
      </c>
      <c r="GK114" s="819">
        <v>6000000</v>
      </c>
      <c r="GL114" s="819">
        <v>8464407</v>
      </c>
      <c r="GM114" s="819">
        <v>0</v>
      </c>
      <c r="GN114" s="450">
        <f t="shared" si="106"/>
        <v>14464.406999999999</v>
      </c>
      <c r="GO114" s="450">
        <f t="shared" si="107"/>
        <v>8464.4069999999992</v>
      </c>
      <c r="GP114" s="450">
        <f t="shared" si="108"/>
        <v>6000</v>
      </c>
      <c r="GQ114" s="450">
        <f t="shared" si="109"/>
        <v>8464.4069999999992</v>
      </c>
      <c r="GR114" s="450">
        <f t="shared" si="110"/>
        <v>0</v>
      </c>
      <c r="GV114" s="841" t="s">
        <v>690</v>
      </c>
      <c r="GW114" s="840">
        <v>81155000</v>
      </c>
      <c r="GX114" s="450">
        <f t="shared" si="111"/>
        <v>81155</v>
      </c>
      <c r="HB114" s="843" t="s">
        <v>404</v>
      </c>
      <c r="HC114" s="819">
        <v>620195852</v>
      </c>
      <c r="HD114" s="819">
        <v>620195852</v>
      </c>
      <c r="HE114" s="819">
        <v>0</v>
      </c>
      <c r="HF114" s="819">
        <v>620195052</v>
      </c>
      <c r="HG114" s="450">
        <f t="shared" si="112"/>
        <v>620195.85199999996</v>
      </c>
      <c r="HH114" s="450">
        <f t="shared" si="113"/>
        <v>0</v>
      </c>
      <c r="HI114" s="450">
        <f t="shared" si="114"/>
        <v>620195.85199999996</v>
      </c>
      <c r="HJ114" s="450">
        <f t="shared" si="115"/>
        <v>0</v>
      </c>
      <c r="HK114" s="450">
        <f t="shared" si="116"/>
        <v>620195.05200000003</v>
      </c>
    </row>
    <row r="115" spans="1:219" ht="15" customHeight="1" x14ac:dyDescent="0.3">
      <c r="A115" s="295" t="s">
        <v>553</v>
      </c>
      <c r="B115" s="296" t="s">
        <v>614</v>
      </c>
      <c r="C115" s="297">
        <v>10000</v>
      </c>
      <c r="D115" s="298">
        <f t="shared" si="61"/>
        <v>10.629999999999999</v>
      </c>
      <c r="E115" s="297">
        <v>0</v>
      </c>
      <c r="F115" s="297">
        <f t="shared" si="62"/>
        <v>0</v>
      </c>
      <c r="Q115" s="299" t="s">
        <v>355</v>
      </c>
      <c r="R115" s="300" t="s">
        <v>413</v>
      </c>
      <c r="S115" s="301">
        <v>253879000</v>
      </c>
      <c r="T115" s="301">
        <v>29390511</v>
      </c>
      <c r="U115" s="301">
        <f t="shared" si="64"/>
        <v>269873.37699999998</v>
      </c>
      <c r="V115" s="301">
        <f t="shared" si="65"/>
        <v>31242.113192999997</v>
      </c>
      <c r="Z115" s="296" t="s">
        <v>419</v>
      </c>
      <c r="AA115" s="297">
        <v>1256207454</v>
      </c>
      <c r="AB115" s="297">
        <f t="shared" si="66"/>
        <v>1335348.5236019997</v>
      </c>
      <c r="AF115" s="296" t="s">
        <v>411</v>
      </c>
      <c r="AG115" s="297">
        <v>241639</v>
      </c>
      <c r="AH115" s="297">
        <f t="shared" si="117"/>
        <v>256.862257</v>
      </c>
      <c r="AI115" s="297">
        <v>241639</v>
      </c>
      <c r="AL115" s="450"/>
      <c r="AN115" s="447" t="s">
        <v>355</v>
      </c>
      <c r="AO115" s="448" t="s">
        <v>415</v>
      </c>
      <c r="AP115" s="449">
        <v>0</v>
      </c>
      <c r="AQ115" s="449">
        <f t="shared" si="67"/>
        <v>0</v>
      </c>
      <c r="AU115" s="447" t="s">
        <v>553</v>
      </c>
      <c r="AV115" s="448" t="s">
        <v>411</v>
      </c>
      <c r="AW115" s="449">
        <v>254139</v>
      </c>
      <c r="AX115" s="449">
        <v>254139</v>
      </c>
      <c r="AY115" s="449">
        <v>0</v>
      </c>
      <c r="AZ115" s="450">
        <f t="shared" si="68"/>
        <v>270.14975700000002</v>
      </c>
      <c r="BA115" s="450">
        <f t="shared" si="69"/>
        <v>270.14975700000002</v>
      </c>
      <c r="BB115" s="450">
        <f t="shared" si="70"/>
        <v>0</v>
      </c>
      <c r="BF115" s="447"/>
      <c r="BG115" s="448"/>
      <c r="BH115" s="449"/>
      <c r="BI115" s="450"/>
      <c r="BM115" s="451" t="s">
        <v>553</v>
      </c>
      <c r="BN115" s="94" t="s">
        <v>410</v>
      </c>
      <c r="BO115" s="95">
        <v>0</v>
      </c>
      <c r="BP115" s="95">
        <v>3566924</v>
      </c>
      <c r="BQ115" s="95">
        <v>2575352</v>
      </c>
      <c r="BR115" s="95">
        <v>991572</v>
      </c>
      <c r="BS115" s="95">
        <v>2525202</v>
      </c>
      <c r="BT115" s="450">
        <f t="shared" si="72"/>
        <v>3566.924</v>
      </c>
      <c r="BU115" s="450">
        <f t="shared" si="73"/>
        <v>2575.3519999999999</v>
      </c>
      <c r="BV115" s="450">
        <f t="shared" si="74"/>
        <v>991.572</v>
      </c>
      <c r="BW115" s="450">
        <f t="shared" si="75"/>
        <v>2525.2020000000002</v>
      </c>
      <c r="CA115" s="94" t="s">
        <v>416</v>
      </c>
      <c r="CB115" s="450">
        <v>141744195</v>
      </c>
      <c r="CC115" s="450">
        <f t="shared" si="76"/>
        <v>141744.19500000001</v>
      </c>
      <c r="CG115" s="448" t="s">
        <v>608</v>
      </c>
      <c r="CH115" s="449">
        <v>0</v>
      </c>
      <c r="CI115" s="449">
        <v>3808134</v>
      </c>
      <c r="CJ115" s="449">
        <v>-3808134</v>
      </c>
      <c r="CK115" s="449">
        <v>3333092</v>
      </c>
      <c r="CL115" s="449">
        <v>475042</v>
      </c>
      <c r="CM115" s="449">
        <v>3183052</v>
      </c>
      <c r="CN115" s="449">
        <f t="shared" si="77"/>
        <v>3808.134</v>
      </c>
      <c r="CO115" s="449">
        <f t="shared" si="78"/>
        <v>3333.0920000000001</v>
      </c>
      <c r="CP115" s="449">
        <f t="shared" si="79"/>
        <v>475.04199999999997</v>
      </c>
      <c r="CQ115" s="449">
        <f t="shared" si="80"/>
        <v>3183.0520000000001</v>
      </c>
      <c r="CU115" s="448" t="s">
        <v>417</v>
      </c>
      <c r="CV115" s="449">
        <v>0</v>
      </c>
      <c r="CW115" s="449">
        <v>0</v>
      </c>
      <c r="CX115" s="450">
        <f t="shared" si="81"/>
        <v>0</v>
      </c>
      <c r="CY115" s="450">
        <f t="shared" si="82"/>
        <v>0</v>
      </c>
      <c r="DB115" s="602" t="s">
        <v>608</v>
      </c>
      <c r="DC115" s="603">
        <v>4215104</v>
      </c>
      <c r="DD115" s="603">
        <v>3750602</v>
      </c>
      <c r="DE115" s="603">
        <v>464502</v>
      </c>
      <c r="DF115" s="603">
        <v>3596722</v>
      </c>
      <c r="DG115" s="604">
        <f t="shared" si="83"/>
        <v>4215.1040000000003</v>
      </c>
      <c r="DH115" s="604">
        <f t="shared" si="84"/>
        <v>3750.6019999999999</v>
      </c>
      <c r="DI115" s="604">
        <f t="shared" si="85"/>
        <v>464.50200000000001</v>
      </c>
      <c r="DJ115" s="604">
        <f t="shared" si="86"/>
        <v>3596.7220000000002</v>
      </c>
      <c r="DV115" s="94" t="s">
        <v>408</v>
      </c>
      <c r="DW115" s="95">
        <v>672238982</v>
      </c>
      <c r="DX115" s="95">
        <v>669285873</v>
      </c>
      <c r="DY115" s="95">
        <v>2953109</v>
      </c>
      <c r="DZ115" s="95">
        <v>465716750</v>
      </c>
      <c r="EA115" s="95">
        <f t="shared" si="89"/>
        <v>672238.98199999996</v>
      </c>
      <c r="EB115" s="95">
        <f t="shared" si="90"/>
        <v>669285.87300000002</v>
      </c>
      <c r="EC115" s="95">
        <f t="shared" si="91"/>
        <v>2953.1089999999999</v>
      </c>
      <c r="ED115" s="95">
        <f t="shared" si="92"/>
        <v>465716.75</v>
      </c>
      <c r="EH115" s="444" t="s">
        <v>619</v>
      </c>
      <c r="EI115" s="444">
        <v>0</v>
      </c>
      <c r="EJ115" s="450">
        <f t="shared" si="93"/>
        <v>0</v>
      </c>
      <c r="EN115" s="444" t="s">
        <v>607</v>
      </c>
      <c r="EO115" s="450">
        <v>836673883</v>
      </c>
      <c r="EP115" s="450">
        <v>738148883</v>
      </c>
      <c r="EQ115" s="450">
        <v>98525000</v>
      </c>
      <c r="ER115" s="450">
        <v>680662419</v>
      </c>
      <c r="ES115" s="746">
        <f t="shared" si="94"/>
        <v>836673.88300000003</v>
      </c>
      <c r="ET115" s="746">
        <f t="shared" si="95"/>
        <v>738148.88300000003</v>
      </c>
      <c r="EU115" s="746">
        <f t="shared" si="96"/>
        <v>98525</v>
      </c>
      <c r="EV115" s="746">
        <f t="shared" si="97"/>
        <v>680662.41899999999</v>
      </c>
      <c r="EZ115" s="780" t="s">
        <v>355</v>
      </c>
      <c r="FA115" s="781" t="s">
        <v>417</v>
      </c>
      <c r="FB115" s="444">
        <v>1445419089</v>
      </c>
      <c r="FC115" s="450">
        <f t="shared" si="98"/>
        <v>1445419.0889999999</v>
      </c>
      <c r="FG115" s="785" t="s">
        <v>355</v>
      </c>
      <c r="FH115" s="784" t="s">
        <v>607</v>
      </c>
      <c r="FI115" s="782">
        <v>1172863189</v>
      </c>
      <c r="FJ115" s="783">
        <v>986998888</v>
      </c>
      <c r="FK115" s="783">
        <v>185864301</v>
      </c>
      <c r="FL115" s="783">
        <v>788404118</v>
      </c>
      <c r="FM115" s="450">
        <f t="shared" si="99"/>
        <v>1172863.189</v>
      </c>
      <c r="FN115" s="450">
        <f t="shared" si="100"/>
        <v>986998.88800000004</v>
      </c>
      <c r="FO115" s="450">
        <f t="shared" si="101"/>
        <v>185864.30100000001</v>
      </c>
      <c r="FP115" s="450">
        <f t="shared" si="102"/>
        <v>788404.11800000002</v>
      </c>
      <c r="FT115" s="451" t="s">
        <v>449</v>
      </c>
      <c r="FU115" s="94" t="s">
        <v>638</v>
      </c>
      <c r="FV115" s="95">
        <v>0</v>
      </c>
      <c r="FW115" s="95">
        <v>2012000</v>
      </c>
      <c r="FX115" s="95">
        <v>34813770</v>
      </c>
      <c r="FY115" s="450">
        <f t="shared" si="103"/>
        <v>0</v>
      </c>
      <c r="FZ115" s="450">
        <f t="shared" si="104"/>
        <v>2012</v>
      </c>
      <c r="GA115" s="450">
        <f t="shared" si="105"/>
        <v>34813.769999999997</v>
      </c>
      <c r="GG115" s="817" t="s">
        <v>355</v>
      </c>
      <c r="GH115" s="818" t="s">
        <v>607</v>
      </c>
      <c r="GI115" s="819">
        <v>1201985028</v>
      </c>
      <c r="GJ115" s="819">
        <v>1089880829</v>
      </c>
      <c r="GK115" s="819">
        <v>112104199</v>
      </c>
      <c r="GL115" s="819">
        <v>876264791</v>
      </c>
      <c r="GM115" s="819">
        <v>213616038</v>
      </c>
      <c r="GN115" s="450">
        <f t="shared" si="106"/>
        <v>1201985.0279999999</v>
      </c>
      <c r="GO115" s="450">
        <f t="shared" si="107"/>
        <v>1089880.8289999999</v>
      </c>
      <c r="GP115" s="450">
        <f t="shared" si="108"/>
        <v>112104.19899999999</v>
      </c>
      <c r="GQ115" s="450">
        <f t="shared" si="109"/>
        <v>876264.79099999997</v>
      </c>
      <c r="GR115" s="450">
        <f t="shared" si="110"/>
        <v>213616.038</v>
      </c>
      <c r="GV115" s="841" t="s">
        <v>413</v>
      </c>
      <c r="GW115" s="840">
        <v>121075757</v>
      </c>
      <c r="GX115" s="450">
        <f t="shared" si="111"/>
        <v>121075.757</v>
      </c>
      <c r="HB115" s="843" t="s">
        <v>604</v>
      </c>
      <c r="HC115" s="819">
        <v>24026244</v>
      </c>
      <c r="HD115" s="819">
        <v>24026244</v>
      </c>
      <c r="HE115" s="819">
        <v>0</v>
      </c>
      <c r="HF115" s="819">
        <v>24026244</v>
      </c>
      <c r="HG115" s="450">
        <f t="shared" si="112"/>
        <v>24026.243999999999</v>
      </c>
      <c r="HH115" s="450">
        <f t="shared" si="113"/>
        <v>0</v>
      </c>
      <c r="HI115" s="450">
        <f t="shared" si="114"/>
        <v>24026.243999999999</v>
      </c>
      <c r="HJ115" s="450">
        <f t="shared" si="115"/>
        <v>0</v>
      </c>
      <c r="HK115" s="450">
        <f t="shared" si="116"/>
        <v>24026.243999999999</v>
      </c>
    </row>
    <row r="116" spans="1:219" ht="15" customHeight="1" x14ac:dyDescent="0.3">
      <c r="A116" s="295" t="s">
        <v>553</v>
      </c>
      <c r="B116" s="296" t="s">
        <v>532</v>
      </c>
      <c r="C116" s="297">
        <v>208482000</v>
      </c>
      <c r="D116" s="298">
        <f t="shared" si="61"/>
        <v>221616.36599999998</v>
      </c>
      <c r="E116" s="297">
        <v>15471149</v>
      </c>
      <c r="F116" s="297">
        <f t="shared" si="62"/>
        <v>16445.831386999998</v>
      </c>
      <c r="Q116" s="299" t="s">
        <v>553</v>
      </c>
      <c r="R116" s="300" t="s">
        <v>614</v>
      </c>
      <c r="S116" s="301">
        <v>10000</v>
      </c>
      <c r="T116" s="301">
        <v>0</v>
      </c>
      <c r="U116" s="301">
        <f t="shared" si="64"/>
        <v>10.629999999999999</v>
      </c>
      <c r="V116" s="301">
        <f t="shared" si="65"/>
        <v>0</v>
      </c>
      <c r="Z116" s="296" t="s">
        <v>420</v>
      </c>
      <c r="AA116" s="297">
        <v>1256207454</v>
      </c>
      <c r="AB116" s="297">
        <f t="shared" si="66"/>
        <v>1335348.5236019997</v>
      </c>
      <c r="AF116" s="296" t="s">
        <v>412</v>
      </c>
      <c r="AG116" s="297">
        <v>253879000</v>
      </c>
      <c r="AH116" s="297">
        <f t="shared" si="117"/>
        <v>269873.37699999998</v>
      </c>
      <c r="AI116" s="297">
        <v>61781158</v>
      </c>
      <c r="AL116" s="450"/>
      <c r="AN116" s="447" t="s">
        <v>553</v>
      </c>
      <c r="AO116" s="448" t="s">
        <v>620</v>
      </c>
      <c r="AP116" s="449">
        <v>0</v>
      </c>
      <c r="AQ116" s="449">
        <f t="shared" si="67"/>
        <v>0</v>
      </c>
      <c r="AU116" s="447" t="s">
        <v>449</v>
      </c>
      <c r="AV116" s="448" t="s">
        <v>610</v>
      </c>
      <c r="AW116" s="449">
        <v>4360000</v>
      </c>
      <c r="AX116" s="449">
        <v>4360000</v>
      </c>
      <c r="AY116" s="449">
        <v>0</v>
      </c>
      <c r="AZ116" s="450">
        <f t="shared" si="68"/>
        <v>4634.6799999999994</v>
      </c>
      <c r="BA116" s="450">
        <f t="shared" si="69"/>
        <v>4634.6799999999994</v>
      </c>
      <c r="BB116" s="450">
        <f t="shared" si="70"/>
        <v>0</v>
      </c>
      <c r="BF116" s="447"/>
      <c r="BG116" s="448"/>
      <c r="BH116" s="449"/>
      <c r="BI116" s="450"/>
      <c r="BM116" s="451" t="s">
        <v>553</v>
      </c>
      <c r="BN116" s="94" t="s">
        <v>411</v>
      </c>
      <c r="BO116" s="95">
        <v>0</v>
      </c>
      <c r="BP116" s="95">
        <v>244139</v>
      </c>
      <c r="BQ116" s="95">
        <v>244139</v>
      </c>
      <c r="BR116" s="95">
        <v>0</v>
      </c>
      <c r="BS116" s="95">
        <v>244139</v>
      </c>
      <c r="BT116" s="450">
        <f t="shared" si="72"/>
        <v>244.13900000000001</v>
      </c>
      <c r="BU116" s="450">
        <f t="shared" si="73"/>
        <v>244.13900000000001</v>
      </c>
      <c r="BV116" s="450">
        <f t="shared" si="74"/>
        <v>0</v>
      </c>
      <c r="BW116" s="450">
        <f t="shared" si="75"/>
        <v>244.13900000000001</v>
      </c>
      <c r="CA116" s="94" t="s">
        <v>417</v>
      </c>
      <c r="CB116" s="450">
        <v>118876727</v>
      </c>
      <c r="CC116" s="450">
        <f t="shared" si="76"/>
        <v>118876.727</v>
      </c>
      <c r="CG116" s="448" t="s">
        <v>410</v>
      </c>
      <c r="CH116" s="449">
        <v>0</v>
      </c>
      <c r="CI116" s="449">
        <v>3363004</v>
      </c>
      <c r="CJ116" s="449">
        <v>-3363004</v>
      </c>
      <c r="CK116" s="449">
        <v>2887962</v>
      </c>
      <c r="CL116" s="449">
        <v>475042</v>
      </c>
      <c r="CM116" s="449">
        <v>2887862</v>
      </c>
      <c r="CN116" s="449">
        <f t="shared" si="77"/>
        <v>3363.0039999999999</v>
      </c>
      <c r="CO116" s="449">
        <f t="shared" si="78"/>
        <v>2887.962</v>
      </c>
      <c r="CP116" s="449">
        <f t="shared" si="79"/>
        <v>475.04199999999997</v>
      </c>
      <c r="CQ116" s="449">
        <f t="shared" si="80"/>
        <v>2887.8620000000001</v>
      </c>
      <c r="CU116" s="448" t="s">
        <v>418</v>
      </c>
      <c r="CV116" s="449">
        <v>0</v>
      </c>
      <c r="CW116" s="449">
        <v>0</v>
      </c>
      <c r="CX116" s="450">
        <f t="shared" si="81"/>
        <v>0</v>
      </c>
      <c r="CY116" s="450">
        <f t="shared" si="82"/>
        <v>0</v>
      </c>
      <c r="DB116" s="602" t="s">
        <v>410</v>
      </c>
      <c r="DC116" s="603">
        <v>3769974</v>
      </c>
      <c r="DD116" s="603">
        <v>3305472</v>
      </c>
      <c r="DE116" s="603">
        <v>464502</v>
      </c>
      <c r="DF116" s="603">
        <v>3301532</v>
      </c>
      <c r="DG116" s="604">
        <f t="shared" si="83"/>
        <v>3769.9740000000002</v>
      </c>
      <c r="DH116" s="604">
        <f t="shared" si="84"/>
        <v>3305.4720000000002</v>
      </c>
      <c r="DI116" s="604">
        <f t="shared" si="85"/>
        <v>464.50200000000001</v>
      </c>
      <c r="DJ116" s="604">
        <f t="shared" si="86"/>
        <v>3301.5320000000002</v>
      </c>
      <c r="DV116" s="94" t="s">
        <v>409</v>
      </c>
      <c r="DW116" s="95">
        <v>6162870</v>
      </c>
      <c r="DX116" s="95">
        <v>6162870</v>
      </c>
      <c r="DY116" s="95">
        <v>0</v>
      </c>
      <c r="DZ116" s="95">
        <v>1849900</v>
      </c>
      <c r="EA116" s="95">
        <f t="shared" si="89"/>
        <v>6162.87</v>
      </c>
      <c r="EB116" s="95">
        <f t="shared" si="90"/>
        <v>6162.87</v>
      </c>
      <c r="EC116" s="95">
        <f t="shared" si="91"/>
        <v>0</v>
      </c>
      <c r="ED116" s="95">
        <f t="shared" si="92"/>
        <v>1849.9</v>
      </c>
      <c r="EH116" s="444" t="s">
        <v>415</v>
      </c>
      <c r="EI116" s="444">
        <v>57335999</v>
      </c>
      <c r="EJ116" s="450">
        <f t="shared" si="93"/>
        <v>57335.999000000003</v>
      </c>
      <c r="EN116" s="444" t="s">
        <v>406</v>
      </c>
      <c r="EO116" s="450">
        <v>162471000</v>
      </c>
      <c r="EP116" s="450">
        <v>147471000</v>
      </c>
      <c r="EQ116" s="450">
        <v>15000000</v>
      </c>
      <c r="ER116" s="450">
        <v>147471000</v>
      </c>
      <c r="ES116" s="746">
        <f t="shared" si="94"/>
        <v>162471</v>
      </c>
      <c r="ET116" s="746">
        <f t="shared" si="95"/>
        <v>147471</v>
      </c>
      <c r="EU116" s="746">
        <f t="shared" si="96"/>
        <v>15000</v>
      </c>
      <c r="EV116" s="746">
        <f t="shared" si="97"/>
        <v>147471</v>
      </c>
      <c r="EZ116" s="780" t="s">
        <v>553</v>
      </c>
      <c r="FA116" s="781" t="s">
        <v>418</v>
      </c>
      <c r="FB116" s="444">
        <v>1445419089</v>
      </c>
      <c r="FC116" s="450">
        <f t="shared" si="98"/>
        <v>1445419.0889999999</v>
      </c>
      <c r="FG116" s="785" t="s">
        <v>553</v>
      </c>
      <c r="FH116" s="784" t="s">
        <v>406</v>
      </c>
      <c r="FI116" s="782">
        <v>298278249</v>
      </c>
      <c r="FJ116" s="783">
        <v>186963000</v>
      </c>
      <c r="FK116" s="783">
        <v>111315249</v>
      </c>
      <c r="FL116" s="783">
        <v>186963000</v>
      </c>
      <c r="FM116" s="450">
        <f t="shared" si="99"/>
        <v>298278.24900000001</v>
      </c>
      <c r="FN116" s="450">
        <f t="shared" si="100"/>
        <v>186963</v>
      </c>
      <c r="FO116" s="450">
        <f t="shared" si="101"/>
        <v>111315.249</v>
      </c>
      <c r="FP116" s="450">
        <f t="shared" si="102"/>
        <v>186963</v>
      </c>
      <c r="FT116" s="451" t="s">
        <v>355</v>
      </c>
      <c r="FU116" s="94" t="s">
        <v>639</v>
      </c>
      <c r="FV116" s="95">
        <v>0</v>
      </c>
      <c r="FW116" s="95">
        <v>2012000</v>
      </c>
      <c r="FX116" s="95">
        <v>34813770</v>
      </c>
      <c r="FY116" s="450">
        <f t="shared" si="103"/>
        <v>0</v>
      </c>
      <c r="FZ116" s="450">
        <f t="shared" si="104"/>
        <v>2012</v>
      </c>
      <c r="GA116" s="450">
        <f t="shared" si="105"/>
        <v>34813.769999999997</v>
      </c>
      <c r="GG116" s="817" t="s">
        <v>553</v>
      </c>
      <c r="GH116" s="818" t="s">
        <v>406</v>
      </c>
      <c r="GI116" s="819">
        <v>314315154</v>
      </c>
      <c r="GJ116" s="819">
        <v>287665154</v>
      </c>
      <c r="GK116" s="819">
        <v>26650000</v>
      </c>
      <c r="GL116" s="819">
        <v>206709000</v>
      </c>
      <c r="GM116" s="819">
        <v>80956154</v>
      </c>
      <c r="GN116" s="450">
        <f t="shared" si="106"/>
        <v>314315.15399999998</v>
      </c>
      <c r="GO116" s="450">
        <f t="shared" si="107"/>
        <v>287665.15399999998</v>
      </c>
      <c r="GP116" s="450">
        <f t="shared" si="108"/>
        <v>26650</v>
      </c>
      <c r="GQ116" s="450">
        <f t="shared" si="109"/>
        <v>206709</v>
      </c>
      <c r="GR116" s="450">
        <f t="shared" si="110"/>
        <v>80956.153999999995</v>
      </c>
      <c r="GV116" s="841" t="s">
        <v>614</v>
      </c>
      <c r="GW116" s="840">
        <v>33000000</v>
      </c>
      <c r="GX116" s="450">
        <f t="shared" si="111"/>
        <v>33000</v>
      </c>
      <c r="HB116" s="843" t="s">
        <v>605</v>
      </c>
      <c r="HC116" s="819">
        <v>61947132</v>
      </c>
      <c r="HD116" s="819">
        <v>61947132</v>
      </c>
      <c r="HE116" s="819">
        <v>0</v>
      </c>
      <c r="HF116" s="819">
        <v>61947132</v>
      </c>
      <c r="HG116" s="450">
        <f t="shared" si="112"/>
        <v>61947.131999999998</v>
      </c>
      <c r="HH116" s="450">
        <f t="shared" si="113"/>
        <v>0</v>
      </c>
      <c r="HI116" s="450">
        <f t="shared" si="114"/>
        <v>61947.131999999998</v>
      </c>
      <c r="HJ116" s="450">
        <f t="shared" si="115"/>
        <v>0</v>
      </c>
      <c r="HK116" s="450">
        <f t="shared" si="116"/>
        <v>61947.131999999998</v>
      </c>
    </row>
    <row r="117" spans="1:219" ht="15" customHeight="1" x14ac:dyDescent="0.3">
      <c r="A117" s="295" t="s">
        <v>553</v>
      </c>
      <c r="B117" s="296" t="s">
        <v>531</v>
      </c>
      <c r="C117" s="297">
        <v>45387000</v>
      </c>
      <c r="D117" s="298">
        <f t="shared" si="61"/>
        <v>48246.380999999994</v>
      </c>
      <c r="E117" s="297">
        <v>0</v>
      </c>
      <c r="F117" s="297">
        <f t="shared" si="62"/>
        <v>0</v>
      </c>
      <c r="Q117" s="299" t="s">
        <v>553</v>
      </c>
      <c r="R117" s="300" t="s">
        <v>532</v>
      </c>
      <c r="S117" s="301">
        <v>208482000</v>
      </c>
      <c r="T117" s="301">
        <v>29390511</v>
      </c>
      <c r="U117" s="301">
        <f t="shared" si="64"/>
        <v>221616.36599999998</v>
      </c>
      <c r="V117" s="301">
        <f t="shared" si="65"/>
        <v>31242.113192999997</v>
      </c>
      <c r="Z117" s="296" t="s">
        <v>621</v>
      </c>
      <c r="AA117" s="297">
        <v>1256207454</v>
      </c>
      <c r="AB117" s="297">
        <f t="shared" si="66"/>
        <v>1335348.5236019997</v>
      </c>
      <c r="AF117" s="296" t="s">
        <v>413</v>
      </c>
      <c r="AG117" s="297">
        <v>253879000</v>
      </c>
      <c r="AH117" s="297">
        <f t="shared" si="117"/>
        <v>269873.37699999998</v>
      </c>
      <c r="AI117" s="297">
        <v>61781158</v>
      </c>
      <c r="AL117" s="450"/>
      <c r="AN117" s="447" t="s">
        <v>449</v>
      </c>
      <c r="AO117" s="448" t="s">
        <v>416</v>
      </c>
      <c r="AP117" s="449">
        <v>1322943917</v>
      </c>
      <c r="AQ117" s="449">
        <f t="shared" si="67"/>
        <v>1406289.3837709997</v>
      </c>
      <c r="AU117" s="447" t="s">
        <v>355</v>
      </c>
      <c r="AV117" s="448" t="s">
        <v>611</v>
      </c>
      <c r="AW117" s="449">
        <v>4360000</v>
      </c>
      <c r="AX117" s="449">
        <v>4360000</v>
      </c>
      <c r="AY117" s="449">
        <v>0</v>
      </c>
      <c r="AZ117" s="450">
        <f t="shared" si="68"/>
        <v>4634.6799999999994</v>
      </c>
      <c r="BA117" s="450">
        <f t="shared" si="69"/>
        <v>4634.6799999999994</v>
      </c>
      <c r="BB117" s="450">
        <f t="shared" si="70"/>
        <v>0</v>
      </c>
      <c r="BF117" s="447"/>
      <c r="BG117" s="448"/>
      <c r="BH117" s="449"/>
      <c r="BI117" s="450"/>
      <c r="BM117" s="451" t="s">
        <v>449</v>
      </c>
      <c r="BN117" s="94" t="s">
        <v>610</v>
      </c>
      <c r="BO117" s="95">
        <v>4360000</v>
      </c>
      <c r="BP117" s="95">
        <v>4360000</v>
      </c>
      <c r="BQ117" s="95">
        <v>4360000</v>
      </c>
      <c r="BR117" s="95">
        <v>0</v>
      </c>
      <c r="BS117" s="95">
        <v>4360000</v>
      </c>
      <c r="BT117" s="450">
        <f t="shared" si="72"/>
        <v>4360</v>
      </c>
      <c r="BU117" s="450">
        <f t="shared" si="73"/>
        <v>4360</v>
      </c>
      <c r="BV117" s="450">
        <f t="shared" si="74"/>
        <v>0</v>
      </c>
      <c r="BW117" s="450">
        <f t="shared" si="75"/>
        <v>4360</v>
      </c>
      <c r="CA117" s="94" t="s">
        <v>418</v>
      </c>
      <c r="CB117" s="450">
        <v>118876727</v>
      </c>
      <c r="CC117" s="450">
        <f t="shared" si="76"/>
        <v>118876.727</v>
      </c>
      <c r="CG117" s="448" t="s">
        <v>609</v>
      </c>
      <c r="CH117" s="449">
        <v>0</v>
      </c>
      <c r="CI117" s="449">
        <v>149940</v>
      </c>
      <c r="CJ117" s="449">
        <v>-149940</v>
      </c>
      <c r="CK117" s="449">
        <v>149940</v>
      </c>
      <c r="CL117" s="449">
        <v>0</v>
      </c>
      <c r="CM117" s="449">
        <v>0</v>
      </c>
      <c r="CN117" s="449">
        <f t="shared" si="77"/>
        <v>149.94</v>
      </c>
      <c r="CO117" s="449">
        <f t="shared" si="78"/>
        <v>149.94</v>
      </c>
      <c r="CP117" s="449">
        <f t="shared" si="79"/>
        <v>0</v>
      </c>
      <c r="CQ117" s="449">
        <f t="shared" si="80"/>
        <v>0</v>
      </c>
      <c r="CU117" s="448" t="s">
        <v>419</v>
      </c>
      <c r="CV117" s="449">
        <v>255588316</v>
      </c>
      <c r="CW117" s="449">
        <v>255588316</v>
      </c>
      <c r="CX117" s="450">
        <f t="shared" si="81"/>
        <v>255588.31599999999</v>
      </c>
      <c r="CY117" s="450">
        <f t="shared" si="82"/>
        <v>255588.31599999999</v>
      </c>
      <c r="DB117" s="602" t="s">
        <v>609</v>
      </c>
      <c r="DC117" s="603">
        <v>149940</v>
      </c>
      <c r="DD117" s="603">
        <v>149940</v>
      </c>
      <c r="DE117" s="603">
        <v>0</v>
      </c>
      <c r="DF117" s="603">
        <v>0</v>
      </c>
      <c r="DG117" s="604">
        <f t="shared" si="83"/>
        <v>149.94</v>
      </c>
      <c r="DH117" s="604">
        <f t="shared" si="84"/>
        <v>149.94</v>
      </c>
      <c r="DI117" s="604">
        <f t="shared" si="85"/>
        <v>0</v>
      </c>
      <c r="DJ117" s="604">
        <f t="shared" si="86"/>
        <v>0</v>
      </c>
      <c r="DV117" s="94" t="s">
        <v>608</v>
      </c>
      <c r="DW117" s="95">
        <v>10050298</v>
      </c>
      <c r="DX117" s="95">
        <v>5232462</v>
      </c>
      <c r="DY117" s="95">
        <v>4817836</v>
      </c>
      <c r="DZ117" s="95">
        <v>4205442</v>
      </c>
      <c r="EA117" s="95">
        <f t="shared" si="89"/>
        <v>10050.298000000001</v>
      </c>
      <c r="EB117" s="95">
        <f t="shared" si="90"/>
        <v>5232.4620000000004</v>
      </c>
      <c r="EC117" s="95">
        <f t="shared" si="91"/>
        <v>4817.8360000000002</v>
      </c>
      <c r="ED117" s="95">
        <f t="shared" si="92"/>
        <v>4205.442</v>
      </c>
      <c r="EH117" s="444" t="s">
        <v>620</v>
      </c>
      <c r="EI117" s="444">
        <v>57335999</v>
      </c>
      <c r="EJ117" s="450">
        <f t="shared" si="93"/>
        <v>57335.999000000003</v>
      </c>
      <c r="EN117" s="444" t="s">
        <v>407</v>
      </c>
      <c r="EO117" s="450">
        <v>54956574</v>
      </c>
      <c r="EP117" s="450">
        <v>28231574</v>
      </c>
      <c r="EQ117" s="450">
        <v>26725000</v>
      </c>
      <c r="ER117" s="450">
        <v>7600000</v>
      </c>
      <c r="ES117" s="746">
        <f t="shared" si="94"/>
        <v>54956.574000000001</v>
      </c>
      <c r="ET117" s="746">
        <f t="shared" si="95"/>
        <v>28231.574000000001</v>
      </c>
      <c r="EU117" s="746">
        <f t="shared" si="96"/>
        <v>26725</v>
      </c>
      <c r="EV117" s="746">
        <f t="shared" si="97"/>
        <v>7600</v>
      </c>
      <c r="EZ117" s="780" t="s">
        <v>355</v>
      </c>
      <c r="FA117" s="781" t="s">
        <v>419</v>
      </c>
      <c r="FB117" s="444">
        <v>67587647</v>
      </c>
      <c r="FC117" s="450">
        <f t="shared" si="98"/>
        <v>67587.646999999997</v>
      </c>
      <c r="FG117" s="785" t="s">
        <v>553</v>
      </c>
      <c r="FH117" s="784" t="s">
        <v>407</v>
      </c>
      <c r="FI117" s="782">
        <v>54956574</v>
      </c>
      <c r="FJ117" s="783">
        <v>39631574</v>
      </c>
      <c r="FK117" s="783">
        <v>15325000</v>
      </c>
      <c r="FL117" s="783">
        <v>15888000</v>
      </c>
      <c r="FM117" s="450">
        <f t="shared" si="99"/>
        <v>54956.574000000001</v>
      </c>
      <c r="FN117" s="450">
        <f t="shared" si="100"/>
        <v>39631.574000000001</v>
      </c>
      <c r="FO117" s="450">
        <f t="shared" si="101"/>
        <v>15325</v>
      </c>
      <c r="FP117" s="450">
        <f t="shared" si="102"/>
        <v>15888</v>
      </c>
      <c r="FT117" s="451" t="s">
        <v>449</v>
      </c>
      <c r="FU117" s="94" t="s">
        <v>618</v>
      </c>
      <c r="FV117" s="95">
        <v>0</v>
      </c>
      <c r="FW117" s="95">
        <v>13539743</v>
      </c>
      <c r="FX117" s="95">
        <v>104183</v>
      </c>
      <c r="FY117" s="450">
        <f t="shared" si="103"/>
        <v>0</v>
      </c>
      <c r="FZ117" s="450">
        <f t="shared" si="104"/>
        <v>13539.743</v>
      </c>
      <c r="GA117" s="450">
        <f t="shared" si="105"/>
        <v>104.18300000000001</v>
      </c>
      <c r="GG117" s="817" t="s">
        <v>553</v>
      </c>
      <c r="GH117" s="818" t="s">
        <v>407</v>
      </c>
      <c r="GI117" s="819">
        <v>55047000</v>
      </c>
      <c r="GJ117" s="819">
        <v>41811361</v>
      </c>
      <c r="GK117" s="819">
        <v>13235639</v>
      </c>
      <c r="GL117" s="819">
        <v>22835574</v>
      </c>
      <c r="GM117" s="819">
        <v>18975787</v>
      </c>
      <c r="GN117" s="450">
        <f t="shared" si="106"/>
        <v>55047</v>
      </c>
      <c r="GO117" s="450">
        <f t="shared" si="107"/>
        <v>41811.360999999997</v>
      </c>
      <c r="GP117" s="450">
        <f t="shared" si="108"/>
        <v>13235.638999999999</v>
      </c>
      <c r="GQ117" s="450">
        <f t="shared" si="109"/>
        <v>22835.574000000001</v>
      </c>
      <c r="GR117" s="450">
        <f t="shared" si="110"/>
        <v>18975.787</v>
      </c>
      <c r="GV117" s="841" t="s">
        <v>928</v>
      </c>
      <c r="GW117" s="840">
        <v>70000000</v>
      </c>
      <c r="GX117" s="450">
        <f t="shared" si="111"/>
        <v>70000</v>
      </c>
      <c r="HB117" s="843" t="s">
        <v>494</v>
      </c>
      <c r="HC117" s="819">
        <v>12495000</v>
      </c>
      <c r="HD117" s="819">
        <v>12495000</v>
      </c>
      <c r="HE117" s="819">
        <v>0</v>
      </c>
      <c r="HF117" s="819">
        <v>12495000</v>
      </c>
      <c r="HG117" s="450">
        <f t="shared" si="112"/>
        <v>12495</v>
      </c>
      <c r="HH117" s="450">
        <f t="shared" si="113"/>
        <v>0</v>
      </c>
      <c r="HI117" s="450">
        <f t="shared" si="114"/>
        <v>12495</v>
      </c>
      <c r="HJ117" s="450">
        <f t="shared" si="115"/>
        <v>0</v>
      </c>
      <c r="HK117" s="450">
        <f t="shared" si="116"/>
        <v>12495</v>
      </c>
    </row>
    <row r="118" spans="1:219" ht="15" customHeight="1" x14ac:dyDescent="0.3">
      <c r="A118" s="295" t="s">
        <v>449</v>
      </c>
      <c r="B118" s="296" t="s">
        <v>638</v>
      </c>
      <c r="C118" s="297">
        <v>155587000</v>
      </c>
      <c r="D118" s="298">
        <f t="shared" si="61"/>
        <v>165388.981</v>
      </c>
      <c r="E118" s="297">
        <v>0</v>
      </c>
      <c r="F118" s="297">
        <f t="shared" si="62"/>
        <v>0</v>
      </c>
      <c r="Q118" s="299" t="s">
        <v>553</v>
      </c>
      <c r="R118" s="300" t="s">
        <v>531</v>
      </c>
      <c r="S118" s="301">
        <v>45387000</v>
      </c>
      <c r="T118" s="301">
        <v>0</v>
      </c>
      <c r="U118" s="301">
        <f t="shared" si="64"/>
        <v>48246.380999999994</v>
      </c>
      <c r="V118" s="301">
        <f t="shared" si="65"/>
        <v>0</v>
      </c>
      <c r="Z118" s="296" t="s">
        <v>422</v>
      </c>
      <c r="AA118" s="297">
        <v>26183313</v>
      </c>
      <c r="AB118" s="297">
        <f t="shared" si="66"/>
        <v>27832.861718999997</v>
      </c>
      <c r="AF118" s="296" t="s">
        <v>614</v>
      </c>
      <c r="AG118" s="297">
        <v>10000</v>
      </c>
      <c r="AH118" s="297">
        <f t="shared" si="117"/>
        <v>10.629999999999999</v>
      </c>
      <c r="AI118" s="297">
        <v>0</v>
      </c>
      <c r="AL118" s="450"/>
      <c r="AN118" s="447" t="s">
        <v>355</v>
      </c>
      <c r="AO118" s="448" t="s">
        <v>417</v>
      </c>
      <c r="AP118" s="449">
        <v>1290617897</v>
      </c>
      <c r="AQ118" s="449">
        <f t="shared" si="67"/>
        <v>1371926.824511</v>
      </c>
      <c r="AU118" s="447" t="s">
        <v>553</v>
      </c>
      <c r="AV118" s="448" t="s">
        <v>612</v>
      </c>
      <c r="AW118" s="449">
        <v>4360000</v>
      </c>
      <c r="AX118" s="449">
        <v>4360000</v>
      </c>
      <c r="AY118" s="449">
        <v>0</v>
      </c>
      <c r="AZ118" s="450">
        <f t="shared" si="68"/>
        <v>4634.6799999999994</v>
      </c>
      <c r="BA118" s="450">
        <f t="shared" si="69"/>
        <v>4634.6799999999994</v>
      </c>
      <c r="BB118" s="450">
        <f t="shared" si="70"/>
        <v>0</v>
      </c>
      <c r="BF118" s="447"/>
      <c r="BG118" s="448"/>
      <c r="BH118" s="449"/>
      <c r="BI118" s="450"/>
      <c r="BM118" s="451" t="s">
        <v>355</v>
      </c>
      <c r="BN118" s="94" t="s">
        <v>611</v>
      </c>
      <c r="BO118" s="95">
        <v>4360000</v>
      </c>
      <c r="BP118" s="95">
        <v>4360000</v>
      </c>
      <c r="BQ118" s="95">
        <v>4360000</v>
      </c>
      <c r="BR118" s="95">
        <v>0</v>
      </c>
      <c r="BS118" s="95">
        <v>4360000</v>
      </c>
      <c r="BT118" s="450">
        <f t="shared" si="72"/>
        <v>4360</v>
      </c>
      <c r="BU118" s="450">
        <f t="shared" si="73"/>
        <v>4360</v>
      </c>
      <c r="BV118" s="450">
        <f t="shared" si="74"/>
        <v>0</v>
      </c>
      <c r="BW118" s="450">
        <f t="shared" si="75"/>
        <v>4360</v>
      </c>
      <c r="CA118" s="94" t="s">
        <v>419</v>
      </c>
      <c r="CB118" s="450">
        <v>22867468</v>
      </c>
      <c r="CC118" s="450">
        <f t="shared" si="76"/>
        <v>22867.468000000001</v>
      </c>
      <c r="CG118" s="448" t="s">
        <v>411</v>
      </c>
      <c r="CH118" s="449">
        <v>0</v>
      </c>
      <c r="CI118" s="449">
        <v>295190</v>
      </c>
      <c r="CJ118" s="449">
        <v>-295190</v>
      </c>
      <c r="CK118" s="449">
        <v>295190</v>
      </c>
      <c r="CL118" s="449">
        <v>0</v>
      </c>
      <c r="CM118" s="449">
        <v>295190</v>
      </c>
      <c r="CN118" s="449">
        <f t="shared" si="77"/>
        <v>295.19</v>
      </c>
      <c r="CO118" s="449">
        <f t="shared" si="78"/>
        <v>295.19</v>
      </c>
      <c r="CP118" s="449">
        <f t="shared" si="79"/>
        <v>0</v>
      </c>
      <c r="CQ118" s="449">
        <f t="shared" si="80"/>
        <v>295.19</v>
      </c>
      <c r="CU118" s="448" t="s">
        <v>420</v>
      </c>
      <c r="CV118" s="449">
        <v>255588316</v>
      </c>
      <c r="CW118" s="449">
        <v>255588316</v>
      </c>
      <c r="CX118" s="450">
        <f t="shared" si="81"/>
        <v>255588.31599999999</v>
      </c>
      <c r="CY118" s="450">
        <f t="shared" si="82"/>
        <v>255588.31599999999</v>
      </c>
      <c r="DB118" s="602" t="s">
        <v>411</v>
      </c>
      <c r="DC118" s="603">
        <v>295190</v>
      </c>
      <c r="DD118" s="603">
        <v>295190</v>
      </c>
      <c r="DE118" s="603">
        <v>0</v>
      </c>
      <c r="DF118" s="603">
        <v>295190</v>
      </c>
      <c r="DG118" s="604">
        <f t="shared" si="83"/>
        <v>295.19</v>
      </c>
      <c r="DH118" s="604">
        <f t="shared" si="84"/>
        <v>295.19</v>
      </c>
      <c r="DI118" s="604">
        <f t="shared" si="85"/>
        <v>0</v>
      </c>
      <c r="DJ118" s="604">
        <f t="shared" si="86"/>
        <v>295.19</v>
      </c>
      <c r="DV118" s="94" t="s">
        <v>410</v>
      </c>
      <c r="DW118" s="95">
        <v>3907332</v>
      </c>
      <c r="DX118" s="95">
        <v>3907332</v>
      </c>
      <c r="DY118" s="95">
        <v>0</v>
      </c>
      <c r="DZ118" s="95">
        <v>3760312</v>
      </c>
      <c r="EA118" s="95">
        <f t="shared" si="89"/>
        <v>3907.3319999999999</v>
      </c>
      <c r="EB118" s="95">
        <f t="shared" si="90"/>
        <v>3907.3319999999999</v>
      </c>
      <c r="EC118" s="95">
        <f t="shared" si="91"/>
        <v>0</v>
      </c>
      <c r="ED118" s="95">
        <f t="shared" si="92"/>
        <v>3760.3119999999999</v>
      </c>
      <c r="EJ118" s="450">
        <f>SUM(EJ3:EJ117)</f>
        <v>8596315.0289999973</v>
      </c>
      <c r="EN118" s="444" t="s">
        <v>408</v>
      </c>
      <c r="EO118" s="450">
        <v>613083439</v>
      </c>
      <c r="EP118" s="450">
        <v>556283439</v>
      </c>
      <c r="EQ118" s="450">
        <v>56800000</v>
      </c>
      <c r="ER118" s="450">
        <v>523678449</v>
      </c>
      <c r="ES118" s="746">
        <f t="shared" si="94"/>
        <v>613083.43900000001</v>
      </c>
      <c r="ET118" s="746">
        <f t="shared" si="95"/>
        <v>556283.43900000001</v>
      </c>
      <c r="EU118" s="746">
        <f t="shared" si="96"/>
        <v>56800</v>
      </c>
      <c r="EV118" s="746">
        <f t="shared" si="97"/>
        <v>523678.44900000002</v>
      </c>
      <c r="EZ118" s="780" t="s">
        <v>553</v>
      </c>
      <c r="FA118" s="781" t="s">
        <v>420</v>
      </c>
      <c r="FB118" s="444">
        <v>67587647</v>
      </c>
      <c r="FC118" s="450">
        <f t="shared" si="98"/>
        <v>67587.646999999997</v>
      </c>
      <c r="FG118" s="785" t="s">
        <v>553</v>
      </c>
      <c r="FH118" s="784" t="s">
        <v>408</v>
      </c>
      <c r="FI118" s="782">
        <v>813465496</v>
      </c>
      <c r="FJ118" s="783">
        <v>754241444</v>
      </c>
      <c r="FK118" s="783">
        <v>59224052</v>
      </c>
      <c r="FL118" s="783">
        <v>581640148</v>
      </c>
      <c r="FM118" s="450">
        <f t="shared" si="99"/>
        <v>813465.49600000004</v>
      </c>
      <c r="FN118" s="450">
        <f t="shared" si="100"/>
        <v>754241.44400000002</v>
      </c>
      <c r="FO118" s="450">
        <f t="shared" si="101"/>
        <v>59224.052000000003</v>
      </c>
      <c r="FP118" s="450">
        <f t="shared" si="102"/>
        <v>581640.14800000004</v>
      </c>
      <c r="FT118" s="451" t="s">
        <v>355</v>
      </c>
      <c r="FU118" s="94" t="s">
        <v>414</v>
      </c>
      <c r="FV118" s="95">
        <v>0</v>
      </c>
      <c r="FW118" s="95">
        <v>104183</v>
      </c>
      <c r="FX118" s="95">
        <v>104183</v>
      </c>
      <c r="FY118" s="450">
        <f t="shared" si="103"/>
        <v>0</v>
      </c>
      <c r="FZ118" s="450">
        <f t="shared" si="104"/>
        <v>104.18300000000001</v>
      </c>
      <c r="GA118" s="450">
        <f t="shared" si="105"/>
        <v>104.18300000000001</v>
      </c>
      <c r="GG118" s="817" t="s">
        <v>553</v>
      </c>
      <c r="GH118" s="818" t="s">
        <v>408</v>
      </c>
      <c r="GI118" s="819">
        <v>826460004</v>
      </c>
      <c r="GJ118" s="819">
        <v>754241444</v>
      </c>
      <c r="GK118" s="819">
        <v>72218560</v>
      </c>
      <c r="GL118" s="819">
        <v>640807247</v>
      </c>
      <c r="GM118" s="819">
        <v>113434197</v>
      </c>
      <c r="GN118" s="450">
        <f t="shared" si="106"/>
        <v>826460.00399999996</v>
      </c>
      <c r="GO118" s="450">
        <f t="shared" si="107"/>
        <v>754241.44400000002</v>
      </c>
      <c r="GP118" s="450">
        <f t="shared" si="108"/>
        <v>72218.559999999998</v>
      </c>
      <c r="GQ118" s="450">
        <f t="shared" si="109"/>
        <v>640807.24699999997</v>
      </c>
      <c r="GR118" s="450">
        <f t="shared" si="110"/>
        <v>113434.197</v>
      </c>
      <c r="GV118" s="841" t="s">
        <v>532</v>
      </c>
      <c r="GW118" s="840">
        <v>18075757</v>
      </c>
      <c r="GX118" s="450">
        <f t="shared" si="111"/>
        <v>18075.757000000001</v>
      </c>
      <c r="HB118" s="843" t="s">
        <v>606</v>
      </c>
      <c r="HC118" s="819">
        <v>12736870</v>
      </c>
      <c r="HD118" s="819">
        <v>12736870</v>
      </c>
      <c r="HE118" s="819">
        <v>0</v>
      </c>
      <c r="HF118" s="819">
        <v>12736870</v>
      </c>
      <c r="HG118" s="450">
        <f t="shared" si="112"/>
        <v>12736.87</v>
      </c>
      <c r="HH118" s="450">
        <f t="shared" si="113"/>
        <v>0</v>
      </c>
      <c r="HI118" s="450">
        <f t="shared" si="114"/>
        <v>12736.87</v>
      </c>
      <c r="HJ118" s="450">
        <f t="shared" si="115"/>
        <v>0</v>
      </c>
      <c r="HK118" s="450">
        <f t="shared" si="116"/>
        <v>12736.87</v>
      </c>
    </row>
    <row r="119" spans="1:219" ht="15" customHeight="1" x14ac:dyDescent="0.3">
      <c r="A119" s="295" t="s">
        <v>355</v>
      </c>
      <c r="B119" s="296" t="s">
        <v>639</v>
      </c>
      <c r="C119" s="297">
        <v>155587000</v>
      </c>
      <c r="D119" s="298">
        <f t="shared" si="61"/>
        <v>165388.981</v>
      </c>
      <c r="E119" s="297">
        <v>0</v>
      </c>
      <c r="F119" s="297">
        <f t="shared" si="62"/>
        <v>0</v>
      </c>
      <c r="Q119" s="299" t="s">
        <v>449</v>
      </c>
      <c r="R119" s="300" t="s">
        <v>638</v>
      </c>
      <c r="S119" s="301">
        <v>155587000</v>
      </c>
      <c r="T119" s="301">
        <v>0</v>
      </c>
      <c r="U119" s="301">
        <f t="shared" si="64"/>
        <v>165388.981</v>
      </c>
      <c r="V119" s="301">
        <f t="shared" si="65"/>
        <v>0</v>
      </c>
      <c r="AF119" s="296" t="s">
        <v>532</v>
      </c>
      <c r="AG119" s="297">
        <v>208482000</v>
      </c>
      <c r="AH119" s="297">
        <f t="shared" si="117"/>
        <v>221616.36599999998</v>
      </c>
      <c r="AI119" s="297">
        <v>43901158</v>
      </c>
      <c r="AL119" s="450"/>
      <c r="AN119" s="447" t="s">
        <v>553</v>
      </c>
      <c r="AO119" s="448" t="s">
        <v>418</v>
      </c>
      <c r="AP119" s="449">
        <v>1290617897</v>
      </c>
      <c r="AQ119" s="449">
        <f t="shared" si="67"/>
        <v>1371926.824511</v>
      </c>
      <c r="AU119" s="447" t="s">
        <v>449</v>
      </c>
      <c r="AV119" s="448" t="s">
        <v>412</v>
      </c>
      <c r="AW119" s="449">
        <v>253879000</v>
      </c>
      <c r="AX119" s="449">
        <v>194850946</v>
      </c>
      <c r="AY119" s="449">
        <v>59028054</v>
      </c>
      <c r="AZ119" s="450">
        <f t="shared" si="68"/>
        <v>269873.37699999998</v>
      </c>
      <c r="BA119" s="450">
        <f t="shared" si="69"/>
        <v>207126.55559799998</v>
      </c>
      <c r="BB119" s="450">
        <f t="shared" si="70"/>
        <v>62746.821401999994</v>
      </c>
      <c r="BF119" s="447"/>
      <c r="BG119" s="448"/>
      <c r="BH119" s="449"/>
      <c r="BI119" s="450"/>
      <c r="BM119" s="451" t="s">
        <v>553</v>
      </c>
      <c r="BN119" s="94" t="s">
        <v>612</v>
      </c>
      <c r="BO119" s="95">
        <v>0</v>
      </c>
      <c r="BP119" s="95">
        <v>4360000</v>
      </c>
      <c r="BQ119" s="95">
        <v>4360000</v>
      </c>
      <c r="BR119" s="95">
        <v>0</v>
      </c>
      <c r="BS119" s="95">
        <v>4360000</v>
      </c>
      <c r="BT119" s="450">
        <f t="shared" si="72"/>
        <v>4360</v>
      </c>
      <c r="BU119" s="450">
        <f t="shared" si="73"/>
        <v>4360</v>
      </c>
      <c r="BV119" s="450">
        <f t="shared" si="74"/>
        <v>0</v>
      </c>
      <c r="BW119" s="450">
        <f t="shared" si="75"/>
        <v>4360</v>
      </c>
      <c r="CA119" s="94" t="s">
        <v>420</v>
      </c>
      <c r="CB119" s="450">
        <v>22867468</v>
      </c>
      <c r="CC119" s="450">
        <f t="shared" si="76"/>
        <v>22867.468000000001</v>
      </c>
      <c r="CG119" s="448" t="s">
        <v>610</v>
      </c>
      <c r="CH119" s="449">
        <v>4360000</v>
      </c>
      <c r="CI119" s="449">
        <v>4360000</v>
      </c>
      <c r="CJ119" s="449">
        <v>0</v>
      </c>
      <c r="CK119" s="449">
        <v>4360000</v>
      </c>
      <c r="CL119" s="449">
        <v>0</v>
      </c>
      <c r="CM119" s="449">
        <v>4360000</v>
      </c>
      <c r="CN119" s="449">
        <f t="shared" si="77"/>
        <v>4360</v>
      </c>
      <c r="CO119" s="449">
        <f t="shared" si="78"/>
        <v>4360</v>
      </c>
      <c r="CP119" s="449">
        <f t="shared" si="79"/>
        <v>0</v>
      </c>
      <c r="CQ119" s="449">
        <f t="shared" si="80"/>
        <v>4360</v>
      </c>
      <c r="CU119" s="448" t="s">
        <v>621</v>
      </c>
      <c r="CV119" s="449">
        <v>255588316</v>
      </c>
      <c r="CW119" s="449">
        <v>255588316</v>
      </c>
      <c r="CX119" s="450">
        <f t="shared" si="81"/>
        <v>255588.31599999999</v>
      </c>
      <c r="CY119" s="450">
        <f t="shared" si="82"/>
        <v>255588.31599999999</v>
      </c>
      <c r="DB119" s="602" t="s">
        <v>610</v>
      </c>
      <c r="DC119" s="603">
        <v>4360000</v>
      </c>
      <c r="DD119" s="603">
        <v>4360000</v>
      </c>
      <c r="DE119" s="603">
        <v>0</v>
      </c>
      <c r="DF119" s="603">
        <v>4360000</v>
      </c>
      <c r="DG119" s="604">
        <f t="shared" si="83"/>
        <v>4360</v>
      </c>
      <c r="DH119" s="604">
        <f t="shared" si="84"/>
        <v>4360</v>
      </c>
      <c r="DI119" s="604">
        <f t="shared" si="85"/>
        <v>0</v>
      </c>
      <c r="DJ119" s="604">
        <f t="shared" si="86"/>
        <v>4360</v>
      </c>
      <c r="DV119" s="94" t="s">
        <v>609</v>
      </c>
      <c r="DW119" s="95">
        <v>1029940</v>
      </c>
      <c r="DX119" s="95">
        <v>1029940</v>
      </c>
      <c r="DY119" s="95">
        <v>0</v>
      </c>
      <c r="DZ119" s="95">
        <v>149940</v>
      </c>
      <c r="EA119" s="95">
        <f t="shared" si="89"/>
        <v>1029.94</v>
      </c>
      <c r="EB119" s="95">
        <f t="shared" si="90"/>
        <v>1029.94</v>
      </c>
      <c r="EC119" s="95">
        <f t="shared" si="91"/>
        <v>0</v>
      </c>
      <c r="ED119" s="95">
        <f t="shared" si="92"/>
        <v>149.94</v>
      </c>
      <c r="EJ119" s="450"/>
      <c r="EN119" s="444" t="s">
        <v>409</v>
      </c>
      <c r="EO119" s="450">
        <v>6162870</v>
      </c>
      <c r="EP119" s="450">
        <v>6162870</v>
      </c>
      <c r="EQ119" s="450">
        <v>0</v>
      </c>
      <c r="ER119" s="450">
        <v>1912970</v>
      </c>
      <c r="ES119" s="746">
        <f t="shared" si="94"/>
        <v>6162.87</v>
      </c>
      <c r="ET119" s="746">
        <f t="shared" si="95"/>
        <v>6162.87</v>
      </c>
      <c r="EU119" s="746">
        <f t="shared" si="96"/>
        <v>0</v>
      </c>
      <c r="EV119" s="746">
        <f t="shared" si="97"/>
        <v>1912.97</v>
      </c>
      <c r="EZ119" s="780" t="s">
        <v>554</v>
      </c>
      <c r="FA119" s="781" t="s">
        <v>621</v>
      </c>
      <c r="FB119" s="444">
        <v>67587647</v>
      </c>
      <c r="FC119" s="450">
        <f t="shared" si="98"/>
        <v>67587.646999999997</v>
      </c>
      <c r="FG119" s="785" t="s">
        <v>553</v>
      </c>
      <c r="FH119" s="784" t="s">
        <v>409</v>
      </c>
      <c r="FI119" s="782">
        <v>6162870</v>
      </c>
      <c r="FJ119" s="783">
        <v>6162870</v>
      </c>
      <c r="FK119" s="783">
        <v>0</v>
      </c>
      <c r="FL119" s="783">
        <v>3912970</v>
      </c>
      <c r="FM119" s="450">
        <f t="shared" si="99"/>
        <v>6162.87</v>
      </c>
      <c r="FN119" s="450">
        <f t="shared" si="100"/>
        <v>6162.87</v>
      </c>
      <c r="FO119" s="450">
        <f t="shared" si="101"/>
        <v>0</v>
      </c>
      <c r="FP119" s="450">
        <f t="shared" si="102"/>
        <v>3912.97</v>
      </c>
      <c r="FT119" s="451" t="s">
        <v>553</v>
      </c>
      <c r="FU119" s="94" t="s">
        <v>619</v>
      </c>
      <c r="FV119" s="95">
        <v>0</v>
      </c>
      <c r="FW119" s="95">
        <v>104183</v>
      </c>
      <c r="FX119" s="95">
        <v>104183</v>
      </c>
      <c r="FY119" s="450">
        <f t="shared" si="103"/>
        <v>0</v>
      </c>
      <c r="FZ119" s="450">
        <f t="shared" si="104"/>
        <v>104.18300000000001</v>
      </c>
      <c r="GA119" s="450">
        <f t="shared" si="105"/>
        <v>104.18300000000001</v>
      </c>
      <c r="GG119" s="817" t="s">
        <v>553</v>
      </c>
      <c r="GH119" s="818" t="s">
        <v>409</v>
      </c>
      <c r="GI119" s="819">
        <v>6162870</v>
      </c>
      <c r="GJ119" s="819">
        <v>6162870</v>
      </c>
      <c r="GK119" s="819">
        <v>0</v>
      </c>
      <c r="GL119" s="819">
        <v>5912970</v>
      </c>
      <c r="GM119" s="819">
        <v>249900</v>
      </c>
      <c r="GN119" s="450">
        <f t="shared" si="106"/>
        <v>6162.87</v>
      </c>
      <c r="GO119" s="450">
        <f t="shared" si="107"/>
        <v>6162.87</v>
      </c>
      <c r="GP119" s="450">
        <f t="shared" si="108"/>
        <v>0</v>
      </c>
      <c r="GQ119" s="450">
        <f t="shared" si="109"/>
        <v>5912.97</v>
      </c>
      <c r="GR119" s="450">
        <f t="shared" si="110"/>
        <v>249.9</v>
      </c>
      <c r="GV119" s="841" t="s">
        <v>495</v>
      </c>
      <c r="GW119" s="840">
        <v>124790280</v>
      </c>
      <c r="GX119" s="450">
        <f t="shared" si="111"/>
        <v>124790.28</v>
      </c>
      <c r="HB119" s="843" t="s">
        <v>405</v>
      </c>
      <c r="HC119" s="819">
        <v>12718436</v>
      </c>
      <c r="HD119" s="819">
        <v>12718436</v>
      </c>
      <c r="HE119" s="819">
        <v>0</v>
      </c>
      <c r="HF119" s="819">
        <v>12718436</v>
      </c>
      <c r="HG119" s="450">
        <f t="shared" si="112"/>
        <v>12718.436</v>
      </c>
      <c r="HH119" s="450">
        <f t="shared" si="113"/>
        <v>0</v>
      </c>
      <c r="HI119" s="450">
        <f t="shared" si="114"/>
        <v>12718.436</v>
      </c>
      <c r="HJ119" s="450">
        <f t="shared" si="115"/>
        <v>0</v>
      </c>
      <c r="HK119" s="450">
        <f t="shared" si="116"/>
        <v>12718.436</v>
      </c>
    </row>
    <row r="120" spans="1:219" ht="15" customHeight="1" x14ac:dyDescent="0.3">
      <c r="A120" s="295" t="s">
        <v>449</v>
      </c>
      <c r="B120" s="296" t="s">
        <v>618</v>
      </c>
      <c r="C120" s="297">
        <v>159090000</v>
      </c>
      <c r="D120" s="298">
        <f t="shared" si="61"/>
        <v>169112.66999999998</v>
      </c>
      <c r="E120" s="297">
        <v>0</v>
      </c>
      <c r="F120" s="297">
        <f t="shared" si="62"/>
        <v>0</v>
      </c>
      <c r="Q120" s="299" t="s">
        <v>355</v>
      </c>
      <c r="R120" s="300" t="s">
        <v>639</v>
      </c>
      <c r="S120" s="301">
        <v>155587000</v>
      </c>
      <c r="T120" s="301">
        <v>0</v>
      </c>
      <c r="U120" s="301">
        <f t="shared" si="64"/>
        <v>165388.981</v>
      </c>
      <c r="V120" s="301">
        <f t="shared" si="65"/>
        <v>0</v>
      </c>
      <c r="AF120" s="296" t="s">
        <v>531</v>
      </c>
      <c r="AG120" s="297">
        <v>45387000</v>
      </c>
      <c r="AH120" s="297">
        <f t="shared" si="117"/>
        <v>48246.380999999994</v>
      </c>
      <c r="AI120" s="297">
        <v>17880000</v>
      </c>
      <c r="AL120" s="450"/>
      <c r="AN120" s="447" t="s">
        <v>355</v>
      </c>
      <c r="AO120" s="448" t="s">
        <v>419</v>
      </c>
      <c r="AP120" s="449">
        <v>32326020</v>
      </c>
      <c r="AQ120" s="449">
        <f t="shared" si="67"/>
        <v>34362.559260000002</v>
      </c>
      <c r="AU120" s="447" t="s">
        <v>355</v>
      </c>
      <c r="AV120" s="448" t="s">
        <v>413</v>
      </c>
      <c r="AW120" s="449">
        <v>253879000</v>
      </c>
      <c r="AX120" s="449">
        <v>194850946</v>
      </c>
      <c r="AY120" s="449">
        <v>59028054</v>
      </c>
      <c r="AZ120" s="450">
        <f t="shared" si="68"/>
        <v>269873.37699999998</v>
      </c>
      <c r="BA120" s="450">
        <f t="shared" si="69"/>
        <v>207126.55559799998</v>
      </c>
      <c r="BB120" s="450">
        <f t="shared" si="70"/>
        <v>62746.821401999994</v>
      </c>
      <c r="BF120" s="447"/>
      <c r="BG120" s="448"/>
      <c r="BH120" s="449"/>
      <c r="BI120" s="450"/>
      <c r="BM120" s="451" t="s">
        <v>449</v>
      </c>
      <c r="BN120" s="94" t="s">
        <v>412</v>
      </c>
      <c r="BO120" s="95">
        <v>253879000</v>
      </c>
      <c r="BP120" s="95">
        <v>253879000</v>
      </c>
      <c r="BQ120" s="95">
        <v>225210946</v>
      </c>
      <c r="BR120" s="95">
        <v>28668054</v>
      </c>
      <c r="BS120" s="95">
        <v>114416616</v>
      </c>
      <c r="BT120" s="450">
        <f t="shared" si="72"/>
        <v>253879</v>
      </c>
      <c r="BU120" s="450">
        <f t="shared" si="73"/>
        <v>225210.946</v>
      </c>
      <c r="BV120" s="450">
        <f t="shared" si="74"/>
        <v>28668.054</v>
      </c>
      <c r="BW120" s="450">
        <f t="shared" si="75"/>
        <v>114416.61599999999</v>
      </c>
      <c r="CA120" s="94" t="s">
        <v>621</v>
      </c>
      <c r="CB120" s="450">
        <v>22867468</v>
      </c>
      <c r="CC120" s="450">
        <f t="shared" si="76"/>
        <v>22867.468000000001</v>
      </c>
      <c r="CG120" s="448" t="s">
        <v>611</v>
      </c>
      <c r="CH120" s="449">
        <v>4360000</v>
      </c>
      <c r="CI120" s="449">
        <v>4360000</v>
      </c>
      <c r="CJ120" s="449">
        <v>0</v>
      </c>
      <c r="CK120" s="449">
        <v>4360000</v>
      </c>
      <c r="CL120" s="449">
        <v>0</v>
      </c>
      <c r="CM120" s="449">
        <v>4360000</v>
      </c>
      <c r="CN120" s="449">
        <f t="shared" si="77"/>
        <v>4360</v>
      </c>
      <c r="CO120" s="449">
        <f t="shared" si="78"/>
        <v>4360</v>
      </c>
      <c r="CP120" s="449">
        <f t="shared" si="79"/>
        <v>0</v>
      </c>
      <c r="CQ120" s="449">
        <f t="shared" si="80"/>
        <v>4360</v>
      </c>
      <c r="CU120" s="448" t="s">
        <v>622</v>
      </c>
      <c r="CV120" s="449">
        <v>307276</v>
      </c>
      <c r="CW120" s="449">
        <v>307276</v>
      </c>
      <c r="CX120" s="450">
        <f t="shared" si="81"/>
        <v>307.27600000000001</v>
      </c>
      <c r="CY120" s="450">
        <f t="shared" si="82"/>
        <v>307.27600000000001</v>
      </c>
      <c r="DB120" s="602" t="s">
        <v>611</v>
      </c>
      <c r="DC120" s="603">
        <v>4360000</v>
      </c>
      <c r="DD120" s="603">
        <v>4360000</v>
      </c>
      <c r="DE120" s="603">
        <v>0</v>
      </c>
      <c r="DF120" s="603">
        <v>4360000</v>
      </c>
      <c r="DG120" s="604">
        <f t="shared" si="83"/>
        <v>4360</v>
      </c>
      <c r="DH120" s="604">
        <f t="shared" si="84"/>
        <v>4360</v>
      </c>
      <c r="DI120" s="604">
        <f t="shared" si="85"/>
        <v>0</v>
      </c>
      <c r="DJ120" s="604">
        <f t="shared" si="86"/>
        <v>4360</v>
      </c>
      <c r="DV120" s="94" t="s">
        <v>411</v>
      </c>
      <c r="DW120" s="95">
        <v>5113026</v>
      </c>
      <c r="DX120" s="95">
        <v>295190</v>
      </c>
      <c r="DY120" s="95">
        <v>4817836</v>
      </c>
      <c r="DZ120" s="95">
        <v>295190</v>
      </c>
      <c r="EA120" s="95">
        <f t="shared" si="89"/>
        <v>5113.0259999999998</v>
      </c>
      <c r="EB120" s="95">
        <f t="shared" si="90"/>
        <v>295.19</v>
      </c>
      <c r="EC120" s="95">
        <f t="shared" si="91"/>
        <v>4817.8360000000002</v>
      </c>
      <c r="ED120" s="95">
        <f t="shared" si="92"/>
        <v>295.19</v>
      </c>
      <c r="EJ120" s="450"/>
      <c r="EN120" s="444" t="s">
        <v>608</v>
      </c>
      <c r="EO120" s="450">
        <v>6972421</v>
      </c>
      <c r="EP120" s="450">
        <v>5931043</v>
      </c>
      <c r="EQ120" s="450">
        <v>1041378</v>
      </c>
      <c r="ER120" s="450">
        <v>5883753</v>
      </c>
      <c r="ES120" s="746">
        <f t="shared" si="94"/>
        <v>6972.4210000000003</v>
      </c>
      <c r="ET120" s="746">
        <f t="shared" si="95"/>
        <v>5931.0429999999997</v>
      </c>
      <c r="EU120" s="746">
        <f t="shared" si="96"/>
        <v>1041.3779999999999</v>
      </c>
      <c r="EV120" s="746">
        <f t="shared" si="97"/>
        <v>5883.7529999999997</v>
      </c>
      <c r="FC120" s="456">
        <f>SUBTOTAL(9,FC3:FC119)</f>
        <v>9703859.9279999956</v>
      </c>
      <c r="FG120" s="785" t="s">
        <v>355</v>
      </c>
      <c r="FH120" s="784" t="s">
        <v>608</v>
      </c>
      <c r="FI120" s="782">
        <v>8542502</v>
      </c>
      <c r="FJ120" s="783">
        <v>7475695</v>
      </c>
      <c r="FK120" s="783">
        <v>1066807</v>
      </c>
      <c r="FL120" s="783">
        <v>7418425</v>
      </c>
      <c r="FM120" s="450">
        <f t="shared" si="99"/>
        <v>8542.5020000000004</v>
      </c>
      <c r="FN120" s="450">
        <f t="shared" si="100"/>
        <v>7475.6949999999997</v>
      </c>
      <c r="FO120" s="450">
        <f t="shared" si="101"/>
        <v>1066.807</v>
      </c>
      <c r="FP120" s="450">
        <f t="shared" si="102"/>
        <v>7418.4250000000002</v>
      </c>
      <c r="FT120" s="451" t="s">
        <v>355</v>
      </c>
      <c r="FU120" s="94" t="s">
        <v>415</v>
      </c>
      <c r="FV120" s="95">
        <v>0</v>
      </c>
      <c r="FW120" s="95">
        <v>13435560</v>
      </c>
      <c r="FX120" s="95">
        <v>0</v>
      </c>
      <c r="FY120" s="450">
        <f t="shared" si="103"/>
        <v>0</v>
      </c>
      <c r="FZ120" s="450">
        <f t="shared" si="104"/>
        <v>13435.56</v>
      </c>
      <c r="GA120" s="450">
        <f t="shared" si="105"/>
        <v>0</v>
      </c>
      <c r="GG120" s="817" t="s">
        <v>355</v>
      </c>
      <c r="GH120" s="818" t="s">
        <v>608</v>
      </c>
      <c r="GI120" s="819">
        <v>13172972</v>
      </c>
      <c r="GJ120" s="819">
        <v>7809215</v>
      </c>
      <c r="GK120" s="819">
        <v>5363757</v>
      </c>
      <c r="GL120" s="819">
        <v>7809215</v>
      </c>
      <c r="GM120" s="819">
        <v>0</v>
      </c>
      <c r="GN120" s="450">
        <f t="shared" si="106"/>
        <v>13172.972</v>
      </c>
      <c r="GO120" s="450">
        <f t="shared" si="107"/>
        <v>7809.2150000000001</v>
      </c>
      <c r="GP120" s="450">
        <f t="shared" si="108"/>
        <v>5363.7569999999996</v>
      </c>
      <c r="GQ120" s="450">
        <f t="shared" si="109"/>
        <v>7809.2150000000001</v>
      </c>
      <c r="GR120" s="450">
        <f t="shared" si="110"/>
        <v>0</v>
      </c>
      <c r="GV120" s="841" t="s">
        <v>615</v>
      </c>
      <c r="GW120" s="840">
        <v>4762680</v>
      </c>
      <c r="GX120" s="450">
        <f t="shared" si="111"/>
        <v>4762.68</v>
      </c>
      <c r="HB120" s="843" t="s">
        <v>504</v>
      </c>
      <c r="HC120" s="819">
        <v>18434</v>
      </c>
      <c r="HD120" s="819">
        <v>18434</v>
      </c>
      <c r="HE120" s="819">
        <v>0</v>
      </c>
      <c r="HF120" s="819">
        <v>18434</v>
      </c>
      <c r="HG120" s="450">
        <f t="shared" si="112"/>
        <v>18.434000000000001</v>
      </c>
      <c r="HH120" s="450">
        <f t="shared" si="113"/>
        <v>0</v>
      </c>
      <c r="HI120" s="450">
        <f t="shared" si="114"/>
        <v>18.434000000000001</v>
      </c>
      <c r="HJ120" s="450">
        <f t="shared" si="115"/>
        <v>0</v>
      </c>
      <c r="HK120" s="450">
        <f t="shared" si="116"/>
        <v>18.434000000000001</v>
      </c>
    </row>
    <row r="121" spans="1:219" ht="15" customHeight="1" x14ac:dyDescent="0.3">
      <c r="A121" s="295" t="s">
        <v>355</v>
      </c>
      <c r="B121" s="296" t="s">
        <v>415</v>
      </c>
      <c r="C121" s="297">
        <v>159090000</v>
      </c>
      <c r="D121" s="298">
        <f t="shared" si="61"/>
        <v>169112.66999999998</v>
      </c>
      <c r="E121" s="297">
        <v>0</v>
      </c>
      <c r="F121" s="297">
        <f t="shared" si="62"/>
        <v>0</v>
      </c>
      <c r="Q121" s="299" t="s">
        <v>449</v>
      </c>
      <c r="R121" s="300" t="s">
        <v>618</v>
      </c>
      <c r="S121" s="301">
        <v>159090000</v>
      </c>
      <c r="T121" s="301">
        <v>0</v>
      </c>
      <c r="U121" s="301">
        <f t="shared" si="64"/>
        <v>169112.66999999998</v>
      </c>
      <c r="V121" s="301">
        <f t="shared" si="65"/>
        <v>0</v>
      </c>
      <c r="AF121" s="296" t="s">
        <v>638</v>
      </c>
      <c r="AG121" s="297">
        <v>155587000</v>
      </c>
      <c r="AH121" s="297">
        <f t="shared" si="117"/>
        <v>165388.981</v>
      </c>
      <c r="AI121" s="297">
        <v>0</v>
      </c>
      <c r="AL121" s="450"/>
      <c r="AN121" s="447" t="s">
        <v>553</v>
      </c>
      <c r="AO121" s="448" t="s">
        <v>420</v>
      </c>
      <c r="AP121" s="449">
        <v>32326020</v>
      </c>
      <c r="AQ121" s="449">
        <f t="shared" si="67"/>
        <v>34362.559260000002</v>
      </c>
      <c r="AU121" s="447" t="s">
        <v>553</v>
      </c>
      <c r="AV121" s="448" t="s">
        <v>614</v>
      </c>
      <c r="AW121" s="449">
        <v>10000</v>
      </c>
      <c r="AX121" s="449">
        <v>0</v>
      </c>
      <c r="AY121" s="449">
        <v>10000</v>
      </c>
      <c r="AZ121" s="450">
        <f t="shared" si="68"/>
        <v>10.629999999999999</v>
      </c>
      <c r="BA121" s="450">
        <f t="shared" si="69"/>
        <v>0</v>
      </c>
      <c r="BB121" s="450">
        <f t="shared" si="70"/>
        <v>10.629999999999999</v>
      </c>
      <c r="BF121" s="447"/>
      <c r="BG121" s="448"/>
      <c r="BH121" s="449"/>
      <c r="BI121" s="450"/>
      <c r="BM121" s="451" t="s">
        <v>355</v>
      </c>
      <c r="BN121" s="94" t="s">
        <v>413</v>
      </c>
      <c r="BO121" s="95">
        <v>253879000</v>
      </c>
      <c r="BP121" s="95">
        <v>253879000</v>
      </c>
      <c r="BQ121" s="95">
        <v>225210946</v>
      </c>
      <c r="BR121" s="95">
        <v>28668054</v>
      </c>
      <c r="BS121" s="95">
        <v>114416616</v>
      </c>
      <c r="BT121" s="450">
        <f t="shared" si="72"/>
        <v>253879</v>
      </c>
      <c r="BU121" s="450">
        <f t="shared" si="73"/>
        <v>225210.946</v>
      </c>
      <c r="BV121" s="450">
        <f t="shared" si="74"/>
        <v>28668.054</v>
      </c>
      <c r="BW121" s="450">
        <f t="shared" si="75"/>
        <v>114416.61599999999</v>
      </c>
      <c r="CA121" s="94" t="s">
        <v>422</v>
      </c>
      <c r="CB121" s="450">
        <v>0</v>
      </c>
      <c r="CC121" s="450">
        <f t="shared" si="76"/>
        <v>0</v>
      </c>
      <c r="CG121" s="448" t="s">
        <v>612</v>
      </c>
      <c r="CH121" s="449">
        <v>0</v>
      </c>
      <c r="CI121" s="449">
        <v>4360000</v>
      </c>
      <c r="CJ121" s="449">
        <v>-4360000</v>
      </c>
      <c r="CK121" s="449">
        <v>4360000</v>
      </c>
      <c r="CL121" s="449">
        <v>0</v>
      </c>
      <c r="CM121" s="449">
        <v>4360000</v>
      </c>
      <c r="CN121" s="449">
        <f t="shared" si="77"/>
        <v>4360</v>
      </c>
      <c r="CO121" s="449">
        <f t="shared" si="78"/>
        <v>4360</v>
      </c>
      <c r="CP121" s="449">
        <f t="shared" si="79"/>
        <v>0</v>
      </c>
      <c r="CQ121" s="449">
        <f t="shared" si="80"/>
        <v>4360</v>
      </c>
      <c r="CU121" s="448" t="s">
        <v>421</v>
      </c>
      <c r="CV121" s="449">
        <v>307276</v>
      </c>
      <c r="CW121" s="449">
        <v>307276</v>
      </c>
      <c r="CX121" s="450">
        <f t="shared" si="81"/>
        <v>307.27600000000001</v>
      </c>
      <c r="CY121" s="450">
        <f t="shared" si="82"/>
        <v>307.27600000000001</v>
      </c>
      <c r="DB121" s="602" t="s">
        <v>612</v>
      </c>
      <c r="DC121" s="603">
        <v>4360000</v>
      </c>
      <c r="DD121" s="603">
        <v>4360000</v>
      </c>
      <c r="DE121" s="603">
        <v>0</v>
      </c>
      <c r="DF121" s="603">
        <v>4360000</v>
      </c>
      <c r="DG121" s="604">
        <f t="shared" si="83"/>
        <v>4360</v>
      </c>
      <c r="DH121" s="604">
        <f t="shared" si="84"/>
        <v>4360</v>
      </c>
      <c r="DI121" s="604">
        <f t="shared" si="85"/>
        <v>0</v>
      </c>
      <c r="DJ121" s="604">
        <f t="shared" si="86"/>
        <v>4360</v>
      </c>
      <c r="DV121" s="94" t="s">
        <v>610</v>
      </c>
      <c r="DW121" s="95">
        <v>4360000</v>
      </c>
      <c r="DX121" s="95">
        <v>4360000</v>
      </c>
      <c r="DY121" s="95">
        <v>0</v>
      </c>
      <c r="DZ121" s="95">
        <v>4360000</v>
      </c>
      <c r="EA121" s="95">
        <f t="shared" si="89"/>
        <v>4360</v>
      </c>
      <c r="EB121" s="95">
        <f t="shared" si="90"/>
        <v>4360</v>
      </c>
      <c r="EC121" s="95">
        <f t="shared" si="91"/>
        <v>0</v>
      </c>
      <c r="ED121" s="95">
        <f t="shared" si="92"/>
        <v>4360</v>
      </c>
      <c r="EJ121" s="450"/>
      <c r="EN121" s="444" t="s">
        <v>410</v>
      </c>
      <c r="EO121" s="450">
        <v>4605913</v>
      </c>
      <c r="EP121" s="450">
        <v>4605913</v>
      </c>
      <c r="EQ121" s="450">
        <v>0</v>
      </c>
      <c r="ER121" s="450">
        <v>4558623</v>
      </c>
      <c r="ES121" s="746">
        <f t="shared" si="94"/>
        <v>4605.9129999999996</v>
      </c>
      <c r="ET121" s="746">
        <f t="shared" si="95"/>
        <v>4605.9129999999996</v>
      </c>
      <c r="EU121" s="746">
        <f t="shared" si="96"/>
        <v>0</v>
      </c>
      <c r="EV121" s="746">
        <f t="shared" si="97"/>
        <v>4558.6229999999996</v>
      </c>
      <c r="FG121" s="785" t="s">
        <v>553</v>
      </c>
      <c r="FH121" s="784" t="s">
        <v>410</v>
      </c>
      <c r="FI121" s="782">
        <v>6150565</v>
      </c>
      <c r="FJ121" s="783">
        <v>6150565</v>
      </c>
      <c r="FK121" s="783">
        <v>0</v>
      </c>
      <c r="FL121" s="783">
        <v>6093295</v>
      </c>
      <c r="FM121" s="450">
        <f t="shared" si="99"/>
        <v>6150.5649999999996</v>
      </c>
      <c r="FN121" s="450">
        <f t="shared" si="100"/>
        <v>6150.5649999999996</v>
      </c>
      <c r="FO121" s="450">
        <f t="shared" si="101"/>
        <v>0</v>
      </c>
      <c r="FP121" s="450">
        <f t="shared" si="102"/>
        <v>6093.2950000000001</v>
      </c>
      <c r="FT121" s="451" t="s">
        <v>553</v>
      </c>
      <c r="FU121" s="94" t="s">
        <v>620</v>
      </c>
      <c r="FV121" s="95">
        <v>-18500000</v>
      </c>
      <c r="FW121" s="95">
        <v>13435560</v>
      </c>
      <c r="FX121" s="95">
        <v>0</v>
      </c>
      <c r="FY121" s="450">
        <f t="shared" si="103"/>
        <v>-18500</v>
      </c>
      <c r="FZ121" s="450">
        <f t="shared" si="104"/>
        <v>13435.56</v>
      </c>
      <c r="GA121" s="450">
        <f t="shared" si="105"/>
        <v>0</v>
      </c>
      <c r="GG121" s="817" t="s">
        <v>553</v>
      </c>
      <c r="GH121" s="818" t="s">
        <v>410</v>
      </c>
      <c r="GI121" s="819">
        <v>6484085</v>
      </c>
      <c r="GJ121" s="819">
        <v>6484085</v>
      </c>
      <c r="GK121" s="819">
        <v>0</v>
      </c>
      <c r="GL121" s="819">
        <v>6484085</v>
      </c>
      <c r="GM121" s="819">
        <v>0</v>
      </c>
      <c r="GN121" s="450">
        <f t="shared" si="106"/>
        <v>6484.085</v>
      </c>
      <c r="GO121" s="450">
        <f t="shared" si="107"/>
        <v>6484.085</v>
      </c>
      <c r="GP121" s="450">
        <f t="shared" si="108"/>
        <v>0</v>
      </c>
      <c r="GQ121" s="450">
        <f t="shared" si="109"/>
        <v>6484.085</v>
      </c>
      <c r="GR121" s="450">
        <f t="shared" si="110"/>
        <v>0</v>
      </c>
      <c r="GV121" s="841" t="s">
        <v>616</v>
      </c>
      <c r="GW121" s="840">
        <v>120027600</v>
      </c>
      <c r="GX121" s="450">
        <f t="shared" si="111"/>
        <v>120027.6</v>
      </c>
      <c r="HB121" s="843" t="s">
        <v>607</v>
      </c>
      <c r="HC121" s="819">
        <v>1166461746</v>
      </c>
      <c r="HD121" s="819">
        <v>1166461746</v>
      </c>
      <c r="HE121" s="819">
        <v>0</v>
      </c>
      <c r="HF121" s="819">
        <v>1166461746</v>
      </c>
      <c r="HG121" s="450">
        <f t="shared" si="112"/>
        <v>1166461.746</v>
      </c>
      <c r="HH121" s="450">
        <f t="shared" si="113"/>
        <v>0</v>
      </c>
      <c r="HI121" s="450">
        <f t="shared" si="114"/>
        <v>1166461.746</v>
      </c>
      <c r="HJ121" s="450">
        <f t="shared" si="115"/>
        <v>0</v>
      </c>
      <c r="HK121" s="450">
        <f t="shared" si="116"/>
        <v>1166461.746</v>
      </c>
    </row>
    <row r="122" spans="1:219" ht="15" customHeight="1" x14ac:dyDescent="0.3">
      <c r="A122" s="295" t="s">
        <v>553</v>
      </c>
      <c r="B122" s="296" t="s">
        <v>620</v>
      </c>
      <c r="C122" s="297">
        <v>159090000</v>
      </c>
      <c r="D122" s="298">
        <f t="shared" si="61"/>
        <v>169112.66999999998</v>
      </c>
      <c r="E122" s="297">
        <v>0</v>
      </c>
      <c r="F122" s="297">
        <f t="shared" si="62"/>
        <v>0</v>
      </c>
      <c r="Q122" s="299" t="s">
        <v>355</v>
      </c>
      <c r="R122" s="300" t="s">
        <v>415</v>
      </c>
      <c r="S122" s="301">
        <v>159090000</v>
      </c>
      <c r="T122" s="301">
        <v>0</v>
      </c>
      <c r="U122" s="301">
        <f t="shared" si="64"/>
        <v>169112.66999999998</v>
      </c>
      <c r="V122" s="301">
        <f t="shared" si="65"/>
        <v>0</v>
      </c>
      <c r="AF122" s="296" t="s">
        <v>639</v>
      </c>
      <c r="AG122" s="297">
        <v>155587000</v>
      </c>
      <c r="AH122" s="297">
        <f t="shared" si="117"/>
        <v>165388.981</v>
      </c>
      <c r="AI122" s="297">
        <v>0</v>
      </c>
      <c r="AL122" s="450"/>
      <c r="AN122" s="447" t="s">
        <v>554</v>
      </c>
      <c r="AO122" s="448" t="s">
        <v>621</v>
      </c>
      <c r="AP122" s="449">
        <v>32326020</v>
      </c>
      <c r="AQ122" s="449">
        <f t="shared" si="67"/>
        <v>34362.559260000002</v>
      </c>
      <c r="AU122" s="447" t="s">
        <v>553</v>
      </c>
      <c r="AV122" s="448" t="s">
        <v>532</v>
      </c>
      <c r="AW122" s="449">
        <v>208482000</v>
      </c>
      <c r="AX122" s="449">
        <v>152570946</v>
      </c>
      <c r="AY122" s="449">
        <v>55911054</v>
      </c>
      <c r="AZ122" s="450">
        <f t="shared" si="68"/>
        <v>221616.36599999998</v>
      </c>
      <c r="BA122" s="450">
        <f t="shared" si="69"/>
        <v>162182.91559799999</v>
      </c>
      <c r="BB122" s="450">
        <f t="shared" si="70"/>
        <v>59433.450401999995</v>
      </c>
      <c r="BF122" s="447"/>
      <c r="BG122" s="448"/>
      <c r="BH122" s="449"/>
      <c r="BI122" s="450"/>
      <c r="BM122" s="451" t="s">
        <v>553</v>
      </c>
      <c r="BN122" s="94" t="s">
        <v>614</v>
      </c>
      <c r="BO122" s="95">
        <v>10000</v>
      </c>
      <c r="BP122" s="95">
        <v>10000</v>
      </c>
      <c r="BQ122" s="95">
        <v>0</v>
      </c>
      <c r="BR122" s="95">
        <v>10000</v>
      </c>
      <c r="BS122" s="95">
        <v>0</v>
      </c>
      <c r="BT122" s="450">
        <f t="shared" si="72"/>
        <v>10</v>
      </c>
      <c r="BU122" s="450">
        <f t="shared" si="73"/>
        <v>0</v>
      </c>
      <c r="BV122" s="450">
        <f t="shared" si="74"/>
        <v>10</v>
      </c>
      <c r="BW122" s="450">
        <f t="shared" si="75"/>
        <v>0</v>
      </c>
      <c r="CC122" s="456">
        <f>SUM(CC3:CC121)</f>
        <v>8336742.5749999983</v>
      </c>
      <c r="CG122" s="448" t="s">
        <v>412</v>
      </c>
      <c r="CH122" s="449">
        <v>308879000</v>
      </c>
      <c r="CI122" s="449">
        <v>308879000</v>
      </c>
      <c r="CJ122" s="449">
        <v>0</v>
      </c>
      <c r="CK122" s="449">
        <v>225210946</v>
      </c>
      <c r="CL122" s="449">
        <v>83668054</v>
      </c>
      <c r="CM122" s="449">
        <v>128998066</v>
      </c>
      <c r="CN122" s="449">
        <f t="shared" si="77"/>
        <v>308879</v>
      </c>
      <c r="CO122" s="449">
        <f t="shared" si="78"/>
        <v>225210.946</v>
      </c>
      <c r="CP122" s="449">
        <f t="shared" si="79"/>
        <v>83668.054000000004</v>
      </c>
      <c r="CQ122" s="449">
        <f t="shared" si="80"/>
        <v>128998.06600000001</v>
      </c>
      <c r="CU122" s="448"/>
      <c r="CV122" s="449"/>
      <c r="CW122" s="449"/>
      <c r="CX122" s="450"/>
      <c r="CY122" s="450"/>
      <c r="DB122" s="602" t="s">
        <v>412</v>
      </c>
      <c r="DC122" s="603">
        <v>308879000</v>
      </c>
      <c r="DD122" s="603">
        <v>280210946</v>
      </c>
      <c r="DE122" s="603">
        <v>28668054</v>
      </c>
      <c r="DF122" s="603">
        <v>140508380</v>
      </c>
      <c r="DG122" s="604">
        <f t="shared" si="83"/>
        <v>308879</v>
      </c>
      <c r="DH122" s="604">
        <f t="shared" si="84"/>
        <v>280210.946</v>
      </c>
      <c r="DI122" s="604">
        <f t="shared" si="85"/>
        <v>28668.054</v>
      </c>
      <c r="DJ122" s="604">
        <f t="shared" si="86"/>
        <v>140508.38</v>
      </c>
      <c r="DV122" s="94" t="s">
        <v>611</v>
      </c>
      <c r="DW122" s="95">
        <v>4360000</v>
      </c>
      <c r="DX122" s="95">
        <v>4360000</v>
      </c>
      <c r="DY122" s="95">
        <v>0</v>
      </c>
      <c r="DZ122" s="95">
        <v>4360000</v>
      </c>
      <c r="EA122" s="95">
        <f t="shared" si="89"/>
        <v>4360</v>
      </c>
      <c r="EB122" s="95">
        <f t="shared" si="90"/>
        <v>4360</v>
      </c>
      <c r="EC122" s="95">
        <f t="shared" si="91"/>
        <v>0</v>
      </c>
      <c r="ED122" s="95">
        <f t="shared" si="92"/>
        <v>4360</v>
      </c>
      <c r="EJ122" s="450"/>
      <c r="EN122" s="444" t="s">
        <v>609</v>
      </c>
      <c r="EO122" s="450">
        <v>1029940</v>
      </c>
      <c r="EP122" s="450">
        <v>1029940</v>
      </c>
      <c r="EQ122" s="450">
        <v>0</v>
      </c>
      <c r="ER122" s="450">
        <v>1029940</v>
      </c>
      <c r="ES122" s="746">
        <f t="shared" si="94"/>
        <v>1029.94</v>
      </c>
      <c r="ET122" s="746">
        <f t="shared" si="95"/>
        <v>1029.94</v>
      </c>
      <c r="EU122" s="746">
        <f t="shared" si="96"/>
        <v>0</v>
      </c>
      <c r="EV122" s="746">
        <f t="shared" si="97"/>
        <v>1029.94</v>
      </c>
      <c r="FG122" s="785" t="s">
        <v>553</v>
      </c>
      <c r="FH122" s="784" t="s">
        <v>609</v>
      </c>
      <c r="FI122" s="782">
        <v>1029940</v>
      </c>
      <c r="FJ122" s="783">
        <v>1029940</v>
      </c>
      <c r="FK122" s="783">
        <v>0</v>
      </c>
      <c r="FL122" s="783">
        <v>1029940</v>
      </c>
      <c r="FM122" s="450">
        <f t="shared" si="99"/>
        <v>1029.94</v>
      </c>
      <c r="FN122" s="450">
        <f t="shared" si="100"/>
        <v>1029.94</v>
      </c>
      <c r="FO122" s="450">
        <f t="shared" si="101"/>
        <v>0</v>
      </c>
      <c r="FP122" s="450">
        <f t="shared" si="102"/>
        <v>1029.94</v>
      </c>
      <c r="FT122" s="451" t="s">
        <v>553</v>
      </c>
      <c r="FU122" s="94" t="s">
        <v>914</v>
      </c>
      <c r="FV122" s="95">
        <v>18500000</v>
      </c>
      <c r="FW122" s="95">
        <v>0</v>
      </c>
      <c r="FX122" s="95">
        <v>0</v>
      </c>
      <c r="FY122" s="450">
        <f t="shared" si="103"/>
        <v>18500</v>
      </c>
      <c r="FZ122" s="450">
        <f t="shared" si="104"/>
        <v>0</v>
      </c>
      <c r="GA122" s="450">
        <f t="shared" si="105"/>
        <v>0</v>
      </c>
      <c r="GG122" s="817" t="s">
        <v>553</v>
      </c>
      <c r="GH122" s="818" t="s">
        <v>609</v>
      </c>
      <c r="GI122" s="819">
        <v>6129515</v>
      </c>
      <c r="GJ122" s="819">
        <v>1029940</v>
      </c>
      <c r="GK122" s="819">
        <v>5099575</v>
      </c>
      <c r="GL122" s="819">
        <v>1029940</v>
      </c>
      <c r="GM122" s="819">
        <v>0</v>
      </c>
      <c r="GN122" s="450">
        <f t="shared" si="106"/>
        <v>6129.5150000000003</v>
      </c>
      <c r="GO122" s="450">
        <f t="shared" si="107"/>
        <v>1029.94</v>
      </c>
      <c r="GP122" s="450">
        <f t="shared" si="108"/>
        <v>5099.5749999999998</v>
      </c>
      <c r="GQ122" s="450">
        <f t="shared" si="109"/>
        <v>1029.94</v>
      </c>
      <c r="GR122" s="450">
        <f t="shared" si="110"/>
        <v>0</v>
      </c>
      <c r="GV122" s="841" t="s">
        <v>638</v>
      </c>
      <c r="GW122" s="840">
        <v>35078996</v>
      </c>
      <c r="GX122" s="450">
        <f t="shared" si="111"/>
        <v>35078.995999999999</v>
      </c>
      <c r="HB122" s="843" t="s">
        <v>406</v>
      </c>
      <c r="HC122" s="819">
        <v>287665155</v>
      </c>
      <c r="HD122" s="819">
        <v>287665155</v>
      </c>
      <c r="HE122" s="819">
        <v>0</v>
      </c>
      <c r="HF122" s="819">
        <v>287665155</v>
      </c>
      <c r="HG122" s="450">
        <f t="shared" si="112"/>
        <v>287665.15500000003</v>
      </c>
      <c r="HH122" s="450">
        <f t="shared" si="113"/>
        <v>0</v>
      </c>
      <c r="HI122" s="450">
        <f t="shared" si="114"/>
        <v>287665.15500000003</v>
      </c>
      <c r="HJ122" s="450">
        <f t="shared" si="115"/>
        <v>0</v>
      </c>
      <c r="HK122" s="450">
        <f t="shared" si="116"/>
        <v>287665.15500000003</v>
      </c>
    </row>
    <row r="123" spans="1:219" ht="15" customHeight="1" x14ac:dyDescent="0.3">
      <c r="A123" s="295" t="s">
        <v>449</v>
      </c>
      <c r="B123" s="296" t="s">
        <v>416</v>
      </c>
      <c r="C123" s="297">
        <v>15673650000</v>
      </c>
      <c r="D123" s="298">
        <f t="shared" si="61"/>
        <v>16661089.949999999</v>
      </c>
      <c r="E123" s="297">
        <v>300966359</v>
      </c>
      <c r="F123" s="297">
        <f t="shared" si="62"/>
        <v>319927.23961699998</v>
      </c>
      <c r="Q123" s="299" t="s">
        <v>553</v>
      </c>
      <c r="R123" s="300" t="s">
        <v>620</v>
      </c>
      <c r="S123" s="301">
        <v>159090000</v>
      </c>
      <c r="T123" s="301">
        <v>0</v>
      </c>
      <c r="U123" s="301">
        <f t="shared" si="64"/>
        <v>169112.66999999998</v>
      </c>
      <c r="V123" s="301">
        <f t="shared" si="65"/>
        <v>0</v>
      </c>
      <c r="AF123" s="296" t="s">
        <v>618</v>
      </c>
      <c r="AG123" s="297">
        <v>167540000</v>
      </c>
      <c r="AH123" s="297">
        <f t="shared" si="117"/>
        <v>178095.02</v>
      </c>
      <c r="AI123" s="297">
        <v>645000</v>
      </c>
      <c r="AL123" s="450"/>
      <c r="AN123" s="447" t="s">
        <v>355</v>
      </c>
      <c r="AO123" s="448" t="s">
        <v>422</v>
      </c>
      <c r="AP123" s="449">
        <v>0</v>
      </c>
      <c r="AQ123" s="449">
        <f t="shared" si="67"/>
        <v>0</v>
      </c>
      <c r="AU123" s="447" t="s">
        <v>553</v>
      </c>
      <c r="AV123" s="448" t="s">
        <v>531</v>
      </c>
      <c r="AW123" s="449">
        <v>45387000</v>
      </c>
      <c r="AX123" s="449">
        <v>42280000</v>
      </c>
      <c r="AY123" s="449">
        <v>3107000</v>
      </c>
      <c r="AZ123" s="450">
        <f t="shared" si="68"/>
        <v>48246.380999999994</v>
      </c>
      <c r="BA123" s="450">
        <f t="shared" si="69"/>
        <v>44943.64</v>
      </c>
      <c r="BB123" s="450">
        <f t="shared" si="70"/>
        <v>3302.741</v>
      </c>
      <c r="BF123" s="447"/>
      <c r="BG123" s="448"/>
      <c r="BH123" s="449"/>
      <c r="BI123" s="450"/>
      <c r="BM123" s="451" t="s">
        <v>553</v>
      </c>
      <c r="BN123" s="94" t="s">
        <v>532</v>
      </c>
      <c r="BO123" s="95">
        <v>208482000</v>
      </c>
      <c r="BP123" s="95">
        <v>208482000</v>
      </c>
      <c r="BQ123" s="95">
        <v>182930946</v>
      </c>
      <c r="BR123" s="95">
        <v>25551054</v>
      </c>
      <c r="BS123" s="95">
        <v>72136616</v>
      </c>
      <c r="BT123" s="450">
        <f t="shared" si="72"/>
        <v>208482</v>
      </c>
      <c r="BU123" s="450">
        <f t="shared" si="73"/>
        <v>182930.946</v>
      </c>
      <c r="BV123" s="450">
        <f t="shared" si="74"/>
        <v>25551.054</v>
      </c>
      <c r="BW123" s="450">
        <f t="shared" si="75"/>
        <v>72136.615999999995</v>
      </c>
      <c r="CG123" s="448" t="s">
        <v>413</v>
      </c>
      <c r="CH123" s="449">
        <v>308879000</v>
      </c>
      <c r="CI123" s="449">
        <v>308879000</v>
      </c>
      <c r="CJ123" s="449">
        <v>0</v>
      </c>
      <c r="CK123" s="449">
        <v>225210946</v>
      </c>
      <c r="CL123" s="449">
        <v>83668054</v>
      </c>
      <c r="CM123" s="449">
        <v>128998066</v>
      </c>
      <c r="CN123" s="449">
        <f t="shared" si="77"/>
        <v>308879</v>
      </c>
      <c r="CO123" s="449">
        <f t="shared" si="78"/>
        <v>225210.946</v>
      </c>
      <c r="CP123" s="449">
        <f t="shared" si="79"/>
        <v>83668.054000000004</v>
      </c>
      <c r="CQ123" s="449">
        <f t="shared" si="80"/>
        <v>128998.06600000001</v>
      </c>
      <c r="CU123" s="448"/>
      <c r="CV123" s="449"/>
      <c r="CW123" s="449"/>
      <c r="CX123" s="450"/>
      <c r="CY123" s="450"/>
      <c r="DB123" s="602" t="s">
        <v>413</v>
      </c>
      <c r="DC123" s="603">
        <v>308879000</v>
      </c>
      <c r="DD123" s="603">
        <v>280210946</v>
      </c>
      <c r="DE123" s="603">
        <v>28668054</v>
      </c>
      <c r="DF123" s="603">
        <v>140508380</v>
      </c>
      <c r="DG123" s="604">
        <f t="shared" si="83"/>
        <v>308879</v>
      </c>
      <c r="DH123" s="604">
        <f t="shared" si="84"/>
        <v>280210.946</v>
      </c>
      <c r="DI123" s="604">
        <f t="shared" si="85"/>
        <v>28668.054</v>
      </c>
      <c r="DJ123" s="604">
        <f t="shared" si="86"/>
        <v>140508.38</v>
      </c>
      <c r="DV123" s="94" t="s">
        <v>612</v>
      </c>
      <c r="DW123" s="95">
        <v>4360000</v>
      </c>
      <c r="DX123" s="95">
        <v>4360000</v>
      </c>
      <c r="DY123" s="95">
        <v>0</v>
      </c>
      <c r="DZ123" s="95">
        <v>4360000</v>
      </c>
      <c r="EA123" s="95">
        <f t="shared" si="89"/>
        <v>4360</v>
      </c>
      <c r="EB123" s="95">
        <f t="shared" si="90"/>
        <v>4360</v>
      </c>
      <c r="EC123" s="95">
        <f t="shared" si="91"/>
        <v>0</v>
      </c>
      <c r="ED123" s="95">
        <f t="shared" si="92"/>
        <v>4360</v>
      </c>
      <c r="EJ123" s="450"/>
      <c r="EN123" s="444" t="s">
        <v>411</v>
      </c>
      <c r="EO123" s="450">
        <v>1336568</v>
      </c>
      <c r="EP123" s="450">
        <v>295190</v>
      </c>
      <c r="EQ123" s="450">
        <v>1041378</v>
      </c>
      <c r="ER123" s="450">
        <v>295190</v>
      </c>
      <c r="ES123" s="746">
        <f t="shared" si="94"/>
        <v>1336.568</v>
      </c>
      <c r="ET123" s="746">
        <f t="shared" si="95"/>
        <v>295.19</v>
      </c>
      <c r="EU123" s="746">
        <f t="shared" si="96"/>
        <v>1041.3779999999999</v>
      </c>
      <c r="EV123" s="746">
        <f t="shared" si="97"/>
        <v>295.19</v>
      </c>
      <c r="FG123" s="785" t="s">
        <v>553</v>
      </c>
      <c r="FH123" s="784" t="s">
        <v>411</v>
      </c>
      <c r="FI123" s="782">
        <v>1361997</v>
      </c>
      <c r="FJ123" s="783">
        <v>295190</v>
      </c>
      <c r="FK123" s="783">
        <v>1066807</v>
      </c>
      <c r="FL123" s="783">
        <v>295190</v>
      </c>
      <c r="FM123" s="450">
        <f t="shared" si="99"/>
        <v>1361.9970000000001</v>
      </c>
      <c r="FN123" s="450">
        <f t="shared" si="100"/>
        <v>295.19</v>
      </c>
      <c r="FO123" s="450">
        <f t="shared" si="101"/>
        <v>1066.807</v>
      </c>
      <c r="FP123" s="450">
        <f t="shared" si="102"/>
        <v>295.19</v>
      </c>
      <c r="GG123" s="817" t="s">
        <v>553</v>
      </c>
      <c r="GH123" s="818" t="s">
        <v>411</v>
      </c>
      <c r="GI123" s="819">
        <v>559372</v>
      </c>
      <c r="GJ123" s="819">
        <v>295190</v>
      </c>
      <c r="GK123" s="819">
        <v>264182</v>
      </c>
      <c r="GL123" s="819">
        <v>295190</v>
      </c>
      <c r="GM123" s="819">
        <v>0</v>
      </c>
      <c r="GN123" s="450">
        <f t="shared" si="106"/>
        <v>559.37199999999996</v>
      </c>
      <c r="GO123" s="450">
        <f t="shared" si="107"/>
        <v>295.19</v>
      </c>
      <c r="GP123" s="450">
        <f t="shared" si="108"/>
        <v>264.18200000000002</v>
      </c>
      <c r="GQ123" s="450">
        <f t="shared" si="109"/>
        <v>295.19</v>
      </c>
      <c r="GR123" s="450">
        <f t="shared" si="110"/>
        <v>0</v>
      </c>
      <c r="GV123" s="841" t="s">
        <v>639</v>
      </c>
      <c r="GW123" s="840">
        <v>35078996</v>
      </c>
      <c r="GX123" s="450">
        <f t="shared" si="111"/>
        <v>35078.995999999999</v>
      </c>
      <c r="HB123" s="843" t="s">
        <v>407</v>
      </c>
      <c r="HC123" s="819">
        <v>51684219</v>
      </c>
      <c r="HD123" s="819">
        <v>51684219</v>
      </c>
      <c r="HE123" s="819">
        <v>0</v>
      </c>
      <c r="HF123" s="819">
        <v>51684219</v>
      </c>
      <c r="HG123" s="450">
        <f t="shared" si="112"/>
        <v>51684.218999999997</v>
      </c>
      <c r="HH123" s="450">
        <f t="shared" si="113"/>
        <v>0</v>
      </c>
      <c r="HI123" s="450">
        <f t="shared" si="114"/>
        <v>51684.218999999997</v>
      </c>
      <c r="HJ123" s="450">
        <f t="shared" si="115"/>
        <v>0</v>
      </c>
      <c r="HK123" s="450">
        <f t="shared" si="116"/>
        <v>51684.218999999997</v>
      </c>
    </row>
    <row r="124" spans="1:219" ht="15" customHeight="1" x14ac:dyDescent="0.3">
      <c r="A124" s="295" t="s">
        <v>355</v>
      </c>
      <c r="B124" s="296" t="s">
        <v>417</v>
      </c>
      <c r="C124" s="297">
        <v>13192408000</v>
      </c>
      <c r="D124" s="298">
        <f t="shared" si="61"/>
        <v>14023529.704</v>
      </c>
      <c r="E124" s="297">
        <v>0</v>
      </c>
      <c r="F124" s="297">
        <f t="shared" si="62"/>
        <v>0</v>
      </c>
      <c r="Q124" s="299" t="s">
        <v>449</v>
      </c>
      <c r="R124" s="300" t="s">
        <v>416</v>
      </c>
      <c r="S124" s="301">
        <v>15673650000</v>
      </c>
      <c r="T124" s="301">
        <v>540513826</v>
      </c>
      <c r="U124" s="301">
        <f t="shared" si="64"/>
        <v>16661089.949999999</v>
      </c>
      <c r="V124" s="301">
        <f t="shared" si="65"/>
        <v>574566.19703799998</v>
      </c>
      <c r="AF124" s="296" t="s">
        <v>414</v>
      </c>
      <c r="AG124" s="297">
        <v>8450000</v>
      </c>
      <c r="AH124" s="297">
        <f t="shared" si="117"/>
        <v>8982.35</v>
      </c>
      <c r="AI124" s="297">
        <v>0</v>
      </c>
      <c r="AL124" s="450"/>
      <c r="AU124" s="447" t="s">
        <v>449</v>
      </c>
      <c r="AV124" s="448" t="s">
        <v>638</v>
      </c>
      <c r="AW124" s="449">
        <v>155587000</v>
      </c>
      <c r="AX124" s="449">
        <v>0</v>
      </c>
      <c r="AY124" s="449">
        <v>155587000</v>
      </c>
      <c r="AZ124" s="450">
        <f t="shared" si="68"/>
        <v>165388.981</v>
      </c>
      <c r="BA124" s="450">
        <f t="shared" si="69"/>
        <v>0</v>
      </c>
      <c r="BB124" s="450">
        <f t="shared" si="70"/>
        <v>165388.981</v>
      </c>
      <c r="BF124" s="447"/>
      <c r="BG124" s="448"/>
      <c r="BH124" s="449"/>
      <c r="BI124" s="450"/>
      <c r="BM124" s="451" t="s">
        <v>553</v>
      </c>
      <c r="BN124" s="94" t="s">
        <v>531</v>
      </c>
      <c r="BO124" s="95">
        <v>45387000</v>
      </c>
      <c r="BP124" s="95">
        <v>45387000</v>
      </c>
      <c r="BQ124" s="95">
        <v>42280000</v>
      </c>
      <c r="BR124" s="95">
        <v>3107000</v>
      </c>
      <c r="BS124" s="95">
        <v>42280000</v>
      </c>
      <c r="BT124" s="450">
        <f t="shared" si="72"/>
        <v>45387</v>
      </c>
      <c r="BU124" s="450">
        <f t="shared" si="73"/>
        <v>42280</v>
      </c>
      <c r="BV124" s="450">
        <f t="shared" si="74"/>
        <v>3107</v>
      </c>
      <c r="BW124" s="450">
        <f t="shared" si="75"/>
        <v>42280</v>
      </c>
      <c r="CG124" s="448" t="s">
        <v>614</v>
      </c>
      <c r="CH124" s="449">
        <v>55010000</v>
      </c>
      <c r="CI124" s="449">
        <v>55010000</v>
      </c>
      <c r="CJ124" s="449">
        <v>0</v>
      </c>
      <c r="CK124" s="449">
        <v>0</v>
      </c>
      <c r="CL124" s="449">
        <v>55010000</v>
      </c>
      <c r="CM124" s="449">
        <v>0</v>
      </c>
      <c r="CN124" s="449">
        <f t="shared" si="77"/>
        <v>55010</v>
      </c>
      <c r="CO124" s="449">
        <f t="shared" si="78"/>
        <v>0</v>
      </c>
      <c r="CP124" s="449">
        <f t="shared" si="79"/>
        <v>55010</v>
      </c>
      <c r="CQ124" s="449">
        <f t="shared" si="80"/>
        <v>0</v>
      </c>
      <c r="CU124" s="448"/>
      <c r="CV124" s="449"/>
      <c r="CW124" s="449"/>
      <c r="CX124" s="450"/>
      <c r="CY124" s="450"/>
      <c r="DB124" s="602" t="s">
        <v>614</v>
      </c>
      <c r="DC124" s="603">
        <v>55010000</v>
      </c>
      <c r="DD124" s="603">
        <v>55000000</v>
      </c>
      <c r="DE124" s="603">
        <v>10000</v>
      </c>
      <c r="DF124" s="603">
        <v>0</v>
      </c>
      <c r="DG124" s="604">
        <f t="shared" si="83"/>
        <v>55010</v>
      </c>
      <c r="DH124" s="604">
        <f t="shared" si="84"/>
        <v>55000</v>
      </c>
      <c r="DI124" s="604">
        <f t="shared" si="85"/>
        <v>10</v>
      </c>
      <c r="DJ124" s="604">
        <f t="shared" si="86"/>
        <v>0</v>
      </c>
      <c r="DV124" s="94" t="s">
        <v>412</v>
      </c>
      <c r="DW124" s="95">
        <v>308879000</v>
      </c>
      <c r="DX124" s="95">
        <v>264682727</v>
      </c>
      <c r="DY124" s="95">
        <v>44196273</v>
      </c>
      <c r="DZ124" s="95">
        <v>151275893</v>
      </c>
      <c r="EA124" s="95">
        <f t="shared" si="89"/>
        <v>308879</v>
      </c>
      <c r="EB124" s="95">
        <f t="shared" si="90"/>
        <v>264682.72700000001</v>
      </c>
      <c r="EC124" s="95">
        <f t="shared" si="91"/>
        <v>44196.273000000001</v>
      </c>
      <c r="ED124" s="95">
        <f t="shared" si="92"/>
        <v>151275.89300000001</v>
      </c>
      <c r="EN124" s="444" t="s">
        <v>610</v>
      </c>
      <c r="EO124" s="450">
        <v>4360000</v>
      </c>
      <c r="EP124" s="450">
        <v>4360000</v>
      </c>
      <c r="EQ124" s="450">
        <v>0</v>
      </c>
      <c r="ER124" s="450">
        <v>4360000</v>
      </c>
      <c r="ES124" s="746">
        <f t="shared" si="94"/>
        <v>4360</v>
      </c>
      <c r="ET124" s="746">
        <f t="shared" si="95"/>
        <v>4360</v>
      </c>
      <c r="EU124" s="746">
        <f t="shared" si="96"/>
        <v>0</v>
      </c>
      <c r="EV124" s="746">
        <f t="shared" si="97"/>
        <v>4360</v>
      </c>
      <c r="FG124" s="785" t="s">
        <v>449</v>
      </c>
      <c r="FH124" s="784" t="s">
        <v>610</v>
      </c>
      <c r="FI124" s="782">
        <v>4360000</v>
      </c>
      <c r="FJ124" s="783">
        <v>4360000</v>
      </c>
      <c r="FK124" s="783">
        <v>0</v>
      </c>
      <c r="FL124" s="783">
        <v>4360000</v>
      </c>
      <c r="FM124" s="450">
        <f t="shared" si="99"/>
        <v>4360</v>
      </c>
      <c r="FN124" s="450">
        <f t="shared" si="100"/>
        <v>4360</v>
      </c>
      <c r="FO124" s="450">
        <f t="shared" si="101"/>
        <v>0</v>
      </c>
      <c r="FP124" s="450">
        <f t="shared" si="102"/>
        <v>4360</v>
      </c>
      <c r="GG124" s="817" t="s">
        <v>449</v>
      </c>
      <c r="GH124" s="818" t="s">
        <v>610</v>
      </c>
      <c r="GI124" s="819">
        <v>4360000</v>
      </c>
      <c r="GJ124" s="819">
        <v>4360000</v>
      </c>
      <c r="GK124" s="819">
        <v>0</v>
      </c>
      <c r="GL124" s="819">
        <v>4360000</v>
      </c>
      <c r="GM124" s="819">
        <v>0</v>
      </c>
      <c r="GN124" s="450">
        <f t="shared" si="106"/>
        <v>4360</v>
      </c>
      <c r="GO124" s="450">
        <f t="shared" si="107"/>
        <v>4360</v>
      </c>
      <c r="GP124" s="450">
        <f t="shared" si="108"/>
        <v>0</v>
      </c>
      <c r="GQ124" s="450">
        <f t="shared" si="109"/>
        <v>4360</v>
      </c>
      <c r="GR124" s="450">
        <f t="shared" si="110"/>
        <v>0</v>
      </c>
      <c r="GV124" s="841" t="s">
        <v>618</v>
      </c>
      <c r="GW124" s="840">
        <v>76271471</v>
      </c>
      <c r="GX124" s="450">
        <f t="shared" si="111"/>
        <v>76271.471000000005</v>
      </c>
      <c r="HB124" s="843" t="s">
        <v>408</v>
      </c>
      <c r="HC124" s="819">
        <v>820949502</v>
      </c>
      <c r="HD124" s="819">
        <v>820949502</v>
      </c>
      <c r="HE124" s="819">
        <v>0</v>
      </c>
      <c r="HF124" s="819">
        <v>820949502</v>
      </c>
      <c r="HG124" s="450">
        <f t="shared" si="112"/>
        <v>820949.50199999998</v>
      </c>
      <c r="HH124" s="450">
        <f t="shared" si="113"/>
        <v>0</v>
      </c>
      <c r="HI124" s="450">
        <f t="shared" si="114"/>
        <v>820949.50199999998</v>
      </c>
      <c r="HJ124" s="450">
        <f t="shared" si="115"/>
        <v>0</v>
      </c>
      <c r="HK124" s="450">
        <f t="shared" si="116"/>
        <v>820949.50199999998</v>
      </c>
    </row>
    <row r="125" spans="1:219" ht="15" customHeight="1" x14ac:dyDescent="0.3">
      <c r="A125" s="295" t="s">
        <v>553</v>
      </c>
      <c r="B125" s="296" t="s">
        <v>418</v>
      </c>
      <c r="C125" s="297">
        <v>13192408000</v>
      </c>
      <c r="D125" s="298">
        <f t="shared" si="61"/>
        <v>14023529.704</v>
      </c>
      <c r="E125" s="297">
        <v>0</v>
      </c>
      <c r="F125" s="297">
        <f t="shared" si="62"/>
        <v>0</v>
      </c>
      <c r="Q125" s="299" t="s">
        <v>355</v>
      </c>
      <c r="R125" s="300" t="s">
        <v>417</v>
      </c>
      <c r="S125" s="301">
        <v>13192408000</v>
      </c>
      <c r="T125" s="301">
        <v>0</v>
      </c>
      <c r="U125" s="301">
        <f t="shared" si="64"/>
        <v>14023529.704</v>
      </c>
      <c r="V125" s="301">
        <f t="shared" si="65"/>
        <v>0</v>
      </c>
      <c r="AF125" s="296" t="s">
        <v>619</v>
      </c>
      <c r="AG125" s="297">
        <v>8450000</v>
      </c>
      <c r="AH125" s="297">
        <f t="shared" si="117"/>
        <v>8982.35</v>
      </c>
      <c r="AI125" s="297">
        <v>0</v>
      </c>
      <c r="AL125" s="450"/>
      <c r="AU125" s="447" t="s">
        <v>355</v>
      </c>
      <c r="AV125" s="448" t="s">
        <v>639</v>
      </c>
      <c r="AW125" s="449">
        <v>155587000</v>
      </c>
      <c r="AX125" s="449">
        <v>0</v>
      </c>
      <c r="AY125" s="449">
        <v>155587000</v>
      </c>
      <c r="AZ125" s="450">
        <f t="shared" si="68"/>
        <v>165388.981</v>
      </c>
      <c r="BA125" s="450">
        <f t="shared" si="69"/>
        <v>0</v>
      </c>
      <c r="BB125" s="450">
        <f t="shared" si="70"/>
        <v>165388.981</v>
      </c>
      <c r="BF125" s="447"/>
      <c r="BG125" s="448"/>
      <c r="BH125" s="449"/>
      <c r="BI125" s="450"/>
      <c r="BM125" s="451" t="s">
        <v>449</v>
      </c>
      <c r="BN125" s="94" t="s">
        <v>638</v>
      </c>
      <c r="BO125" s="95">
        <v>155587000</v>
      </c>
      <c r="BP125" s="95">
        <v>155587000</v>
      </c>
      <c r="BQ125" s="95">
        <v>392905708</v>
      </c>
      <c r="BR125" s="95">
        <v>-237318708</v>
      </c>
      <c r="BS125" s="95">
        <v>392905708</v>
      </c>
      <c r="BT125" s="450">
        <f t="shared" si="72"/>
        <v>155587</v>
      </c>
      <c r="BU125" s="450">
        <f t="shared" si="73"/>
        <v>392905.70799999998</v>
      </c>
      <c r="BV125" s="450">
        <f t="shared" si="74"/>
        <v>-237318.70800000001</v>
      </c>
      <c r="BW125" s="450">
        <f t="shared" si="75"/>
        <v>392905.70799999998</v>
      </c>
      <c r="CG125" s="448" t="s">
        <v>532</v>
      </c>
      <c r="CH125" s="449">
        <v>208482000</v>
      </c>
      <c r="CI125" s="449">
        <v>208482000</v>
      </c>
      <c r="CJ125" s="449">
        <v>0</v>
      </c>
      <c r="CK125" s="449">
        <v>182930946</v>
      </c>
      <c r="CL125" s="449">
        <v>25551054</v>
      </c>
      <c r="CM125" s="449">
        <v>86718066</v>
      </c>
      <c r="CN125" s="449">
        <f t="shared" si="77"/>
        <v>208482</v>
      </c>
      <c r="CO125" s="449">
        <f t="shared" si="78"/>
        <v>182930.946</v>
      </c>
      <c r="CP125" s="449">
        <f t="shared" si="79"/>
        <v>25551.054</v>
      </c>
      <c r="CQ125" s="449">
        <f t="shared" si="80"/>
        <v>86718.066000000006</v>
      </c>
      <c r="CU125" s="448"/>
      <c r="CV125" s="449"/>
      <c r="CW125" s="449"/>
      <c r="CX125" s="450"/>
      <c r="CY125" s="450"/>
      <c r="DB125" s="602" t="s">
        <v>532</v>
      </c>
      <c r="DC125" s="603">
        <v>208482000</v>
      </c>
      <c r="DD125" s="603">
        <v>182930946</v>
      </c>
      <c r="DE125" s="603">
        <v>25551054</v>
      </c>
      <c r="DF125" s="603">
        <v>98228380</v>
      </c>
      <c r="DG125" s="604">
        <f t="shared" si="83"/>
        <v>208482</v>
      </c>
      <c r="DH125" s="604">
        <f t="shared" si="84"/>
        <v>182930.946</v>
      </c>
      <c r="DI125" s="604">
        <f t="shared" si="85"/>
        <v>25551.054</v>
      </c>
      <c r="DJ125" s="604">
        <f t="shared" si="86"/>
        <v>98228.38</v>
      </c>
      <c r="DV125" s="94" t="s">
        <v>413</v>
      </c>
      <c r="DW125" s="95">
        <v>308879000</v>
      </c>
      <c r="DX125" s="95">
        <v>264682727</v>
      </c>
      <c r="DY125" s="95">
        <v>44196273</v>
      </c>
      <c r="DZ125" s="95">
        <v>151275893</v>
      </c>
      <c r="EA125" s="95">
        <f t="shared" si="89"/>
        <v>308879</v>
      </c>
      <c r="EB125" s="95">
        <f t="shared" si="90"/>
        <v>264682.72700000001</v>
      </c>
      <c r="EC125" s="95">
        <f t="shared" si="91"/>
        <v>44196.273000000001</v>
      </c>
      <c r="ED125" s="95">
        <f t="shared" si="92"/>
        <v>151275.89300000001</v>
      </c>
      <c r="EN125" s="444" t="s">
        <v>611</v>
      </c>
      <c r="EO125" s="450">
        <v>4360000</v>
      </c>
      <c r="EP125" s="450">
        <v>4360000</v>
      </c>
      <c r="EQ125" s="450">
        <v>0</v>
      </c>
      <c r="ER125" s="450">
        <v>4360000</v>
      </c>
      <c r="ES125" s="746">
        <f t="shared" si="94"/>
        <v>4360</v>
      </c>
      <c r="ET125" s="746">
        <f t="shared" si="95"/>
        <v>4360</v>
      </c>
      <c r="EU125" s="746">
        <f t="shared" si="96"/>
        <v>0</v>
      </c>
      <c r="EV125" s="746">
        <f t="shared" si="97"/>
        <v>4360</v>
      </c>
      <c r="FG125" s="785" t="s">
        <v>355</v>
      </c>
      <c r="FH125" s="784" t="s">
        <v>611</v>
      </c>
      <c r="FI125" s="782">
        <v>4360000</v>
      </c>
      <c r="FJ125" s="783">
        <v>4360000</v>
      </c>
      <c r="FK125" s="783">
        <v>0</v>
      </c>
      <c r="FL125" s="783">
        <v>4360000</v>
      </c>
      <c r="FM125" s="450">
        <f t="shared" si="99"/>
        <v>4360</v>
      </c>
      <c r="FN125" s="450">
        <f t="shared" si="100"/>
        <v>4360</v>
      </c>
      <c r="FO125" s="450">
        <f t="shared" si="101"/>
        <v>0</v>
      </c>
      <c r="FP125" s="450">
        <f t="shared" si="102"/>
        <v>4360</v>
      </c>
      <c r="GA125" s="456"/>
      <c r="GG125" s="817" t="s">
        <v>355</v>
      </c>
      <c r="GH125" s="818" t="s">
        <v>611</v>
      </c>
      <c r="GI125" s="819">
        <v>4360000</v>
      </c>
      <c r="GJ125" s="819">
        <v>4360000</v>
      </c>
      <c r="GK125" s="819">
        <v>0</v>
      </c>
      <c r="GL125" s="819">
        <v>4360000</v>
      </c>
      <c r="GM125" s="819">
        <v>0</v>
      </c>
      <c r="GN125" s="450">
        <f t="shared" si="106"/>
        <v>4360</v>
      </c>
      <c r="GO125" s="450">
        <f t="shared" si="107"/>
        <v>4360</v>
      </c>
      <c r="GP125" s="450">
        <f t="shared" si="108"/>
        <v>0</v>
      </c>
      <c r="GQ125" s="450">
        <f t="shared" si="109"/>
        <v>4360</v>
      </c>
      <c r="GR125" s="450">
        <f t="shared" si="110"/>
        <v>0</v>
      </c>
      <c r="GV125" s="841" t="s">
        <v>929</v>
      </c>
      <c r="GW125" s="840">
        <v>26956634</v>
      </c>
      <c r="GX125" s="450">
        <f t="shared" si="111"/>
        <v>26956.633999999998</v>
      </c>
      <c r="HB125" s="843" t="s">
        <v>409</v>
      </c>
      <c r="HC125" s="819">
        <v>6162870</v>
      </c>
      <c r="HD125" s="819">
        <v>6162870</v>
      </c>
      <c r="HE125" s="819">
        <v>0</v>
      </c>
      <c r="HF125" s="819">
        <v>6162870</v>
      </c>
      <c r="HG125" s="450">
        <f t="shared" si="112"/>
        <v>6162.87</v>
      </c>
      <c r="HH125" s="450">
        <f t="shared" si="113"/>
        <v>0</v>
      </c>
      <c r="HI125" s="450">
        <f t="shared" si="114"/>
        <v>6162.87</v>
      </c>
      <c r="HJ125" s="450">
        <f t="shared" si="115"/>
        <v>0</v>
      </c>
      <c r="HK125" s="450">
        <f t="shared" si="116"/>
        <v>6162.87</v>
      </c>
    </row>
    <row r="126" spans="1:219" ht="15" customHeight="1" x14ac:dyDescent="0.3">
      <c r="A126" s="295" t="s">
        <v>355</v>
      </c>
      <c r="B126" s="296" t="s">
        <v>419</v>
      </c>
      <c r="C126" s="297">
        <v>2263826000</v>
      </c>
      <c r="D126" s="298">
        <f t="shared" si="61"/>
        <v>2406447.0379999997</v>
      </c>
      <c r="E126" s="297">
        <v>131615433</v>
      </c>
      <c r="F126" s="297">
        <f t="shared" si="62"/>
        <v>139907.20527899999</v>
      </c>
      <c r="Q126" s="299" t="s">
        <v>553</v>
      </c>
      <c r="R126" s="300" t="s">
        <v>418</v>
      </c>
      <c r="S126" s="301">
        <v>13192408000</v>
      </c>
      <c r="T126" s="301">
        <v>0</v>
      </c>
      <c r="U126" s="301">
        <f t="shared" si="64"/>
        <v>14023529.704</v>
      </c>
      <c r="V126" s="301">
        <f t="shared" si="65"/>
        <v>0</v>
      </c>
      <c r="AF126" s="296" t="s">
        <v>415</v>
      </c>
      <c r="AG126" s="297">
        <v>159090000</v>
      </c>
      <c r="AH126" s="297">
        <f t="shared" si="117"/>
        <v>169112.66999999998</v>
      </c>
      <c r="AI126" s="297">
        <v>645000</v>
      </c>
      <c r="AL126" s="450"/>
      <c r="AU126" s="447" t="s">
        <v>449</v>
      </c>
      <c r="AV126" s="448" t="s">
        <v>618</v>
      </c>
      <c r="AW126" s="449">
        <v>167540000</v>
      </c>
      <c r="AX126" s="449">
        <v>41991900</v>
      </c>
      <c r="AY126" s="449">
        <v>125548100</v>
      </c>
      <c r="AZ126" s="450">
        <f t="shared" si="68"/>
        <v>178095.02</v>
      </c>
      <c r="BA126" s="450">
        <f t="shared" si="69"/>
        <v>44637.3897</v>
      </c>
      <c r="BB126" s="450">
        <f t="shared" si="70"/>
        <v>133457.63029999999</v>
      </c>
      <c r="BF126" s="447"/>
      <c r="BG126" s="448"/>
      <c r="BH126" s="449"/>
      <c r="BI126" s="450"/>
      <c r="BM126" s="451" t="s">
        <v>355</v>
      </c>
      <c r="BN126" s="94" t="s">
        <v>639</v>
      </c>
      <c r="BO126" s="95">
        <v>155587000</v>
      </c>
      <c r="BP126" s="95">
        <v>155587000</v>
      </c>
      <c r="BQ126" s="95">
        <v>392905708</v>
      </c>
      <c r="BR126" s="95">
        <v>-237318708</v>
      </c>
      <c r="BS126" s="95">
        <v>392905708</v>
      </c>
      <c r="BT126" s="450">
        <f t="shared" si="72"/>
        <v>155587</v>
      </c>
      <c r="BU126" s="450">
        <f t="shared" si="73"/>
        <v>392905.70799999998</v>
      </c>
      <c r="BV126" s="450">
        <f t="shared" si="74"/>
        <v>-237318.70800000001</v>
      </c>
      <c r="BW126" s="450">
        <f t="shared" si="75"/>
        <v>392905.70799999998</v>
      </c>
      <c r="CG126" s="448" t="s">
        <v>531</v>
      </c>
      <c r="CH126" s="449">
        <v>45387000</v>
      </c>
      <c r="CI126" s="449">
        <v>45387000</v>
      </c>
      <c r="CJ126" s="449">
        <v>0</v>
      </c>
      <c r="CK126" s="449">
        <v>42280000</v>
      </c>
      <c r="CL126" s="449">
        <v>3107000</v>
      </c>
      <c r="CM126" s="449">
        <v>42280000</v>
      </c>
      <c r="CN126" s="449">
        <f t="shared" si="77"/>
        <v>45387</v>
      </c>
      <c r="CO126" s="449">
        <f t="shared" si="78"/>
        <v>42280</v>
      </c>
      <c r="CP126" s="449">
        <f t="shared" si="79"/>
        <v>3107</v>
      </c>
      <c r="CQ126" s="449">
        <f t="shared" si="80"/>
        <v>42280</v>
      </c>
      <c r="CU126" s="448"/>
      <c r="CV126" s="449"/>
      <c r="CW126" s="449"/>
      <c r="CX126" s="450"/>
      <c r="CY126" s="450"/>
      <c r="DB126" s="602" t="s">
        <v>531</v>
      </c>
      <c r="DC126" s="603">
        <v>45387000</v>
      </c>
      <c r="DD126" s="603">
        <v>42280000</v>
      </c>
      <c r="DE126" s="603">
        <v>3107000</v>
      </c>
      <c r="DF126" s="603">
        <v>42280000</v>
      </c>
      <c r="DG126" s="604">
        <f t="shared" si="83"/>
        <v>45387</v>
      </c>
      <c r="DH126" s="604">
        <f t="shared" si="84"/>
        <v>42280</v>
      </c>
      <c r="DI126" s="604">
        <f t="shared" si="85"/>
        <v>3107</v>
      </c>
      <c r="DJ126" s="604">
        <f t="shared" si="86"/>
        <v>42280</v>
      </c>
      <c r="DV126" s="94" t="s">
        <v>614</v>
      </c>
      <c r="DW126" s="95">
        <v>55010000</v>
      </c>
      <c r="DX126" s="95">
        <v>55000000</v>
      </c>
      <c r="DY126" s="95">
        <v>10000</v>
      </c>
      <c r="DZ126" s="95">
        <v>0</v>
      </c>
      <c r="EA126" s="95">
        <f t="shared" si="89"/>
        <v>55010</v>
      </c>
      <c r="EB126" s="95">
        <f t="shared" si="90"/>
        <v>55000</v>
      </c>
      <c r="EC126" s="95">
        <f t="shared" si="91"/>
        <v>10</v>
      </c>
      <c r="ED126" s="95">
        <f t="shared" si="92"/>
        <v>0</v>
      </c>
      <c r="EN126" s="444" t="s">
        <v>612</v>
      </c>
      <c r="EO126" s="450">
        <v>4360000</v>
      </c>
      <c r="EP126" s="450">
        <v>4360000</v>
      </c>
      <c r="EQ126" s="450">
        <v>0</v>
      </c>
      <c r="ER126" s="450">
        <v>4360000</v>
      </c>
      <c r="ES126" s="746">
        <f t="shared" si="94"/>
        <v>4360</v>
      </c>
      <c r="ET126" s="746">
        <f t="shared" si="95"/>
        <v>4360</v>
      </c>
      <c r="EU126" s="746">
        <f t="shared" si="96"/>
        <v>0</v>
      </c>
      <c r="EV126" s="746">
        <f t="shared" si="97"/>
        <v>4360</v>
      </c>
      <c r="FG126" s="785" t="s">
        <v>553</v>
      </c>
      <c r="FH126" s="784" t="s">
        <v>612</v>
      </c>
      <c r="FI126" s="782">
        <v>4360000</v>
      </c>
      <c r="FJ126" s="783">
        <v>4360000</v>
      </c>
      <c r="FK126" s="783">
        <v>0</v>
      </c>
      <c r="FL126" s="783">
        <v>4360000</v>
      </c>
      <c r="FM126" s="450">
        <f t="shared" si="99"/>
        <v>4360</v>
      </c>
      <c r="FN126" s="450">
        <f t="shared" si="100"/>
        <v>4360</v>
      </c>
      <c r="FO126" s="450">
        <f t="shared" si="101"/>
        <v>0</v>
      </c>
      <c r="FP126" s="450">
        <f t="shared" si="102"/>
        <v>4360</v>
      </c>
      <c r="GA126" s="820"/>
      <c r="GG126" s="817" t="s">
        <v>553</v>
      </c>
      <c r="GH126" s="818" t="s">
        <v>612</v>
      </c>
      <c r="GI126" s="819">
        <v>4360000</v>
      </c>
      <c r="GJ126" s="819">
        <v>4360000</v>
      </c>
      <c r="GK126" s="819">
        <v>0</v>
      </c>
      <c r="GL126" s="819">
        <v>4360000</v>
      </c>
      <c r="GM126" s="819">
        <v>0</v>
      </c>
      <c r="GN126" s="450">
        <f t="shared" si="106"/>
        <v>4360</v>
      </c>
      <c r="GO126" s="450">
        <f t="shared" si="107"/>
        <v>4360</v>
      </c>
      <c r="GP126" s="450">
        <f t="shared" si="108"/>
        <v>0</v>
      </c>
      <c r="GQ126" s="450">
        <f t="shared" si="109"/>
        <v>4360</v>
      </c>
      <c r="GR126" s="450">
        <f t="shared" si="110"/>
        <v>0</v>
      </c>
      <c r="GV126" s="841" t="s">
        <v>415</v>
      </c>
      <c r="GW126" s="840">
        <v>49314837</v>
      </c>
      <c r="GX126" s="450">
        <f t="shared" si="111"/>
        <v>49314.837</v>
      </c>
      <c r="HB126" s="843" t="s">
        <v>608</v>
      </c>
      <c r="HC126" s="819">
        <v>15965393</v>
      </c>
      <c r="HD126" s="819">
        <v>15965393</v>
      </c>
      <c r="HE126" s="819">
        <v>0</v>
      </c>
      <c r="HF126" s="819">
        <v>15965393</v>
      </c>
      <c r="HG126" s="450">
        <f t="shared" si="112"/>
        <v>15965.393</v>
      </c>
      <c r="HH126" s="450">
        <f t="shared" si="113"/>
        <v>0</v>
      </c>
      <c r="HI126" s="450">
        <f t="shared" si="114"/>
        <v>15965.393</v>
      </c>
      <c r="HJ126" s="450">
        <f t="shared" si="115"/>
        <v>0</v>
      </c>
      <c r="HK126" s="450">
        <f t="shared" si="116"/>
        <v>15965.393</v>
      </c>
    </row>
    <row r="127" spans="1:219" ht="15" customHeight="1" x14ac:dyDescent="0.3">
      <c r="A127" s="295" t="s">
        <v>553</v>
      </c>
      <c r="B127" s="296" t="s">
        <v>420</v>
      </c>
      <c r="C127" s="297">
        <v>2263826000</v>
      </c>
      <c r="D127" s="298">
        <f t="shared" si="61"/>
        <v>2406447.0379999997</v>
      </c>
      <c r="E127" s="297">
        <v>131615433</v>
      </c>
      <c r="F127" s="297">
        <f t="shared" si="62"/>
        <v>139907.20527899999</v>
      </c>
      <c r="Q127" s="299" t="s">
        <v>355</v>
      </c>
      <c r="R127" s="300" t="s">
        <v>419</v>
      </c>
      <c r="S127" s="301">
        <v>2263826000</v>
      </c>
      <c r="T127" s="301">
        <v>131615433</v>
      </c>
      <c r="U127" s="301">
        <f t="shared" si="64"/>
        <v>2406447.0379999997</v>
      </c>
      <c r="V127" s="301">
        <f t="shared" si="65"/>
        <v>139907.20527899999</v>
      </c>
      <c r="AF127" s="296" t="s">
        <v>620</v>
      </c>
      <c r="AG127" s="297">
        <v>159090000</v>
      </c>
      <c r="AH127" s="297">
        <f t="shared" si="117"/>
        <v>169112.66999999998</v>
      </c>
      <c r="AI127" s="297">
        <v>645000</v>
      </c>
      <c r="AL127" s="450"/>
      <c r="AU127" s="447" t="s">
        <v>355</v>
      </c>
      <c r="AV127" s="448" t="s">
        <v>414</v>
      </c>
      <c r="AW127" s="449">
        <v>8450000</v>
      </c>
      <c r="AX127" s="449">
        <v>0</v>
      </c>
      <c r="AY127" s="449">
        <v>8450000</v>
      </c>
      <c r="AZ127" s="450">
        <f t="shared" si="68"/>
        <v>8982.35</v>
      </c>
      <c r="BA127" s="450">
        <f t="shared" si="69"/>
        <v>0</v>
      </c>
      <c r="BB127" s="450">
        <f t="shared" si="70"/>
        <v>8982.35</v>
      </c>
      <c r="BF127" s="447"/>
      <c r="BG127" s="448"/>
      <c r="BH127" s="449"/>
      <c r="BI127" s="450"/>
      <c r="BM127" s="451" t="s">
        <v>449</v>
      </c>
      <c r="BN127" s="94" t="s">
        <v>618</v>
      </c>
      <c r="BO127" s="95">
        <v>167540000</v>
      </c>
      <c r="BP127" s="95">
        <v>167540000</v>
      </c>
      <c r="BQ127" s="95">
        <v>50791899</v>
      </c>
      <c r="BR127" s="95">
        <v>116748101</v>
      </c>
      <c r="BS127" s="95">
        <v>15674540</v>
      </c>
      <c r="BT127" s="450">
        <f t="shared" si="72"/>
        <v>167540</v>
      </c>
      <c r="BU127" s="450">
        <f t="shared" si="73"/>
        <v>50791.898999999998</v>
      </c>
      <c r="BV127" s="450">
        <f t="shared" si="74"/>
        <v>116748.101</v>
      </c>
      <c r="BW127" s="450">
        <f t="shared" si="75"/>
        <v>15674.54</v>
      </c>
      <c r="CG127" s="448" t="s">
        <v>638</v>
      </c>
      <c r="CH127" s="449">
        <v>155587000</v>
      </c>
      <c r="CI127" s="449">
        <v>155587000</v>
      </c>
      <c r="CJ127" s="449">
        <v>0</v>
      </c>
      <c r="CK127" s="449">
        <v>392905708</v>
      </c>
      <c r="CL127" s="449">
        <v>-237318708</v>
      </c>
      <c r="CM127" s="449">
        <v>392905708</v>
      </c>
      <c r="CN127" s="449">
        <f t="shared" si="77"/>
        <v>155587</v>
      </c>
      <c r="CO127" s="449">
        <f t="shared" si="78"/>
        <v>392905.70799999998</v>
      </c>
      <c r="CP127" s="449">
        <f t="shared" si="79"/>
        <v>-237318.70800000001</v>
      </c>
      <c r="CQ127" s="449">
        <f t="shared" si="80"/>
        <v>392905.70799999998</v>
      </c>
      <c r="CU127" s="448"/>
      <c r="CV127" s="449"/>
      <c r="CW127" s="449"/>
      <c r="CX127" s="450"/>
      <c r="CY127" s="450"/>
      <c r="DB127" s="602" t="s">
        <v>638</v>
      </c>
      <c r="DC127" s="603">
        <v>155587000</v>
      </c>
      <c r="DD127" s="603">
        <v>592905708</v>
      </c>
      <c r="DE127" s="603">
        <v>-437318708</v>
      </c>
      <c r="DF127" s="603">
        <v>474269435</v>
      </c>
      <c r="DG127" s="604">
        <f t="shared" si="83"/>
        <v>155587</v>
      </c>
      <c r="DH127" s="604">
        <f t="shared" si="84"/>
        <v>592905.70799999998</v>
      </c>
      <c r="DI127" s="604">
        <f t="shared" si="85"/>
        <v>-437318.70799999998</v>
      </c>
      <c r="DJ127" s="604">
        <f t="shared" si="86"/>
        <v>474269.435</v>
      </c>
      <c r="DV127" s="94" t="s">
        <v>532</v>
      </c>
      <c r="DW127" s="95">
        <v>208482000</v>
      </c>
      <c r="DX127" s="95">
        <v>167402727</v>
      </c>
      <c r="DY127" s="95">
        <v>41079273</v>
      </c>
      <c r="DZ127" s="95">
        <v>108995893</v>
      </c>
      <c r="EA127" s="95">
        <f t="shared" si="89"/>
        <v>208482</v>
      </c>
      <c r="EB127" s="95">
        <f t="shared" si="90"/>
        <v>167402.72700000001</v>
      </c>
      <c r="EC127" s="95">
        <f t="shared" si="91"/>
        <v>41079.273000000001</v>
      </c>
      <c r="ED127" s="95">
        <f t="shared" si="92"/>
        <v>108995.893</v>
      </c>
      <c r="EN127" s="444" t="s">
        <v>412</v>
      </c>
      <c r="EO127" s="450">
        <v>308879000</v>
      </c>
      <c r="EP127" s="450">
        <v>264682727</v>
      </c>
      <c r="EQ127" s="450">
        <v>44196273</v>
      </c>
      <c r="ER127" s="450">
        <v>184885665</v>
      </c>
      <c r="ES127" s="746">
        <f t="shared" si="94"/>
        <v>308879</v>
      </c>
      <c r="ET127" s="746">
        <f t="shared" si="95"/>
        <v>264682.72700000001</v>
      </c>
      <c r="EU127" s="746">
        <f t="shared" si="96"/>
        <v>44196.273000000001</v>
      </c>
      <c r="EV127" s="746">
        <f t="shared" si="97"/>
        <v>184885.66500000001</v>
      </c>
      <c r="FG127" s="785" t="s">
        <v>449</v>
      </c>
      <c r="FH127" s="784" t="s">
        <v>412</v>
      </c>
      <c r="FI127" s="782">
        <v>433534000</v>
      </c>
      <c r="FJ127" s="783">
        <v>264682727</v>
      </c>
      <c r="FK127" s="783">
        <v>168851273</v>
      </c>
      <c r="FL127" s="783">
        <v>196304077</v>
      </c>
      <c r="FM127" s="450">
        <f t="shared" si="99"/>
        <v>433534</v>
      </c>
      <c r="FN127" s="450">
        <f t="shared" si="100"/>
        <v>264682.72700000001</v>
      </c>
      <c r="FO127" s="450">
        <f t="shared" si="101"/>
        <v>168851.27299999999</v>
      </c>
      <c r="FP127" s="450">
        <f t="shared" si="102"/>
        <v>196304.07699999999</v>
      </c>
      <c r="GG127" s="817" t="s">
        <v>449</v>
      </c>
      <c r="GH127" s="818" t="s">
        <v>412</v>
      </c>
      <c r="GI127" s="819">
        <v>436904000</v>
      </c>
      <c r="GJ127" s="819">
        <v>385837727</v>
      </c>
      <c r="GK127" s="819">
        <v>51066273</v>
      </c>
      <c r="GL127" s="819">
        <v>249057890</v>
      </c>
      <c r="GM127" s="819">
        <v>136779837</v>
      </c>
      <c r="GN127" s="450">
        <f t="shared" si="106"/>
        <v>436904</v>
      </c>
      <c r="GO127" s="450">
        <f t="shared" si="107"/>
        <v>385837.72700000001</v>
      </c>
      <c r="GP127" s="450">
        <f t="shared" si="108"/>
        <v>51066.273000000001</v>
      </c>
      <c r="GQ127" s="450">
        <f t="shared" si="109"/>
        <v>249057.89</v>
      </c>
      <c r="GR127" s="450">
        <f t="shared" si="110"/>
        <v>136779.837</v>
      </c>
      <c r="GV127" s="841" t="s">
        <v>620</v>
      </c>
      <c r="GW127" s="840">
        <v>29366056</v>
      </c>
      <c r="GX127" s="450">
        <f t="shared" si="111"/>
        <v>29366.056</v>
      </c>
      <c r="HB127" s="843" t="s">
        <v>410</v>
      </c>
      <c r="HC127" s="819">
        <v>9611228</v>
      </c>
      <c r="HD127" s="819">
        <v>9611228</v>
      </c>
      <c r="HE127" s="819">
        <v>0</v>
      </c>
      <c r="HF127" s="819">
        <v>9611228</v>
      </c>
      <c r="HG127" s="450">
        <f t="shared" si="112"/>
        <v>9611.2279999999992</v>
      </c>
      <c r="HH127" s="450">
        <f t="shared" si="113"/>
        <v>0</v>
      </c>
      <c r="HI127" s="450">
        <f t="shared" si="114"/>
        <v>9611.2279999999992</v>
      </c>
      <c r="HJ127" s="450">
        <f t="shared" si="115"/>
        <v>0</v>
      </c>
      <c r="HK127" s="450">
        <f t="shared" si="116"/>
        <v>9611.2279999999992</v>
      </c>
    </row>
    <row r="128" spans="1:219" ht="15" customHeight="1" x14ac:dyDescent="0.3">
      <c r="A128" s="295" t="s">
        <v>554</v>
      </c>
      <c r="B128" s="296" t="s">
        <v>621</v>
      </c>
      <c r="C128" s="297">
        <v>2263826000</v>
      </c>
      <c r="D128" s="298">
        <f t="shared" si="61"/>
        <v>2406447.0379999997</v>
      </c>
      <c r="E128" s="297">
        <v>131615433</v>
      </c>
      <c r="F128" s="297">
        <f t="shared" si="62"/>
        <v>139907.20527899999</v>
      </c>
      <c r="Q128" s="299" t="s">
        <v>553</v>
      </c>
      <c r="R128" s="300" t="s">
        <v>420</v>
      </c>
      <c r="S128" s="301">
        <v>2263826000</v>
      </c>
      <c r="T128" s="301">
        <v>131615433</v>
      </c>
      <c r="U128" s="301">
        <f t="shared" si="64"/>
        <v>2406447.0379999997</v>
      </c>
      <c r="V128" s="301">
        <f t="shared" si="65"/>
        <v>139907.20527899999</v>
      </c>
      <c r="AF128" s="296" t="s">
        <v>416</v>
      </c>
      <c r="AG128" s="297">
        <v>15673650000</v>
      </c>
      <c r="AH128" s="297">
        <f t="shared" si="117"/>
        <v>16661089.949999999</v>
      </c>
      <c r="AI128" s="297">
        <v>7955163179</v>
      </c>
      <c r="AL128" s="450"/>
      <c r="AU128" s="447" t="s">
        <v>553</v>
      </c>
      <c r="AV128" s="448" t="s">
        <v>619</v>
      </c>
      <c r="AW128" s="449">
        <v>8450000</v>
      </c>
      <c r="AX128" s="449">
        <v>0</v>
      </c>
      <c r="AY128" s="449">
        <v>8450000</v>
      </c>
      <c r="AZ128" s="450">
        <f t="shared" si="68"/>
        <v>8982.35</v>
      </c>
      <c r="BA128" s="450">
        <f t="shared" si="69"/>
        <v>0</v>
      </c>
      <c r="BB128" s="450">
        <f t="shared" si="70"/>
        <v>8982.35</v>
      </c>
      <c r="BF128" s="447"/>
      <c r="BG128" s="448"/>
      <c r="BH128" s="449"/>
      <c r="BI128" s="450"/>
      <c r="BM128" s="451" t="s">
        <v>355</v>
      </c>
      <c r="BN128" s="94" t="s">
        <v>414</v>
      </c>
      <c r="BO128" s="95">
        <v>8450000</v>
      </c>
      <c r="BP128" s="95">
        <v>8450000</v>
      </c>
      <c r="BQ128" s="95">
        <v>0</v>
      </c>
      <c r="BR128" s="95">
        <v>8450000</v>
      </c>
      <c r="BS128" s="95">
        <v>0</v>
      </c>
      <c r="BT128" s="450">
        <f t="shared" si="72"/>
        <v>8450</v>
      </c>
      <c r="BU128" s="450">
        <f t="shared" si="73"/>
        <v>0</v>
      </c>
      <c r="BV128" s="450">
        <f t="shared" si="74"/>
        <v>8450</v>
      </c>
      <c r="BW128" s="450">
        <f t="shared" si="75"/>
        <v>0</v>
      </c>
      <c r="CG128" s="448" t="s">
        <v>639</v>
      </c>
      <c r="CH128" s="449">
        <v>155587000</v>
      </c>
      <c r="CI128" s="449">
        <v>155587000</v>
      </c>
      <c r="CJ128" s="449">
        <v>0</v>
      </c>
      <c r="CK128" s="449">
        <v>392905708</v>
      </c>
      <c r="CL128" s="449">
        <v>-237318708</v>
      </c>
      <c r="CM128" s="449">
        <v>392905708</v>
      </c>
      <c r="CN128" s="449">
        <f t="shared" si="77"/>
        <v>155587</v>
      </c>
      <c r="CO128" s="449">
        <f t="shared" si="78"/>
        <v>392905.70799999998</v>
      </c>
      <c r="CP128" s="449">
        <f t="shared" si="79"/>
        <v>-237318.70800000001</v>
      </c>
      <c r="CQ128" s="449">
        <f t="shared" si="80"/>
        <v>392905.70799999998</v>
      </c>
      <c r="CU128" s="448"/>
      <c r="CV128" s="449"/>
      <c r="CW128" s="449"/>
      <c r="CX128" s="450"/>
      <c r="CY128" s="450"/>
      <c r="DB128" s="602" t="s">
        <v>639</v>
      </c>
      <c r="DC128" s="603">
        <v>155587000</v>
      </c>
      <c r="DD128" s="603">
        <v>592905708</v>
      </c>
      <c r="DE128" s="603">
        <v>-437318708</v>
      </c>
      <c r="DF128" s="603">
        <v>474269435</v>
      </c>
      <c r="DG128" s="604">
        <f t="shared" si="83"/>
        <v>155587</v>
      </c>
      <c r="DH128" s="604">
        <f t="shared" si="84"/>
        <v>592905.70799999998</v>
      </c>
      <c r="DI128" s="604">
        <f t="shared" si="85"/>
        <v>-437318.70799999998</v>
      </c>
      <c r="DJ128" s="604">
        <f t="shared" si="86"/>
        <v>474269.435</v>
      </c>
      <c r="DV128" s="94" t="s">
        <v>531</v>
      </c>
      <c r="DW128" s="95">
        <v>45387000</v>
      </c>
      <c r="DX128" s="95">
        <v>42280000</v>
      </c>
      <c r="DY128" s="95">
        <v>3107000</v>
      </c>
      <c r="DZ128" s="95">
        <v>42280000</v>
      </c>
      <c r="EA128" s="95">
        <f t="shared" si="89"/>
        <v>45387</v>
      </c>
      <c r="EB128" s="95">
        <f t="shared" si="90"/>
        <v>42280</v>
      </c>
      <c r="EC128" s="95">
        <f t="shared" si="91"/>
        <v>3107</v>
      </c>
      <c r="ED128" s="95">
        <f t="shared" si="92"/>
        <v>42280</v>
      </c>
      <c r="EN128" s="444" t="s">
        <v>413</v>
      </c>
      <c r="EO128" s="450">
        <v>308879000</v>
      </c>
      <c r="EP128" s="450">
        <v>264682727</v>
      </c>
      <c r="EQ128" s="450">
        <v>44196273</v>
      </c>
      <c r="ER128" s="450">
        <v>184885665</v>
      </c>
      <c r="ES128" s="746">
        <f t="shared" si="94"/>
        <v>308879</v>
      </c>
      <c r="ET128" s="746">
        <f t="shared" si="95"/>
        <v>264682.72700000001</v>
      </c>
      <c r="EU128" s="746">
        <f t="shared" si="96"/>
        <v>44196.273000000001</v>
      </c>
      <c r="EV128" s="746">
        <f t="shared" si="97"/>
        <v>184885.66500000001</v>
      </c>
      <c r="FG128" s="785" t="s">
        <v>355</v>
      </c>
      <c r="FH128" s="784" t="s">
        <v>538</v>
      </c>
      <c r="FI128" s="782">
        <v>81155000</v>
      </c>
      <c r="FJ128" s="783">
        <v>0</v>
      </c>
      <c r="FK128" s="783">
        <v>81155000</v>
      </c>
      <c r="FL128" s="783">
        <v>0</v>
      </c>
      <c r="FM128" s="450">
        <f t="shared" si="99"/>
        <v>81155</v>
      </c>
      <c r="FN128" s="450">
        <f t="shared" si="100"/>
        <v>0</v>
      </c>
      <c r="FO128" s="450">
        <f t="shared" si="101"/>
        <v>81155</v>
      </c>
      <c r="FP128" s="450">
        <f t="shared" si="102"/>
        <v>0</v>
      </c>
      <c r="GG128" s="817" t="s">
        <v>355</v>
      </c>
      <c r="GH128" s="818" t="s">
        <v>538</v>
      </c>
      <c r="GI128" s="819">
        <v>81155000</v>
      </c>
      <c r="GJ128" s="819">
        <v>81155000</v>
      </c>
      <c r="GK128" s="819">
        <v>0</v>
      </c>
      <c r="GL128" s="819">
        <v>0</v>
      </c>
      <c r="GM128" s="819">
        <v>81155000</v>
      </c>
      <c r="GN128" s="450">
        <f t="shared" si="106"/>
        <v>81155</v>
      </c>
      <c r="GO128" s="450">
        <f t="shared" si="107"/>
        <v>81155</v>
      </c>
      <c r="GP128" s="450">
        <f t="shared" si="108"/>
        <v>0</v>
      </c>
      <c r="GQ128" s="450">
        <f t="shared" si="109"/>
        <v>0</v>
      </c>
      <c r="GR128" s="450">
        <f t="shared" si="110"/>
        <v>81155</v>
      </c>
      <c r="GV128" s="841" t="s">
        <v>914</v>
      </c>
      <c r="GW128" s="840">
        <v>19948781</v>
      </c>
      <c r="GX128" s="450">
        <f t="shared" si="111"/>
        <v>19948.780999999999</v>
      </c>
      <c r="HB128" s="843" t="s">
        <v>609</v>
      </c>
      <c r="HC128" s="819">
        <v>6058975</v>
      </c>
      <c r="HD128" s="819">
        <v>6058975</v>
      </c>
      <c r="HE128" s="819">
        <v>0</v>
      </c>
      <c r="HF128" s="819">
        <v>6058975</v>
      </c>
      <c r="HG128" s="450">
        <f t="shared" si="112"/>
        <v>6058.9750000000004</v>
      </c>
      <c r="HH128" s="450">
        <f t="shared" si="113"/>
        <v>0</v>
      </c>
      <c r="HI128" s="450">
        <f t="shared" si="114"/>
        <v>6058.9750000000004</v>
      </c>
      <c r="HJ128" s="450">
        <f t="shared" si="115"/>
        <v>0</v>
      </c>
      <c r="HK128" s="450">
        <f t="shared" si="116"/>
        <v>6058.9750000000004</v>
      </c>
    </row>
    <row r="129" spans="1:219" ht="15" customHeight="1" x14ac:dyDescent="0.3">
      <c r="A129" s="295" t="s">
        <v>355</v>
      </c>
      <c r="B129" s="296" t="s">
        <v>622</v>
      </c>
      <c r="C129" s="297">
        <v>217406000</v>
      </c>
      <c r="D129" s="298">
        <f t="shared" si="61"/>
        <v>231102.57799999998</v>
      </c>
      <c r="E129" s="297">
        <v>95146325</v>
      </c>
      <c r="F129" s="297">
        <f t="shared" si="62"/>
        <v>101140.543475</v>
      </c>
      <c r="Q129" s="299" t="s">
        <v>554</v>
      </c>
      <c r="R129" s="300" t="s">
        <v>621</v>
      </c>
      <c r="S129" s="301">
        <v>2263826000</v>
      </c>
      <c r="T129" s="301">
        <v>131615433</v>
      </c>
      <c r="U129" s="301">
        <f t="shared" si="64"/>
        <v>2406447.0379999997</v>
      </c>
      <c r="V129" s="301">
        <f t="shared" si="65"/>
        <v>139907.20527899999</v>
      </c>
      <c r="AF129" s="296" t="s">
        <v>417</v>
      </c>
      <c r="AG129" s="297">
        <v>13192408000</v>
      </c>
      <c r="AH129" s="297">
        <f t="shared" si="117"/>
        <v>14023529.704</v>
      </c>
      <c r="AI129" s="297">
        <v>6132258586</v>
      </c>
      <c r="AL129" s="450"/>
      <c r="AU129" s="447" t="s">
        <v>355</v>
      </c>
      <c r="AV129" s="448" t="s">
        <v>415</v>
      </c>
      <c r="AW129" s="449">
        <v>159090000</v>
      </c>
      <c r="AX129" s="449">
        <v>41991900</v>
      </c>
      <c r="AY129" s="449">
        <v>117098100</v>
      </c>
      <c r="AZ129" s="450">
        <f t="shared" si="68"/>
        <v>169112.66999999998</v>
      </c>
      <c r="BA129" s="450">
        <f t="shared" si="69"/>
        <v>44637.3897</v>
      </c>
      <c r="BB129" s="450">
        <f t="shared" si="70"/>
        <v>124475.2803</v>
      </c>
      <c r="BF129" s="447"/>
      <c r="BG129" s="448"/>
      <c r="BH129" s="449"/>
      <c r="BI129" s="450"/>
      <c r="BM129" s="451" t="s">
        <v>553</v>
      </c>
      <c r="BN129" s="94" t="s">
        <v>619</v>
      </c>
      <c r="BO129" s="95">
        <v>0</v>
      </c>
      <c r="BP129" s="95">
        <v>8450000</v>
      </c>
      <c r="BQ129" s="95">
        <v>0</v>
      </c>
      <c r="BR129" s="95">
        <v>8450000</v>
      </c>
      <c r="BS129" s="95">
        <v>0</v>
      </c>
      <c r="BT129" s="450">
        <f t="shared" si="72"/>
        <v>8450</v>
      </c>
      <c r="BU129" s="450">
        <f t="shared" si="73"/>
        <v>0</v>
      </c>
      <c r="BV129" s="450">
        <f t="shared" si="74"/>
        <v>8450</v>
      </c>
      <c r="BW129" s="450">
        <f t="shared" si="75"/>
        <v>0</v>
      </c>
      <c r="CG129" s="448" t="s">
        <v>618</v>
      </c>
      <c r="CH129" s="449">
        <v>167540000</v>
      </c>
      <c r="CI129" s="449">
        <v>167540000</v>
      </c>
      <c r="CJ129" s="449">
        <v>0</v>
      </c>
      <c r="CK129" s="449">
        <v>54781899</v>
      </c>
      <c r="CL129" s="449">
        <v>112758101</v>
      </c>
      <c r="CM129" s="449">
        <v>24474539</v>
      </c>
      <c r="CN129" s="449">
        <f t="shared" si="77"/>
        <v>167540</v>
      </c>
      <c r="CO129" s="449">
        <f t="shared" si="78"/>
        <v>54781.898999999998</v>
      </c>
      <c r="CP129" s="449">
        <f t="shared" si="79"/>
        <v>112758.101</v>
      </c>
      <c r="CQ129" s="449">
        <f t="shared" si="80"/>
        <v>24474.539000000001</v>
      </c>
      <c r="CU129" s="448"/>
      <c r="CV129" s="449"/>
      <c r="CW129" s="449"/>
      <c r="CX129" s="450"/>
      <c r="CY129" s="450"/>
      <c r="DB129" s="602" t="s">
        <v>618</v>
      </c>
      <c r="DC129" s="603">
        <v>167540000</v>
      </c>
      <c r="DD129" s="603">
        <v>56819381</v>
      </c>
      <c r="DE129" s="603">
        <v>110720619</v>
      </c>
      <c r="DF129" s="603">
        <v>39169381</v>
      </c>
      <c r="DG129" s="604">
        <f t="shared" si="83"/>
        <v>167540</v>
      </c>
      <c r="DH129" s="604">
        <f t="shared" si="84"/>
        <v>56819.381000000001</v>
      </c>
      <c r="DI129" s="604">
        <f t="shared" si="85"/>
        <v>110720.61900000001</v>
      </c>
      <c r="DJ129" s="604">
        <f t="shared" si="86"/>
        <v>39169.381000000001</v>
      </c>
      <c r="DV129" s="94" t="s">
        <v>638</v>
      </c>
      <c r="DW129" s="95">
        <v>155587000</v>
      </c>
      <c r="DX129" s="95">
        <v>592905708</v>
      </c>
      <c r="DY129" s="95">
        <v>-437318708</v>
      </c>
      <c r="DZ129" s="95">
        <v>474269435</v>
      </c>
      <c r="EA129" s="95">
        <f t="shared" si="89"/>
        <v>155587</v>
      </c>
      <c r="EB129" s="95">
        <f t="shared" si="90"/>
        <v>592905.70799999998</v>
      </c>
      <c r="EC129" s="95">
        <f t="shared" si="91"/>
        <v>-437318.70799999998</v>
      </c>
      <c r="ED129" s="95">
        <f t="shared" si="92"/>
        <v>474269.435</v>
      </c>
      <c r="EN129" s="444" t="s">
        <v>614</v>
      </c>
      <c r="EO129" s="450">
        <v>55010000</v>
      </c>
      <c r="EP129" s="450">
        <v>55000000</v>
      </c>
      <c r="EQ129" s="450">
        <v>10000</v>
      </c>
      <c r="ER129" s="450">
        <v>22000000</v>
      </c>
      <c r="ES129" s="746">
        <f t="shared" si="94"/>
        <v>55010</v>
      </c>
      <c r="ET129" s="746">
        <f t="shared" si="95"/>
        <v>55000</v>
      </c>
      <c r="EU129" s="746">
        <f t="shared" si="96"/>
        <v>10</v>
      </c>
      <c r="EV129" s="746">
        <f t="shared" si="97"/>
        <v>22000</v>
      </c>
      <c r="FG129" s="785" t="s">
        <v>553</v>
      </c>
      <c r="FH129" s="784" t="s">
        <v>690</v>
      </c>
      <c r="FI129" s="782">
        <v>81155000</v>
      </c>
      <c r="FJ129" s="783">
        <v>0</v>
      </c>
      <c r="FK129" s="783">
        <v>81155000</v>
      </c>
      <c r="FL129" s="783">
        <v>0</v>
      </c>
      <c r="FM129" s="450">
        <f t="shared" si="99"/>
        <v>81155</v>
      </c>
      <c r="FN129" s="450">
        <f t="shared" si="100"/>
        <v>0</v>
      </c>
      <c r="FO129" s="450">
        <f t="shared" si="101"/>
        <v>81155</v>
      </c>
      <c r="FP129" s="450">
        <f t="shared" si="102"/>
        <v>0</v>
      </c>
      <c r="GG129" s="817" t="s">
        <v>553</v>
      </c>
      <c r="GH129" s="818" t="s">
        <v>690</v>
      </c>
      <c r="GI129" s="819">
        <v>81155000</v>
      </c>
      <c r="GJ129" s="819">
        <v>81155000</v>
      </c>
      <c r="GK129" s="819">
        <v>0</v>
      </c>
      <c r="GL129" s="819">
        <v>0</v>
      </c>
      <c r="GM129" s="819">
        <v>81155000</v>
      </c>
      <c r="GN129" s="450">
        <f t="shared" si="106"/>
        <v>81155</v>
      </c>
      <c r="GO129" s="450">
        <f t="shared" si="107"/>
        <v>81155</v>
      </c>
      <c r="GP129" s="450">
        <f t="shared" si="108"/>
        <v>0</v>
      </c>
      <c r="GQ129" s="450">
        <f t="shared" si="109"/>
        <v>0</v>
      </c>
      <c r="GR129" s="450">
        <f t="shared" si="110"/>
        <v>81155</v>
      </c>
      <c r="GV129" s="841" t="s">
        <v>416</v>
      </c>
      <c r="GW129" s="840">
        <v>8417250497</v>
      </c>
      <c r="GX129" s="450">
        <f t="shared" si="111"/>
        <v>8417250.4969999995</v>
      </c>
      <c r="HB129" s="843" t="s">
        <v>411</v>
      </c>
      <c r="HC129" s="819">
        <v>295190</v>
      </c>
      <c r="HD129" s="819">
        <v>295190</v>
      </c>
      <c r="HE129" s="819">
        <v>0</v>
      </c>
      <c r="HF129" s="819">
        <v>295190</v>
      </c>
      <c r="HG129" s="450">
        <f t="shared" si="112"/>
        <v>295.19</v>
      </c>
      <c r="HH129" s="450">
        <f t="shared" si="113"/>
        <v>0</v>
      </c>
      <c r="HI129" s="450">
        <f t="shared" si="114"/>
        <v>295.19</v>
      </c>
      <c r="HJ129" s="450">
        <f t="shared" si="115"/>
        <v>0</v>
      </c>
      <c r="HK129" s="450">
        <f t="shared" si="116"/>
        <v>295.19</v>
      </c>
    </row>
    <row r="130" spans="1:219" ht="15" customHeight="1" x14ac:dyDescent="0.3">
      <c r="A130" s="295" t="s">
        <v>553</v>
      </c>
      <c r="B130" s="296" t="s">
        <v>421</v>
      </c>
      <c r="C130" s="297">
        <v>217406000</v>
      </c>
      <c r="D130" s="298">
        <f t="shared" si="61"/>
        <v>231102.57799999998</v>
      </c>
      <c r="E130" s="297">
        <v>95146325</v>
      </c>
      <c r="F130" s="297">
        <f t="shared" si="62"/>
        <v>101140.543475</v>
      </c>
      <c r="Q130" s="299" t="s">
        <v>355</v>
      </c>
      <c r="R130" s="300" t="s">
        <v>622</v>
      </c>
      <c r="S130" s="301">
        <v>217406000</v>
      </c>
      <c r="T130" s="301">
        <v>95146325</v>
      </c>
      <c r="U130" s="301">
        <f t="shared" si="64"/>
        <v>231102.57799999998</v>
      </c>
      <c r="V130" s="301">
        <f t="shared" si="65"/>
        <v>101140.543475</v>
      </c>
      <c r="AF130" s="296" t="s">
        <v>418</v>
      </c>
      <c r="AG130" s="297">
        <v>13192408000</v>
      </c>
      <c r="AH130" s="297">
        <f t="shared" si="117"/>
        <v>14023529.704</v>
      </c>
      <c r="AI130" s="297">
        <v>6132258586</v>
      </c>
      <c r="AL130" s="450"/>
      <c r="AU130" s="447" t="s">
        <v>553</v>
      </c>
      <c r="AV130" s="448" t="s">
        <v>620</v>
      </c>
      <c r="AW130" s="449">
        <v>159090000</v>
      </c>
      <c r="AX130" s="449">
        <v>41991900</v>
      </c>
      <c r="AY130" s="449">
        <v>117098100</v>
      </c>
      <c r="AZ130" s="450">
        <f t="shared" si="68"/>
        <v>169112.66999999998</v>
      </c>
      <c r="BA130" s="450">
        <f t="shared" si="69"/>
        <v>44637.3897</v>
      </c>
      <c r="BB130" s="450">
        <f t="shared" si="70"/>
        <v>124475.2803</v>
      </c>
      <c r="BF130" s="447"/>
      <c r="BG130" s="448"/>
      <c r="BH130" s="449"/>
      <c r="BI130" s="450"/>
      <c r="BM130" s="451" t="s">
        <v>355</v>
      </c>
      <c r="BN130" s="94" t="s">
        <v>415</v>
      </c>
      <c r="BO130" s="95">
        <v>159090000</v>
      </c>
      <c r="BP130" s="95">
        <v>159090000</v>
      </c>
      <c r="BQ130" s="95">
        <v>50791899</v>
      </c>
      <c r="BR130" s="95">
        <v>108298101</v>
      </c>
      <c r="BS130" s="95">
        <v>15674540</v>
      </c>
      <c r="BT130" s="450">
        <f t="shared" si="72"/>
        <v>159090</v>
      </c>
      <c r="BU130" s="450">
        <f t="shared" si="73"/>
        <v>50791.898999999998</v>
      </c>
      <c r="BV130" s="450">
        <f t="shared" si="74"/>
        <v>108298.101</v>
      </c>
      <c r="BW130" s="450">
        <f t="shared" si="75"/>
        <v>15674.54</v>
      </c>
      <c r="CG130" s="448" t="s">
        <v>414</v>
      </c>
      <c r="CH130" s="449">
        <v>8450000</v>
      </c>
      <c r="CI130" s="449">
        <v>8450000</v>
      </c>
      <c r="CJ130" s="449">
        <v>0</v>
      </c>
      <c r="CK130" s="449">
        <v>0</v>
      </c>
      <c r="CL130" s="449">
        <v>8450000</v>
      </c>
      <c r="CM130" s="449">
        <v>0</v>
      </c>
      <c r="CN130" s="449">
        <f t="shared" si="77"/>
        <v>8450</v>
      </c>
      <c r="CO130" s="449">
        <f t="shared" si="78"/>
        <v>0</v>
      </c>
      <c r="CP130" s="449">
        <f t="shared" si="79"/>
        <v>8450</v>
      </c>
      <c r="CQ130" s="449">
        <f t="shared" si="80"/>
        <v>0</v>
      </c>
      <c r="CU130" s="448"/>
      <c r="CV130" s="449"/>
      <c r="CW130" s="449"/>
      <c r="CX130" s="450"/>
      <c r="CY130" s="450"/>
      <c r="DB130" s="602" t="s">
        <v>414</v>
      </c>
      <c r="DC130" s="603">
        <v>8450000</v>
      </c>
      <c r="DD130" s="603">
        <v>0</v>
      </c>
      <c r="DE130" s="603">
        <v>8450000</v>
      </c>
      <c r="DF130" s="603">
        <v>0</v>
      </c>
      <c r="DG130" s="604">
        <f t="shared" si="83"/>
        <v>8450</v>
      </c>
      <c r="DH130" s="604">
        <f t="shared" si="84"/>
        <v>0</v>
      </c>
      <c r="DI130" s="604">
        <f t="shared" si="85"/>
        <v>8450</v>
      </c>
      <c r="DJ130" s="604">
        <f t="shared" si="86"/>
        <v>0</v>
      </c>
      <c r="DV130" s="94" t="s">
        <v>639</v>
      </c>
      <c r="DW130" s="95">
        <v>155587000</v>
      </c>
      <c r="DX130" s="95">
        <v>592905708</v>
      </c>
      <c r="DY130" s="95">
        <v>-437318708</v>
      </c>
      <c r="DZ130" s="95">
        <v>474269435</v>
      </c>
      <c r="EA130" s="95">
        <f t="shared" si="89"/>
        <v>155587</v>
      </c>
      <c r="EB130" s="95">
        <f t="shared" si="90"/>
        <v>592905.70799999998</v>
      </c>
      <c r="EC130" s="95">
        <f t="shared" si="91"/>
        <v>-437318.70799999998</v>
      </c>
      <c r="ED130" s="95">
        <f t="shared" si="92"/>
        <v>474269.435</v>
      </c>
      <c r="EN130" s="444" t="s">
        <v>532</v>
      </c>
      <c r="EO130" s="450">
        <v>208482000</v>
      </c>
      <c r="EP130" s="450">
        <v>167402727</v>
      </c>
      <c r="EQ130" s="450">
        <v>41079273</v>
      </c>
      <c r="ER130" s="450">
        <v>120605665</v>
      </c>
      <c r="ES130" s="746">
        <f t="shared" si="94"/>
        <v>208482</v>
      </c>
      <c r="ET130" s="746">
        <f t="shared" si="95"/>
        <v>167402.72700000001</v>
      </c>
      <c r="EU130" s="746">
        <f t="shared" si="96"/>
        <v>41079.273000000001</v>
      </c>
      <c r="EV130" s="746">
        <f t="shared" si="97"/>
        <v>120605.66499999999</v>
      </c>
      <c r="FG130" s="785" t="s">
        <v>355</v>
      </c>
      <c r="FH130" s="784" t="s">
        <v>413</v>
      </c>
      <c r="FI130" s="782">
        <v>308879000</v>
      </c>
      <c r="FJ130" s="783">
        <v>264682727</v>
      </c>
      <c r="FK130" s="783">
        <v>44196273</v>
      </c>
      <c r="FL130" s="783">
        <v>196304077</v>
      </c>
      <c r="FM130" s="450">
        <f t="shared" si="99"/>
        <v>308879</v>
      </c>
      <c r="FN130" s="450">
        <f t="shared" si="100"/>
        <v>264682.72700000001</v>
      </c>
      <c r="FO130" s="450">
        <f t="shared" si="101"/>
        <v>44196.273000000001</v>
      </c>
      <c r="FP130" s="450">
        <f t="shared" si="102"/>
        <v>196304.07699999999</v>
      </c>
      <c r="GG130" s="817" t="s">
        <v>355</v>
      </c>
      <c r="GH130" s="818" t="s">
        <v>413</v>
      </c>
      <c r="GI130" s="819">
        <v>312249000</v>
      </c>
      <c r="GJ130" s="819">
        <v>264682727</v>
      </c>
      <c r="GK130" s="819">
        <v>47566273</v>
      </c>
      <c r="GL130" s="819">
        <v>209057890</v>
      </c>
      <c r="GM130" s="819">
        <v>55624837</v>
      </c>
      <c r="GN130" s="450">
        <f t="shared" si="106"/>
        <v>312249</v>
      </c>
      <c r="GO130" s="450">
        <f t="shared" si="107"/>
        <v>264682.72700000001</v>
      </c>
      <c r="GP130" s="450">
        <f t="shared" si="108"/>
        <v>47566.273000000001</v>
      </c>
      <c r="GQ130" s="450">
        <f t="shared" si="109"/>
        <v>209057.89</v>
      </c>
      <c r="GR130" s="450">
        <f t="shared" si="110"/>
        <v>55624.837</v>
      </c>
      <c r="GV130" s="841" t="s">
        <v>417</v>
      </c>
      <c r="GW130" s="840">
        <v>7102184465</v>
      </c>
      <c r="GX130" s="450">
        <f t="shared" si="111"/>
        <v>7102184.4649999999</v>
      </c>
      <c r="HB130" s="843" t="s">
        <v>610</v>
      </c>
      <c r="HC130" s="819">
        <v>170144000</v>
      </c>
      <c r="HD130" s="819">
        <v>170144000</v>
      </c>
      <c r="HE130" s="819">
        <v>0</v>
      </c>
      <c r="HF130" s="819">
        <v>170144000</v>
      </c>
      <c r="HG130" s="450">
        <f t="shared" si="112"/>
        <v>170144</v>
      </c>
      <c r="HH130" s="450">
        <f t="shared" si="113"/>
        <v>0</v>
      </c>
      <c r="HI130" s="450">
        <f t="shared" si="114"/>
        <v>170144</v>
      </c>
      <c r="HJ130" s="450">
        <f t="shared" si="115"/>
        <v>0</v>
      </c>
      <c r="HK130" s="450">
        <f t="shared" si="116"/>
        <v>170144</v>
      </c>
    </row>
    <row r="131" spans="1:219" ht="15" customHeight="1" x14ac:dyDescent="0.3">
      <c r="A131" s="295" t="s">
        <v>355</v>
      </c>
      <c r="B131" s="296" t="s">
        <v>422</v>
      </c>
      <c r="C131" s="297">
        <v>10000</v>
      </c>
      <c r="D131" s="298">
        <f t="shared" si="61"/>
        <v>10.629999999999999</v>
      </c>
      <c r="E131" s="297">
        <v>74204601</v>
      </c>
      <c r="F131" s="297">
        <f t="shared" si="62"/>
        <v>78879.490862999985</v>
      </c>
      <c r="Q131" s="299" t="s">
        <v>553</v>
      </c>
      <c r="R131" s="300" t="s">
        <v>421</v>
      </c>
      <c r="S131" s="301">
        <v>217406000</v>
      </c>
      <c r="T131" s="301">
        <v>95146325</v>
      </c>
      <c r="U131" s="301">
        <f t="shared" si="64"/>
        <v>231102.57799999998</v>
      </c>
      <c r="V131" s="301">
        <f t="shared" si="65"/>
        <v>101140.543475</v>
      </c>
      <c r="AF131" s="296" t="s">
        <v>419</v>
      </c>
      <c r="AG131" s="297">
        <v>2263826000</v>
      </c>
      <c r="AH131" s="297">
        <f t="shared" ref="AH131:AH136" si="118">+AG131/$AJ$2*$AK$2</f>
        <v>2406447.0379999997</v>
      </c>
      <c r="AI131" s="297">
        <v>1387822887</v>
      </c>
      <c r="AL131" s="450"/>
      <c r="AU131" s="447" t="s">
        <v>449</v>
      </c>
      <c r="AV131" s="448" t="s">
        <v>416</v>
      </c>
      <c r="AW131" s="449">
        <v>15673650000</v>
      </c>
      <c r="AX131" s="449">
        <v>9278107096</v>
      </c>
      <c r="AY131" s="449">
        <v>6395542904</v>
      </c>
      <c r="AZ131" s="450">
        <f t="shared" si="68"/>
        <v>16661089.949999999</v>
      </c>
      <c r="BA131" s="450">
        <f t="shared" si="69"/>
        <v>9862627.8430480007</v>
      </c>
      <c r="BB131" s="450">
        <f t="shared" si="70"/>
        <v>6798462.1069519995</v>
      </c>
      <c r="BF131" s="447"/>
      <c r="BG131" s="448"/>
      <c r="BH131" s="449"/>
      <c r="BI131" s="450"/>
      <c r="BM131" s="451" t="s">
        <v>553</v>
      </c>
      <c r="BN131" s="94" t="s">
        <v>620</v>
      </c>
      <c r="BO131" s="95">
        <v>0</v>
      </c>
      <c r="BP131" s="95">
        <v>159090000</v>
      </c>
      <c r="BQ131" s="95">
        <v>50791899</v>
      </c>
      <c r="BR131" s="95">
        <v>108298101</v>
      </c>
      <c r="BS131" s="95">
        <v>15674540</v>
      </c>
      <c r="BT131" s="450">
        <f t="shared" si="72"/>
        <v>159090</v>
      </c>
      <c r="BU131" s="450">
        <f t="shared" si="73"/>
        <v>50791.898999999998</v>
      </c>
      <c r="BV131" s="450">
        <f t="shared" si="74"/>
        <v>108298.101</v>
      </c>
      <c r="BW131" s="450">
        <f t="shared" si="75"/>
        <v>15674.54</v>
      </c>
      <c r="CG131" s="448" t="s">
        <v>619</v>
      </c>
      <c r="CH131" s="449">
        <v>0</v>
      </c>
      <c r="CI131" s="449">
        <v>8450000</v>
      </c>
      <c r="CJ131" s="449">
        <v>-8450000</v>
      </c>
      <c r="CK131" s="449">
        <v>0</v>
      </c>
      <c r="CL131" s="449">
        <v>8450000</v>
      </c>
      <c r="CM131" s="449">
        <v>0</v>
      </c>
      <c r="CN131" s="449">
        <f t="shared" si="77"/>
        <v>8450</v>
      </c>
      <c r="CO131" s="449">
        <f t="shared" si="78"/>
        <v>0</v>
      </c>
      <c r="CP131" s="449">
        <f t="shared" si="79"/>
        <v>8450</v>
      </c>
      <c r="CQ131" s="449">
        <f t="shared" si="80"/>
        <v>0</v>
      </c>
      <c r="CU131" s="448"/>
      <c r="CV131" s="449"/>
      <c r="CW131" s="449"/>
      <c r="CX131" s="450"/>
      <c r="CY131" s="450"/>
      <c r="DB131" s="602" t="s">
        <v>619</v>
      </c>
      <c r="DC131" s="603">
        <v>8450000</v>
      </c>
      <c r="DD131" s="603">
        <v>0</v>
      </c>
      <c r="DE131" s="603">
        <v>8450000</v>
      </c>
      <c r="DF131" s="603">
        <v>0</v>
      </c>
      <c r="DG131" s="604">
        <f t="shared" si="83"/>
        <v>8450</v>
      </c>
      <c r="DH131" s="604">
        <f t="shared" si="84"/>
        <v>0</v>
      </c>
      <c r="DI131" s="604">
        <f t="shared" si="85"/>
        <v>8450</v>
      </c>
      <c r="DJ131" s="604">
        <f t="shared" si="86"/>
        <v>0</v>
      </c>
      <c r="DV131" s="94" t="s">
        <v>618</v>
      </c>
      <c r="DW131" s="95">
        <v>167540000</v>
      </c>
      <c r="DX131" s="95">
        <v>123555377</v>
      </c>
      <c r="DY131" s="95">
        <v>43984623</v>
      </c>
      <c r="DZ131" s="95">
        <v>47490527</v>
      </c>
      <c r="EA131" s="95">
        <f t="shared" si="89"/>
        <v>167540</v>
      </c>
      <c r="EB131" s="95">
        <f t="shared" si="90"/>
        <v>123555.37699999999</v>
      </c>
      <c r="EC131" s="95">
        <f t="shared" si="91"/>
        <v>43984.623</v>
      </c>
      <c r="ED131" s="95">
        <f t="shared" si="92"/>
        <v>47490.527000000002</v>
      </c>
      <c r="EN131" s="444" t="s">
        <v>531</v>
      </c>
      <c r="EO131" s="450">
        <v>45387000</v>
      </c>
      <c r="EP131" s="450">
        <v>42280000</v>
      </c>
      <c r="EQ131" s="450">
        <v>3107000</v>
      </c>
      <c r="ER131" s="450">
        <v>42280000</v>
      </c>
      <c r="ES131" s="746">
        <f t="shared" si="94"/>
        <v>45387</v>
      </c>
      <c r="ET131" s="746">
        <f t="shared" si="95"/>
        <v>42280</v>
      </c>
      <c r="EU131" s="746">
        <f t="shared" si="96"/>
        <v>3107</v>
      </c>
      <c r="EV131" s="746">
        <f t="shared" si="97"/>
        <v>42280</v>
      </c>
      <c r="FG131" s="785" t="s">
        <v>553</v>
      </c>
      <c r="FH131" s="784" t="s">
        <v>614</v>
      </c>
      <c r="FI131" s="782">
        <v>55010000</v>
      </c>
      <c r="FJ131" s="783">
        <v>55000000</v>
      </c>
      <c r="FK131" s="783">
        <v>10000</v>
      </c>
      <c r="FL131" s="783">
        <v>22000000</v>
      </c>
      <c r="FM131" s="450">
        <f t="shared" si="99"/>
        <v>55010</v>
      </c>
      <c r="FN131" s="450">
        <f t="shared" si="100"/>
        <v>55000</v>
      </c>
      <c r="FO131" s="450">
        <f t="shared" si="101"/>
        <v>10</v>
      </c>
      <c r="FP131" s="450">
        <f t="shared" si="102"/>
        <v>22000</v>
      </c>
      <c r="GG131" s="817" t="s">
        <v>553</v>
      </c>
      <c r="GH131" s="818" t="s">
        <v>614</v>
      </c>
      <c r="GI131" s="819">
        <v>55010000</v>
      </c>
      <c r="GJ131" s="819">
        <v>55000000</v>
      </c>
      <c r="GK131" s="819">
        <v>10000</v>
      </c>
      <c r="GL131" s="819">
        <v>22000000</v>
      </c>
      <c r="GM131" s="819">
        <v>33000000</v>
      </c>
      <c r="GN131" s="450">
        <f t="shared" si="106"/>
        <v>55010</v>
      </c>
      <c r="GO131" s="450">
        <f t="shared" si="107"/>
        <v>55000</v>
      </c>
      <c r="GP131" s="450">
        <f t="shared" si="108"/>
        <v>10</v>
      </c>
      <c r="GQ131" s="450">
        <f t="shared" si="109"/>
        <v>22000</v>
      </c>
      <c r="GR131" s="450">
        <f t="shared" si="110"/>
        <v>33000</v>
      </c>
      <c r="GV131" s="841" t="s">
        <v>418</v>
      </c>
      <c r="GW131" s="840">
        <v>7102184465</v>
      </c>
      <c r="GX131" s="450">
        <f t="shared" si="111"/>
        <v>7102184.4649999999</v>
      </c>
      <c r="HB131" s="843" t="s">
        <v>611</v>
      </c>
      <c r="HC131" s="819">
        <v>170144000</v>
      </c>
      <c r="HD131" s="819">
        <v>170144000</v>
      </c>
      <c r="HE131" s="819">
        <v>0</v>
      </c>
      <c r="HF131" s="819">
        <v>170144000</v>
      </c>
      <c r="HG131" s="450">
        <f t="shared" si="112"/>
        <v>170144</v>
      </c>
      <c r="HH131" s="450">
        <f t="shared" si="113"/>
        <v>0</v>
      </c>
      <c r="HI131" s="450">
        <f t="shared" si="114"/>
        <v>170144</v>
      </c>
      <c r="HJ131" s="450">
        <f t="shared" si="115"/>
        <v>0</v>
      </c>
      <c r="HK131" s="450">
        <f t="shared" si="116"/>
        <v>170144</v>
      </c>
    </row>
    <row r="132" spans="1:219" ht="33" x14ac:dyDescent="0.3">
      <c r="Q132" s="299" t="s">
        <v>355</v>
      </c>
      <c r="R132" s="300" t="s">
        <v>422</v>
      </c>
      <c r="S132" s="301">
        <v>10000</v>
      </c>
      <c r="T132" s="301">
        <v>313752068</v>
      </c>
      <c r="U132" s="301">
        <f>+S132/$W$2*$X$2</f>
        <v>10.629999999999999</v>
      </c>
      <c r="V132" s="301">
        <f>+T132/$W$2*$X$2</f>
        <v>333518.44828400004</v>
      </c>
      <c r="AF132" s="296" t="s">
        <v>420</v>
      </c>
      <c r="AG132" s="297">
        <v>2263826000</v>
      </c>
      <c r="AH132" s="297">
        <f t="shared" si="118"/>
        <v>2406447.0379999997</v>
      </c>
      <c r="AI132" s="297">
        <v>1387822887</v>
      </c>
      <c r="AL132" s="450"/>
      <c r="AU132" s="447" t="s">
        <v>355</v>
      </c>
      <c r="AV132" s="1481" t="s">
        <v>417</v>
      </c>
      <c r="AW132" s="1482">
        <v>13192408000</v>
      </c>
      <c r="AX132" s="1482">
        <v>7422876483</v>
      </c>
      <c r="AY132" s="1482">
        <v>5769531517</v>
      </c>
      <c r="AZ132" s="1483">
        <f t="shared" ref="AZ132:AZ140" si="119">+AW132/$BC$2*$BD$2</f>
        <v>14023529.704</v>
      </c>
      <c r="BA132" s="1483">
        <f t="shared" ref="BA132:BA140" si="120">+AX132/$BC$2*$BD$2</f>
        <v>7890517.7014289992</v>
      </c>
      <c r="BB132" s="1483">
        <f t="shared" ref="BB132:BB140" si="121">+AY132/$BC$2*$BD$2</f>
        <v>6133012.0025709998</v>
      </c>
      <c r="BF132" s="447"/>
      <c r="BG132" s="448"/>
      <c r="BH132" s="449"/>
      <c r="BI132" s="450"/>
      <c r="BM132" s="447" t="s">
        <v>449</v>
      </c>
      <c r="BN132" s="448" t="s">
        <v>416</v>
      </c>
      <c r="BO132" s="449">
        <v>15673650000</v>
      </c>
      <c r="BP132" s="449">
        <v>15673650000</v>
      </c>
      <c r="BQ132" s="449">
        <v>9278107096</v>
      </c>
      <c r="BR132" s="449">
        <v>6395542904</v>
      </c>
      <c r="BS132" s="449">
        <v>9278107096</v>
      </c>
      <c r="BT132" s="450">
        <f t="shared" ref="BT132:BT140" si="122">+BP132/$BX$2*$BY$2</f>
        <v>15673650</v>
      </c>
      <c r="BU132" s="450">
        <f t="shared" ref="BU132:BU140" si="123">+BQ132/$BX$2*$BY$2</f>
        <v>9278107.0960000008</v>
      </c>
      <c r="BV132" s="450">
        <f t="shared" ref="BV132:BV140" si="124">+BR132/$BX$2*$BY$2</f>
        <v>6395542.9040000001</v>
      </c>
      <c r="BW132" s="450">
        <f t="shared" ref="BW132:BW140" si="125">+BS132/$BX$2*$BY$2</f>
        <v>9278107.0960000008</v>
      </c>
      <c r="CG132" s="448" t="s">
        <v>415</v>
      </c>
      <c r="CH132" s="449">
        <v>159090000</v>
      </c>
      <c r="CI132" s="449">
        <v>159090000</v>
      </c>
      <c r="CJ132" s="449">
        <v>0</v>
      </c>
      <c r="CK132" s="449">
        <v>54781899</v>
      </c>
      <c r="CL132" s="449">
        <v>104308101</v>
      </c>
      <c r="CM132" s="449">
        <v>24474539</v>
      </c>
      <c r="CN132" s="449">
        <f t="shared" ref="CN132:CN142" si="126">+CI132/$CR$2*$CS$2</f>
        <v>159090</v>
      </c>
      <c r="CO132" s="449">
        <f t="shared" ref="CO132:CO142" si="127">+CK132/$CR$2*$CS$2</f>
        <v>54781.898999999998</v>
      </c>
      <c r="CP132" s="449">
        <f t="shared" ref="CP132:CP142" si="128">+CL132/$CR$2*$CS$2</f>
        <v>104308.101</v>
      </c>
      <c r="CQ132" s="449">
        <f t="shared" ref="CQ132:CQ142" si="129">+CM132/$CR$2*$CS$2</f>
        <v>24474.539000000001</v>
      </c>
      <c r="CU132" s="448"/>
      <c r="CV132" s="449"/>
      <c r="CW132" s="449"/>
      <c r="CX132" s="450"/>
      <c r="CY132" s="450"/>
      <c r="DB132" s="602" t="s">
        <v>415</v>
      </c>
      <c r="DC132" s="603">
        <v>159090000</v>
      </c>
      <c r="DD132" s="603">
        <v>56819381</v>
      </c>
      <c r="DE132" s="603">
        <v>102270619</v>
      </c>
      <c r="DF132" s="603">
        <v>39169381</v>
      </c>
      <c r="DG132" s="604">
        <f t="shared" ref="DG132:DG195" si="130">+DC132/$DK$2*$DL$2</f>
        <v>159090</v>
      </c>
      <c r="DH132" s="604">
        <f t="shared" ref="DH132:DH195" si="131">+DD132/$DK$2*$DL$2</f>
        <v>56819.381000000001</v>
      </c>
      <c r="DI132" s="604">
        <f t="shared" ref="DI132:DI195" si="132">+DE132/$DK$2*$DL$2</f>
        <v>102270.61900000001</v>
      </c>
      <c r="DJ132" s="604">
        <f t="shared" ref="DJ132:DJ195" si="133">+DF132/$DK$2*$DL$2</f>
        <v>39169.381000000001</v>
      </c>
      <c r="DV132" s="94" t="s">
        <v>414</v>
      </c>
      <c r="DW132" s="95">
        <v>8450000</v>
      </c>
      <c r="DX132" s="95">
        <v>8321146</v>
      </c>
      <c r="DY132" s="95">
        <v>128854</v>
      </c>
      <c r="DZ132" s="95">
        <v>8321146</v>
      </c>
      <c r="EA132" s="95">
        <f t="shared" ref="EA132:EA144" si="134">+DW132/$EE$2*$EF$2</f>
        <v>8450</v>
      </c>
      <c r="EB132" s="95">
        <f t="shared" ref="EB132:EB144" si="135">+DX132/$EE$2*$EF$2</f>
        <v>8321.1460000000006</v>
      </c>
      <c r="EC132" s="95">
        <f t="shared" ref="EC132:EC144" si="136">+DY132/$EE$2*$EF$2</f>
        <v>128.85400000000001</v>
      </c>
      <c r="ED132" s="95">
        <f t="shared" ref="ED132:ED144" si="137">+DZ132/$EE$2*$EF$2</f>
        <v>8321.1460000000006</v>
      </c>
      <c r="EN132" s="444" t="s">
        <v>638</v>
      </c>
      <c r="EO132" s="450">
        <v>155587000</v>
      </c>
      <c r="EP132" s="450">
        <v>592905708</v>
      </c>
      <c r="EQ132" s="450">
        <v>-437318708</v>
      </c>
      <c r="ER132" s="450">
        <v>534774980</v>
      </c>
      <c r="ES132" s="746">
        <f t="shared" ref="ES132:ES147" si="138">+EO132/$EW$2*$EX$2</f>
        <v>155587</v>
      </c>
      <c r="ET132" s="746">
        <f t="shared" ref="ET132:ET147" si="139">+EP132/$EW$2*$EX$2</f>
        <v>592905.70799999998</v>
      </c>
      <c r="EU132" s="746">
        <f t="shared" ref="EU132:EU147" si="140">+EQ132/$EW$2*$EX$2</f>
        <v>-437318.70799999998</v>
      </c>
      <c r="EV132" s="746">
        <f t="shared" ref="EV132:EV147" si="141">+ER132/$EW$2*$EX$2</f>
        <v>534774.98</v>
      </c>
      <c r="FG132" s="785" t="s">
        <v>553</v>
      </c>
      <c r="FH132" s="784" t="s">
        <v>532</v>
      </c>
      <c r="FI132" s="782">
        <v>208482000</v>
      </c>
      <c r="FJ132" s="783">
        <v>167402727</v>
      </c>
      <c r="FK132" s="783">
        <v>41079273</v>
      </c>
      <c r="FL132" s="783">
        <v>132024077</v>
      </c>
      <c r="FM132" s="450">
        <f t="shared" ref="FM132:FM152" si="142">+FI132/$FQ$2*$FR$2</f>
        <v>208482</v>
      </c>
      <c r="FN132" s="450">
        <f t="shared" ref="FN132:FN152" si="143">+FJ132/$FQ$2*$FR$2</f>
        <v>167402.72700000001</v>
      </c>
      <c r="FO132" s="450">
        <f t="shared" ref="FO132:FO152" si="144">+FK132/$FQ$2*$FR$2</f>
        <v>41079.273000000001</v>
      </c>
      <c r="FP132" s="450">
        <f t="shared" ref="FP132:FP152" si="145">+FL132/$FQ$2*$FR$2</f>
        <v>132024.07699999999</v>
      </c>
      <c r="GG132" s="817" t="s">
        <v>553</v>
      </c>
      <c r="GH132" s="818" t="s">
        <v>532</v>
      </c>
      <c r="GI132" s="819">
        <v>211852000</v>
      </c>
      <c r="GJ132" s="819">
        <v>167402727</v>
      </c>
      <c r="GK132" s="819">
        <v>44449273</v>
      </c>
      <c r="GL132" s="819">
        <v>144777890</v>
      </c>
      <c r="GM132" s="819">
        <v>22624837</v>
      </c>
      <c r="GN132" s="450">
        <f t="shared" ref="GN132:GN153" si="146">+GI132/$GS$2*$GT$2</f>
        <v>211852</v>
      </c>
      <c r="GO132" s="450">
        <f t="shared" ref="GO132:GO153" si="147">+GJ132/$GS$2*$GT$2</f>
        <v>167402.72700000001</v>
      </c>
      <c r="GP132" s="450">
        <f t="shared" ref="GP132:GP153" si="148">+GK132/$GS$2*$GT$2</f>
        <v>44449.273000000001</v>
      </c>
      <c r="GQ132" s="450">
        <f t="shared" ref="GQ132:GQ153" si="149">+GL132/$GS$2*$GT$2</f>
        <v>144777.89000000001</v>
      </c>
      <c r="GR132" s="450">
        <f t="shared" ref="GR132:GR153" si="150">+GM132/$GS$2*$GT$2</f>
        <v>22624.837</v>
      </c>
      <c r="GV132" s="841" t="s">
        <v>419</v>
      </c>
      <c r="GW132" s="840">
        <v>1315066032</v>
      </c>
      <c r="GX132" s="450">
        <f t="shared" ref="GX132:GX134" si="151">+GW132/$GY$2*$GZ$2</f>
        <v>1315066.0319999999</v>
      </c>
      <c r="HB132" s="843" t="s">
        <v>612</v>
      </c>
      <c r="HC132" s="819">
        <v>167887825</v>
      </c>
      <c r="HD132" s="819">
        <v>167887825</v>
      </c>
      <c r="HE132" s="819">
        <v>0</v>
      </c>
      <c r="HF132" s="819">
        <v>167887825</v>
      </c>
      <c r="HG132" s="450">
        <f t="shared" ref="HG132:HG165" si="152">+HC132/$HL$2*$HM$2</f>
        <v>167887.82500000001</v>
      </c>
      <c r="HH132" s="450">
        <f t="shared" ref="HH132:HH165" si="153">+HE132/$HL$2*$HM$2</f>
        <v>0</v>
      </c>
      <c r="HI132" s="450">
        <f t="shared" ref="HI132:HI165" si="154">+HD132/$HL$2*$HM$2</f>
        <v>167887.82500000001</v>
      </c>
      <c r="HJ132" s="450">
        <f t="shared" ref="HJ132:HJ165" si="155">+HE132/$HL$2*$HM$2</f>
        <v>0</v>
      </c>
      <c r="HK132" s="450">
        <f t="shared" ref="HK132:HK165" si="156">+HF132/$HL$2*$HM$2</f>
        <v>167887.82500000001</v>
      </c>
    </row>
    <row r="133" spans="1:219" ht="30" x14ac:dyDescent="0.3">
      <c r="AF133" s="296" t="s">
        <v>621</v>
      </c>
      <c r="AG133" s="297">
        <v>2263826000</v>
      </c>
      <c r="AH133" s="297">
        <f t="shared" si="118"/>
        <v>2406447.0379999997</v>
      </c>
      <c r="AI133" s="297">
        <v>1387822887</v>
      </c>
      <c r="AL133" s="450"/>
      <c r="AU133" s="447" t="s">
        <v>553</v>
      </c>
      <c r="AV133" s="448" t="s">
        <v>418</v>
      </c>
      <c r="AW133" s="449">
        <v>13192408000</v>
      </c>
      <c r="AX133" s="449">
        <v>7422876483</v>
      </c>
      <c r="AY133" s="449">
        <v>5769531517</v>
      </c>
      <c r="AZ133" s="450">
        <f t="shared" si="119"/>
        <v>14023529.704</v>
      </c>
      <c r="BA133" s="450">
        <f t="shared" si="120"/>
        <v>7890517.7014289992</v>
      </c>
      <c r="BB133" s="450">
        <f t="shared" si="121"/>
        <v>6133012.0025709998</v>
      </c>
      <c r="BF133" s="447"/>
      <c r="BG133" s="448"/>
      <c r="BH133" s="449"/>
      <c r="BI133" s="450"/>
      <c r="BM133" s="447" t="s">
        <v>355</v>
      </c>
      <c r="BN133" s="448" t="s">
        <v>417</v>
      </c>
      <c r="BO133" s="449">
        <v>13192408000</v>
      </c>
      <c r="BP133" s="449">
        <v>13192408000</v>
      </c>
      <c r="BQ133" s="449">
        <v>7422876483</v>
      </c>
      <c r="BR133" s="449">
        <v>5769531517</v>
      </c>
      <c r="BS133" s="449">
        <v>7422876483</v>
      </c>
      <c r="BT133" s="450">
        <f t="shared" si="122"/>
        <v>13192408</v>
      </c>
      <c r="BU133" s="450">
        <f t="shared" si="123"/>
        <v>7422876.483</v>
      </c>
      <c r="BV133" s="450">
        <f t="shared" si="124"/>
        <v>5769531.517</v>
      </c>
      <c r="BW133" s="450">
        <f t="shared" si="125"/>
        <v>7422876.483</v>
      </c>
      <c r="CG133" s="448" t="s">
        <v>620</v>
      </c>
      <c r="CH133" s="449">
        <v>0</v>
      </c>
      <c r="CI133" s="449">
        <v>159090000</v>
      </c>
      <c r="CJ133" s="449">
        <v>-159090000</v>
      </c>
      <c r="CK133" s="449">
        <v>54781899</v>
      </c>
      <c r="CL133" s="449">
        <v>104308101</v>
      </c>
      <c r="CM133" s="449">
        <v>24474539</v>
      </c>
      <c r="CN133" s="449">
        <f t="shared" si="126"/>
        <v>159090</v>
      </c>
      <c r="CO133" s="449">
        <f t="shared" si="127"/>
        <v>54781.898999999998</v>
      </c>
      <c r="CP133" s="449">
        <f t="shared" si="128"/>
        <v>104308.101</v>
      </c>
      <c r="CQ133" s="449">
        <f t="shared" si="129"/>
        <v>24474.539000000001</v>
      </c>
      <c r="CU133" s="448"/>
      <c r="CV133" s="449"/>
      <c r="CW133" s="449"/>
      <c r="CX133" s="450"/>
      <c r="CY133" s="450"/>
      <c r="DB133" s="602" t="s">
        <v>620</v>
      </c>
      <c r="DC133" s="603">
        <v>159090000</v>
      </c>
      <c r="DD133" s="603">
        <v>56819381</v>
      </c>
      <c r="DE133" s="603">
        <v>102270619</v>
      </c>
      <c r="DF133" s="603">
        <v>39169381</v>
      </c>
      <c r="DG133" s="604">
        <f t="shared" si="130"/>
        <v>159090</v>
      </c>
      <c r="DH133" s="604">
        <f t="shared" si="131"/>
        <v>56819.381000000001</v>
      </c>
      <c r="DI133" s="604">
        <f t="shared" si="132"/>
        <v>102270.61900000001</v>
      </c>
      <c r="DJ133" s="604">
        <f t="shared" si="133"/>
        <v>39169.381000000001</v>
      </c>
      <c r="DV133" s="94" t="s">
        <v>619</v>
      </c>
      <c r="DW133" s="95">
        <v>8450000</v>
      </c>
      <c r="DX133" s="95">
        <v>8321146</v>
      </c>
      <c r="DY133" s="95">
        <v>128854</v>
      </c>
      <c r="DZ133" s="95">
        <v>8321146</v>
      </c>
      <c r="EA133" s="95">
        <f t="shared" si="134"/>
        <v>8450</v>
      </c>
      <c r="EB133" s="95">
        <f t="shared" si="135"/>
        <v>8321.1460000000006</v>
      </c>
      <c r="EC133" s="95">
        <f t="shared" si="136"/>
        <v>128.85400000000001</v>
      </c>
      <c r="ED133" s="95">
        <f t="shared" si="137"/>
        <v>8321.1460000000006</v>
      </c>
      <c r="EN133" s="444" t="s">
        <v>639</v>
      </c>
      <c r="EO133" s="450">
        <v>155587000</v>
      </c>
      <c r="EP133" s="450">
        <v>592905708</v>
      </c>
      <c r="EQ133" s="450">
        <v>-437318708</v>
      </c>
      <c r="ER133" s="450">
        <v>534774980</v>
      </c>
      <c r="ES133" s="746">
        <f t="shared" si="138"/>
        <v>155587</v>
      </c>
      <c r="ET133" s="746">
        <f t="shared" si="139"/>
        <v>592905.70799999998</v>
      </c>
      <c r="EU133" s="746">
        <f t="shared" si="140"/>
        <v>-437318.70799999998</v>
      </c>
      <c r="EV133" s="746">
        <f t="shared" si="141"/>
        <v>534774.98</v>
      </c>
      <c r="FG133" s="785" t="s">
        <v>553</v>
      </c>
      <c r="FH133" s="784" t="s">
        <v>531</v>
      </c>
      <c r="FI133" s="782">
        <v>45387000</v>
      </c>
      <c r="FJ133" s="783">
        <v>42280000</v>
      </c>
      <c r="FK133" s="783">
        <v>3107000</v>
      </c>
      <c r="FL133" s="783">
        <v>42280000</v>
      </c>
      <c r="FM133" s="450">
        <f t="shared" si="142"/>
        <v>45387</v>
      </c>
      <c r="FN133" s="450">
        <f t="shared" si="143"/>
        <v>42280</v>
      </c>
      <c r="FO133" s="450">
        <f t="shared" si="144"/>
        <v>3107</v>
      </c>
      <c r="FP133" s="450">
        <f t="shared" si="145"/>
        <v>42280</v>
      </c>
      <c r="GG133" s="817" t="s">
        <v>553</v>
      </c>
      <c r="GH133" s="818" t="s">
        <v>531</v>
      </c>
      <c r="GI133" s="819">
        <v>45387000</v>
      </c>
      <c r="GJ133" s="819">
        <v>42280000</v>
      </c>
      <c r="GK133" s="819">
        <v>3107000</v>
      </c>
      <c r="GL133" s="819">
        <v>42280000</v>
      </c>
      <c r="GM133" s="819">
        <v>0</v>
      </c>
      <c r="GN133" s="450">
        <f t="shared" si="146"/>
        <v>45387</v>
      </c>
      <c r="GO133" s="450">
        <f t="shared" si="147"/>
        <v>42280</v>
      </c>
      <c r="GP133" s="450">
        <f t="shared" si="148"/>
        <v>3107</v>
      </c>
      <c r="GQ133" s="450">
        <f t="shared" si="149"/>
        <v>42280</v>
      </c>
      <c r="GR133" s="450">
        <f t="shared" si="150"/>
        <v>0</v>
      </c>
      <c r="GV133" s="841" t="s">
        <v>420</v>
      </c>
      <c r="GW133" s="840">
        <v>1315066032</v>
      </c>
      <c r="GX133" s="450">
        <f t="shared" si="151"/>
        <v>1315066.0319999999</v>
      </c>
      <c r="HB133" s="843" t="s">
        <v>927</v>
      </c>
      <c r="HC133" s="819">
        <v>2256175</v>
      </c>
      <c r="HD133" s="819">
        <v>2256175</v>
      </c>
      <c r="HE133" s="819">
        <v>0</v>
      </c>
      <c r="HF133" s="819">
        <v>2256175</v>
      </c>
      <c r="HG133" s="450">
        <f t="shared" si="152"/>
        <v>2256.1750000000002</v>
      </c>
      <c r="HH133" s="450">
        <f t="shared" si="153"/>
        <v>0</v>
      </c>
      <c r="HI133" s="450">
        <f t="shared" si="154"/>
        <v>2256.1750000000002</v>
      </c>
      <c r="HJ133" s="450">
        <f t="shared" si="155"/>
        <v>0</v>
      </c>
      <c r="HK133" s="450">
        <f t="shared" si="156"/>
        <v>2256.1750000000002</v>
      </c>
    </row>
    <row r="134" spans="1:219" ht="33" x14ac:dyDescent="0.3">
      <c r="AF134" s="296" t="s">
        <v>622</v>
      </c>
      <c r="AG134" s="297">
        <v>217406000</v>
      </c>
      <c r="AH134" s="297">
        <f t="shared" si="118"/>
        <v>231102.57799999998</v>
      </c>
      <c r="AI134" s="297">
        <v>95146325</v>
      </c>
      <c r="AL134" s="450"/>
      <c r="AU134" s="447" t="s">
        <v>355</v>
      </c>
      <c r="AV134" s="1481" t="s">
        <v>419</v>
      </c>
      <c r="AW134" s="1482">
        <v>2263826000</v>
      </c>
      <c r="AX134" s="1482">
        <v>1420148907</v>
      </c>
      <c r="AY134" s="1482">
        <v>843677093</v>
      </c>
      <c r="AZ134" s="1483">
        <f t="shared" si="119"/>
        <v>2406447.0379999997</v>
      </c>
      <c r="BA134" s="1483">
        <f t="shared" si="120"/>
        <v>1509618.2881409999</v>
      </c>
      <c r="BB134" s="1483">
        <f t="shared" si="121"/>
        <v>896828.74985899997</v>
      </c>
      <c r="BF134" s="447"/>
      <c r="BG134" s="448"/>
      <c r="BH134" s="449"/>
      <c r="BI134" s="450"/>
      <c r="BM134" s="447" t="s">
        <v>553</v>
      </c>
      <c r="BN134" s="448" t="s">
        <v>418</v>
      </c>
      <c r="BO134" s="449">
        <v>0</v>
      </c>
      <c r="BP134" s="449">
        <v>13192408000</v>
      </c>
      <c r="BQ134" s="449">
        <v>7422876483</v>
      </c>
      <c r="BR134" s="449">
        <v>5769531517</v>
      </c>
      <c r="BS134" s="449">
        <v>7422876483</v>
      </c>
      <c r="BT134" s="450">
        <f t="shared" si="122"/>
        <v>13192408</v>
      </c>
      <c r="BU134" s="450">
        <f t="shared" si="123"/>
        <v>7422876.483</v>
      </c>
      <c r="BV134" s="450">
        <f t="shared" si="124"/>
        <v>5769531.517</v>
      </c>
      <c r="BW134" s="450">
        <f t="shared" si="125"/>
        <v>7422876.483</v>
      </c>
      <c r="CG134" s="448" t="s">
        <v>416</v>
      </c>
      <c r="CH134" s="449">
        <v>16009464000</v>
      </c>
      <c r="CI134" s="449">
        <v>16009464000</v>
      </c>
      <c r="CJ134" s="449">
        <v>0</v>
      </c>
      <c r="CK134" s="449">
        <v>9419851291</v>
      </c>
      <c r="CL134" s="449">
        <v>6589612709</v>
      </c>
      <c r="CM134" s="449">
        <v>9419851291</v>
      </c>
      <c r="CN134" s="449">
        <f t="shared" si="126"/>
        <v>16009464</v>
      </c>
      <c r="CO134" s="449">
        <f t="shared" si="127"/>
        <v>9419851.2909999993</v>
      </c>
      <c r="CP134" s="449">
        <f t="shared" si="128"/>
        <v>6589612.7089999998</v>
      </c>
      <c r="CQ134" s="449">
        <f t="shared" si="129"/>
        <v>9419851.2909999993</v>
      </c>
      <c r="CU134" s="448"/>
      <c r="CV134" s="449"/>
      <c r="CW134" s="449"/>
      <c r="CX134" s="450"/>
      <c r="CY134" s="450"/>
      <c r="DB134" s="602" t="s">
        <v>416</v>
      </c>
      <c r="DC134" s="603">
        <v>16009464000</v>
      </c>
      <c r="DD134" s="603">
        <v>9675746883</v>
      </c>
      <c r="DE134" s="603">
        <v>6333717117</v>
      </c>
      <c r="DF134" s="603">
        <v>9675746883</v>
      </c>
      <c r="DG134" s="604">
        <f t="shared" si="130"/>
        <v>16009464</v>
      </c>
      <c r="DH134" s="604">
        <f t="shared" si="131"/>
        <v>9675746.8829999994</v>
      </c>
      <c r="DI134" s="604">
        <f t="shared" si="132"/>
        <v>6333717.1169999996</v>
      </c>
      <c r="DJ134" s="604">
        <f t="shared" si="133"/>
        <v>9675746.8829999994</v>
      </c>
      <c r="DV134" s="94" t="s">
        <v>415</v>
      </c>
      <c r="DW134" s="95">
        <v>159090000</v>
      </c>
      <c r="DX134" s="95">
        <v>115234231</v>
      </c>
      <c r="DY134" s="95">
        <v>43855769</v>
      </c>
      <c r="DZ134" s="95">
        <v>39169381</v>
      </c>
      <c r="EA134" s="95">
        <f t="shared" si="134"/>
        <v>159090</v>
      </c>
      <c r="EB134" s="95">
        <f t="shared" si="135"/>
        <v>115234.231</v>
      </c>
      <c r="EC134" s="95">
        <f t="shared" si="136"/>
        <v>43855.769</v>
      </c>
      <c r="ED134" s="95">
        <f t="shared" si="137"/>
        <v>39169.381000000001</v>
      </c>
      <c r="EN134" s="444" t="s">
        <v>618</v>
      </c>
      <c r="EO134" s="450">
        <v>167540000</v>
      </c>
      <c r="EP134" s="450">
        <v>111976526</v>
      </c>
      <c r="EQ134" s="450">
        <v>55563474</v>
      </c>
      <c r="ER134" s="450">
        <v>104826526</v>
      </c>
      <c r="ES134" s="746">
        <f t="shared" si="138"/>
        <v>167540</v>
      </c>
      <c r="ET134" s="746">
        <f t="shared" si="139"/>
        <v>111976.526</v>
      </c>
      <c r="EU134" s="746">
        <f t="shared" si="140"/>
        <v>55563.474000000002</v>
      </c>
      <c r="EV134" s="746">
        <f t="shared" si="141"/>
        <v>104826.526</v>
      </c>
      <c r="FG134" s="785" t="s">
        <v>355</v>
      </c>
      <c r="FH134" s="784" t="s">
        <v>495</v>
      </c>
      <c r="FI134" s="782">
        <v>43500000</v>
      </c>
      <c r="FJ134" s="783">
        <v>0</v>
      </c>
      <c r="FK134" s="783">
        <v>43500000</v>
      </c>
      <c r="FL134" s="783">
        <v>0</v>
      </c>
      <c r="FM134" s="450">
        <f t="shared" si="142"/>
        <v>43500</v>
      </c>
      <c r="FN134" s="450">
        <f t="shared" si="143"/>
        <v>0</v>
      </c>
      <c r="FO134" s="450">
        <f t="shared" si="144"/>
        <v>43500</v>
      </c>
      <c r="FP134" s="450">
        <f t="shared" si="145"/>
        <v>0</v>
      </c>
      <c r="GG134" s="817" t="s">
        <v>355</v>
      </c>
      <c r="GH134" s="818" t="s">
        <v>495</v>
      </c>
      <c r="GI134" s="819">
        <v>43500000</v>
      </c>
      <c r="GJ134" s="819">
        <v>40000000</v>
      </c>
      <c r="GK134" s="819">
        <v>3500000</v>
      </c>
      <c r="GL134" s="819">
        <v>40000000</v>
      </c>
      <c r="GM134" s="819">
        <v>0</v>
      </c>
      <c r="GN134" s="450">
        <f t="shared" si="146"/>
        <v>43500</v>
      </c>
      <c r="GO134" s="450">
        <f t="shared" si="147"/>
        <v>40000</v>
      </c>
      <c r="GP134" s="450">
        <f t="shared" si="148"/>
        <v>3500</v>
      </c>
      <c r="GQ134" s="450">
        <f t="shared" si="149"/>
        <v>40000</v>
      </c>
      <c r="GR134" s="450">
        <f t="shared" si="150"/>
        <v>0</v>
      </c>
      <c r="GV134" s="841" t="s">
        <v>621</v>
      </c>
      <c r="GW134" s="840">
        <v>1315066032</v>
      </c>
      <c r="GX134" s="450">
        <f t="shared" si="151"/>
        <v>1315066.0319999999</v>
      </c>
      <c r="HB134" s="843" t="s">
        <v>412</v>
      </c>
      <c r="HC134" s="819">
        <v>637904000</v>
      </c>
      <c r="HD134" s="819">
        <v>583504891</v>
      </c>
      <c r="HE134" s="819">
        <v>54399109</v>
      </c>
      <c r="HF134" s="819">
        <v>576078927</v>
      </c>
      <c r="HG134" s="450">
        <f t="shared" si="152"/>
        <v>637904</v>
      </c>
      <c r="HH134" s="450">
        <f t="shared" si="153"/>
        <v>54399.108999999997</v>
      </c>
      <c r="HI134" s="450">
        <f t="shared" si="154"/>
        <v>583504.89099999995</v>
      </c>
      <c r="HJ134" s="450">
        <f t="shared" si="155"/>
        <v>54399.108999999997</v>
      </c>
      <c r="HK134" s="450">
        <f t="shared" si="156"/>
        <v>576078.92700000003</v>
      </c>
    </row>
    <row r="135" spans="1:219" ht="16.5" x14ac:dyDescent="0.3">
      <c r="AF135" s="296" t="s">
        <v>421</v>
      </c>
      <c r="AG135" s="297">
        <v>217406000</v>
      </c>
      <c r="AH135" s="297">
        <f t="shared" si="118"/>
        <v>231102.57799999998</v>
      </c>
      <c r="AI135" s="297">
        <v>95146325</v>
      </c>
      <c r="AL135" s="450"/>
      <c r="AU135" s="447" t="s">
        <v>553</v>
      </c>
      <c r="AV135" s="448" t="s">
        <v>420</v>
      </c>
      <c r="AW135" s="449">
        <v>2263826000</v>
      </c>
      <c r="AX135" s="449">
        <v>1420148907</v>
      </c>
      <c r="AY135" s="449">
        <v>843677093</v>
      </c>
      <c r="AZ135" s="450">
        <f t="shared" si="119"/>
        <v>2406447.0379999997</v>
      </c>
      <c r="BA135" s="450">
        <f t="shared" si="120"/>
        <v>1509618.2881409999</v>
      </c>
      <c r="BB135" s="450">
        <f t="shared" si="121"/>
        <v>896828.74985899997</v>
      </c>
      <c r="BF135" s="447"/>
      <c r="BG135" s="448"/>
      <c r="BH135" s="449"/>
      <c r="BI135" s="450"/>
      <c r="BM135" s="447" t="s">
        <v>355</v>
      </c>
      <c r="BN135" s="448" t="s">
        <v>419</v>
      </c>
      <c r="BO135" s="449">
        <v>2263826000</v>
      </c>
      <c r="BP135" s="449">
        <v>2263826000</v>
      </c>
      <c r="BQ135" s="449">
        <v>1420148907</v>
      </c>
      <c r="BR135" s="449">
        <v>843677093</v>
      </c>
      <c r="BS135" s="449">
        <v>1420148907</v>
      </c>
      <c r="BT135" s="450">
        <f t="shared" si="122"/>
        <v>2263826</v>
      </c>
      <c r="BU135" s="450">
        <f t="shared" si="123"/>
        <v>1420148.9069999999</v>
      </c>
      <c r="BV135" s="450">
        <f t="shared" si="124"/>
        <v>843677.09299999999</v>
      </c>
      <c r="BW135" s="450">
        <f t="shared" si="125"/>
        <v>1420148.9069999999</v>
      </c>
      <c r="CG135" s="448" t="s">
        <v>417</v>
      </c>
      <c r="CH135" s="449">
        <v>13192408000</v>
      </c>
      <c r="CI135" s="449">
        <v>13192408000</v>
      </c>
      <c r="CJ135" s="449">
        <v>0</v>
      </c>
      <c r="CK135" s="449">
        <v>7541753210</v>
      </c>
      <c r="CL135" s="449">
        <v>5650654790</v>
      </c>
      <c r="CM135" s="449">
        <v>7541753210</v>
      </c>
      <c r="CN135" s="449">
        <f t="shared" si="126"/>
        <v>13192408</v>
      </c>
      <c r="CO135" s="449">
        <f t="shared" si="127"/>
        <v>7541753.21</v>
      </c>
      <c r="CP135" s="449">
        <f t="shared" si="128"/>
        <v>5650654.79</v>
      </c>
      <c r="CQ135" s="449">
        <f t="shared" si="129"/>
        <v>7541753.21</v>
      </c>
      <c r="CU135" s="448"/>
      <c r="CV135" s="449"/>
      <c r="CW135" s="449"/>
      <c r="CX135" s="450"/>
      <c r="CY135" s="450"/>
      <c r="DB135" s="602" t="s">
        <v>417</v>
      </c>
      <c r="DC135" s="603">
        <v>13192408000</v>
      </c>
      <c r="DD135" s="603">
        <v>7541753210</v>
      </c>
      <c r="DE135" s="603">
        <v>5650654790</v>
      </c>
      <c r="DF135" s="603">
        <v>7541753210</v>
      </c>
      <c r="DG135" s="604">
        <f t="shared" si="130"/>
        <v>13192408</v>
      </c>
      <c r="DH135" s="604">
        <f t="shared" si="131"/>
        <v>7541753.21</v>
      </c>
      <c r="DI135" s="604">
        <f t="shared" si="132"/>
        <v>5650654.79</v>
      </c>
      <c r="DJ135" s="604">
        <f t="shared" si="133"/>
        <v>7541753.21</v>
      </c>
      <c r="DV135" s="94" t="s">
        <v>620</v>
      </c>
      <c r="DW135" s="95">
        <v>159090000</v>
      </c>
      <c r="DX135" s="95">
        <v>115234231</v>
      </c>
      <c r="DY135" s="95">
        <v>43855769</v>
      </c>
      <c r="DZ135" s="95">
        <v>39169381</v>
      </c>
      <c r="EA135" s="95">
        <f t="shared" si="134"/>
        <v>159090</v>
      </c>
      <c r="EB135" s="95">
        <f t="shared" si="135"/>
        <v>115234.231</v>
      </c>
      <c r="EC135" s="95">
        <f t="shared" si="136"/>
        <v>43855.769</v>
      </c>
      <c r="ED135" s="95">
        <f t="shared" si="137"/>
        <v>39169.381000000001</v>
      </c>
      <c r="EN135" s="444" t="s">
        <v>414</v>
      </c>
      <c r="EO135" s="450">
        <v>8450000</v>
      </c>
      <c r="EP135" s="450">
        <v>8321146</v>
      </c>
      <c r="EQ135" s="450">
        <v>128854</v>
      </c>
      <c r="ER135" s="450">
        <v>8321146</v>
      </c>
      <c r="ES135" s="746">
        <f t="shared" si="138"/>
        <v>8450</v>
      </c>
      <c r="ET135" s="746">
        <f t="shared" si="139"/>
        <v>8321.1460000000006</v>
      </c>
      <c r="EU135" s="746">
        <f t="shared" si="140"/>
        <v>128.85400000000001</v>
      </c>
      <c r="EV135" s="746">
        <f t="shared" si="141"/>
        <v>8321.1460000000006</v>
      </c>
      <c r="FG135" s="785" t="s">
        <v>553</v>
      </c>
      <c r="FH135" s="784" t="s">
        <v>617</v>
      </c>
      <c r="FI135" s="782">
        <v>3500000</v>
      </c>
      <c r="FJ135" s="783">
        <v>0</v>
      </c>
      <c r="FK135" s="783">
        <v>3500000</v>
      </c>
      <c r="FL135" s="783">
        <v>0</v>
      </c>
      <c r="FM135" s="450">
        <f t="shared" si="142"/>
        <v>3500</v>
      </c>
      <c r="FN135" s="450">
        <f t="shared" si="143"/>
        <v>0</v>
      </c>
      <c r="FO135" s="450">
        <f t="shared" si="144"/>
        <v>3500</v>
      </c>
      <c r="FP135" s="450">
        <f t="shared" si="145"/>
        <v>0</v>
      </c>
      <c r="GG135" s="817" t="s">
        <v>553</v>
      </c>
      <c r="GH135" s="818" t="s">
        <v>617</v>
      </c>
      <c r="GI135" s="819">
        <v>3500000</v>
      </c>
      <c r="GJ135" s="819">
        <v>0</v>
      </c>
      <c r="GK135" s="819">
        <v>3500000</v>
      </c>
      <c r="GL135" s="819">
        <v>0</v>
      </c>
      <c r="GM135" s="819">
        <v>0</v>
      </c>
      <c r="GN135" s="450">
        <f t="shared" si="146"/>
        <v>3500</v>
      </c>
      <c r="GO135" s="450">
        <f t="shared" si="147"/>
        <v>0</v>
      </c>
      <c r="GP135" s="450">
        <f t="shared" si="148"/>
        <v>3500</v>
      </c>
      <c r="GQ135" s="450">
        <f t="shared" si="149"/>
        <v>0</v>
      </c>
      <c r="GR135" s="450">
        <f t="shared" si="150"/>
        <v>0</v>
      </c>
      <c r="HB135" s="843" t="s">
        <v>538</v>
      </c>
      <c r="HC135" s="819">
        <v>81155000</v>
      </c>
      <c r="HD135" s="819">
        <v>81155000</v>
      </c>
      <c r="HE135" s="819">
        <v>0</v>
      </c>
      <c r="HF135" s="819">
        <v>81155000</v>
      </c>
      <c r="HG135" s="450">
        <f t="shared" si="152"/>
        <v>81155</v>
      </c>
      <c r="HH135" s="450">
        <f t="shared" si="153"/>
        <v>0</v>
      </c>
      <c r="HI135" s="450">
        <f t="shared" si="154"/>
        <v>81155</v>
      </c>
      <c r="HJ135" s="450">
        <f t="shared" si="155"/>
        <v>0</v>
      </c>
      <c r="HK135" s="450">
        <f t="shared" si="156"/>
        <v>81155</v>
      </c>
    </row>
    <row r="136" spans="1:219" ht="16.5" x14ac:dyDescent="0.3">
      <c r="AF136" s="296" t="s">
        <v>422</v>
      </c>
      <c r="AG136" s="297">
        <v>10000</v>
      </c>
      <c r="AH136" s="297">
        <f t="shared" si="118"/>
        <v>10.629999999999999</v>
      </c>
      <c r="AI136" s="297">
        <v>339935381</v>
      </c>
      <c r="AL136" s="450"/>
      <c r="AU136" s="447" t="s">
        <v>554</v>
      </c>
      <c r="AV136" s="448" t="s">
        <v>621</v>
      </c>
      <c r="AW136" s="449">
        <v>2263826000</v>
      </c>
      <c r="AX136" s="449">
        <v>1420148907</v>
      </c>
      <c r="AY136" s="449">
        <v>843677093</v>
      </c>
      <c r="AZ136" s="450">
        <f t="shared" si="119"/>
        <v>2406447.0379999997</v>
      </c>
      <c r="BA136" s="450">
        <f t="shared" si="120"/>
        <v>1509618.2881409999</v>
      </c>
      <c r="BB136" s="450">
        <f t="shared" si="121"/>
        <v>896828.74985899997</v>
      </c>
      <c r="BF136" s="447"/>
      <c r="BG136" s="448"/>
      <c r="BH136" s="449"/>
      <c r="BI136" s="450"/>
      <c r="BM136" s="447" t="s">
        <v>553</v>
      </c>
      <c r="BN136" s="448" t="s">
        <v>420</v>
      </c>
      <c r="BO136" s="449">
        <v>0</v>
      </c>
      <c r="BP136" s="449">
        <v>2263826000</v>
      </c>
      <c r="BQ136" s="449">
        <v>1420148907</v>
      </c>
      <c r="BR136" s="449">
        <v>843677093</v>
      </c>
      <c r="BS136" s="449">
        <v>1420148907</v>
      </c>
      <c r="BT136" s="450">
        <f t="shared" si="122"/>
        <v>2263826</v>
      </c>
      <c r="BU136" s="450">
        <f t="shared" si="123"/>
        <v>1420148.9069999999</v>
      </c>
      <c r="BV136" s="450">
        <f t="shared" si="124"/>
        <v>843677.09299999999</v>
      </c>
      <c r="BW136" s="450">
        <f t="shared" si="125"/>
        <v>1420148.9069999999</v>
      </c>
      <c r="CG136" s="448" t="s">
        <v>418</v>
      </c>
      <c r="CH136" s="449">
        <v>0</v>
      </c>
      <c r="CI136" s="449">
        <v>13192408000</v>
      </c>
      <c r="CJ136" s="449">
        <v>-13192408000</v>
      </c>
      <c r="CK136" s="449">
        <v>7541753210</v>
      </c>
      <c r="CL136" s="449">
        <v>5650654790</v>
      </c>
      <c r="CM136" s="449">
        <v>7541753210</v>
      </c>
      <c r="CN136" s="449">
        <f t="shared" si="126"/>
        <v>13192408</v>
      </c>
      <c r="CO136" s="449">
        <f t="shared" si="127"/>
        <v>7541753.21</v>
      </c>
      <c r="CP136" s="449">
        <f t="shared" si="128"/>
        <v>5650654.79</v>
      </c>
      <c r="CQ136" s="449">
        <f t="shared" si="129"/>
        <v>7541753.21</v>
      </c>
      <c r="CU136" s="448"/>
      <c r="CV136" s="449"/>
      <c r="CW136" s="449"/>
      <c r="CX136" s="450"/>
      <c r="CY136" s="450"/>
      <c r="DB136" s="602" t="s">
        <v>418</v>
      </c>
      <c r="DC136" s="603">
        <v>13192408000</v>
      </c>
      <c r="DD136" s="603">
        <v>7541753210</v>
      </c>
      <c r="DE136" s="603">
        <v>5650654790</v>
      </c>
      <c r="DF136" s="603">
        <v>7541753210</v>
      </c>
      <c r="DG136" s="604">
        <f t="shared" si="130"/>
        <v>13192408</v>
      </c>
      <c r="DH136" s="604">
        <f t="shared" si="131"/>
        <v>7541753.21</v>
      </c>
      <c r="DI136" s="604">
        <f t="shared" si="132"/>
        <v>5650654.79</v>
      </c>
      <c r="DJ136" s="604">
        <f t="shared" si="133"/>
        <v>7541753.21</v>
      </c>
      <c r="DV136" s="94" t="s">
        <v>416</v>
      </c>
      <c r="DW136" s="95">
        <v>16009464000</v>
      </c>
      <c r="DX136" s="95">
        <v>9675746883</v>
      </c>
      <c r="DY136" s="95">
        <v>6333717117</v>
      </c>
      <c r="DZ136" s="95">
        <v>9675746883</v>
      </c>
      <c r="EA136" s="95">
        <f t="shared" si="134"/>
        <v>16009464</v>
      </c>
      <c r="EB136" s="95">
        <f t="shared" si="135"/>
        <v>9675746.8829999994</v>
      </c>
      <c r="EC136" s="95">
        <f t="shared" si="136"/>
        <v>6333717.1169999996</v>
      </c>
      <c r="ED136" s="95">
        <f t="shared" si="137"/>
        <v>9675746.8829999994</v>
      </c>
      <c r="EN136" s="444" t="s">
        <v>619</v>
      </c>
      <c r="EO136" s="450">
        <v>8450000</v>
      </c>
      <c r="EP136" s="450">
        <v>8321146</v>
      </c>
      <c r="EQ136" s="450">
        <v>128854</v>
      </c>
      <c r="ER136" s="450">
        <v>8321146</v>
      </c>
      <c r="ES136" s="746">
        <f t="shared" si="138"/>
        <v>8450</v>
      </c>
      <c r="ET136" s="746">
        <f t="shared" si="139"/>
        <v>8321.1460000000006</v>
      </c>
      <c r="EU136" s="746">
        <f t="shared" si="140"/>
        <v>128.85400000000001</v>
      </c>
      <c r="EV136" s="746">
        <f t="shared" si="141"/>
        <v>8321.1460000000006</v>
      </c>
      <c r="FG136" s="785" t="s">
        <v>553</v>
      </c>
      <c r="FH136" s="784" t="s">
        <v>904</v>
      </c>
      <c r="FI136" s="782">
        <v>40000000</v>
      </c>
      <c r="FJ136" s="783">
        <v>0</v>
      </c>
      <c r="FK136" s="783">
        <v>40000000</v>
      </c>
      <c r="FL136" s="783">
        <v>0</v>
      </c>
      <c r="FM136" s="450">
        <f t="shared" si="142"/>
        <v>40000</v>
      </c>
      <c r="FN136" s="450">
        <f t="shared" si="143"/>
        <v>0</v>
      </c>
      <c r="FO136" s="450">
        <f t="shared" si="144"/>
        <v>40000</v>
      </c>
      <c r="FP136" s="450">
        <f t="shared" si="145"/>
        <v>0</v>
      </c>
      <c r="GG136" s="817" t="s">
        <v>553</v>
      </c>
      <c r="GH136" s="818" t="s">
        <v>904</v>
      </c>
      <c r="GI136" s="819">
        <v>40000000</v>
      </c>
      <c r="GJ136" s="819">
        <v>40000000</v>
      </c>
      <c r="GK136" s="819">
        <v>0</v>
      </c>
      <c r="GL136" s="819">
        <v>40000000</v>
      </c>
      <c r="GM136" s="819">
        <v>0</v>
      </c>
      <c r="GN136" s="450">
        <f t="shared" si="146"/>
        <v>40000</v>
      </c>
      <c r="GO136" s="450">
        <f t="shared" si="147"/>
        <v>40000</v>
      </c>
      <c r="GP136" s="450">
        <f t="shared" si="148"/>
        <v>0</v>
      </c>
      <c r="GQ136" s="450">
        <f t="shared" si="149"/>
        <v>40000</v>
      </c>
      <c r="GR136" s="450">
        <f t="shared" si="150"/>
        <v>0</v>
      </c>
      <c r="GX136" s="456"/>
      <c r="HB136" s="843" t="s">
        <v>690</v>
      </c>
      <c r="HC136" s="819">
        <v>81155000</v>
      </c>
      <c r="HD136" s="819">
        <v>81155000</v>
      </c>
      <c r="HE136" s="819">
        <v>0</v>
      </c>
      <c r="HF136" s="819">
        <v>81155000</v>
      </c>
      <c r="HG136" s="450">
        <f t="shared" si="152"/>
        <v>81155</v>
      </c>
      <c r="HH136" s="450">
        <f t="shared" si="153"/>
        <v>0</v>
      </c>
      <c r="HI136" s="450">
        <f t="shared" si="154"/>
        <v>81155</v>
      </c>
      <c r="HJ136" s="450">
        <f t="shared" si="155"/>
        <v>0</v>
      </c>
      <c r="HK136" s="450">
        <f t="shared" si="156"/>
        <v>81155</v>
      </c>
    </row>
    <row r="137" spans="1:219" ht="16.5" x14ac:dyDescent="0.3">
      <c r="AU137" s="447" t="s">
        <v>355</v>
      </c>
      <c r="AV137" s="1481" t="s">
        <v>622</v>
      </c>
      <c r="AW137" s="1482">
        <v>217406000</v>
      </c>
      <c r="AX137" s="1482">
        <v>95146325</v>
      </c>
      <c r="AY137" s="1482">
        <v>122259675</v>
      </c>
      <c r="AZ137" s="1483">
        <f t="shared" si="119"/>
        <v>231102.57799999998</v>
      </c>
      <c r="BA137" s="1483">
        <f t="shared" si="120"/>
        <v>101140.543475</v>
      </c>
      <c r="BB137" s="1483">
        <f t="shared" si="121"/>
        <v>129962.034525</v>
      </c>
      <c r="BF137" s="447"/>
      <c r="BG137" s="448"/>
      <c r="BH137" s="449"/>
      <c r="BI137" s="450"/>
      <c r="BM137" s="447" t="s">
        <v>554</v>
      </c>
      <c r="BN137" s="448" t="s">
        <v>621</v>
      </c>
      <c r="BO137" s="449">
        <v>0</v>
      </c>
      <c r="BP137" s="449">
        <v>2263826000</v>
      </c>
      <c r="BQ137" s="449">
        <v>1420148907</v>
      </c>
      <c r="BR137" s="449">
        <v>843677093</v>
      </c>
      <c r="BS137" s="449">
        <v>1420148907</v>
      </c>
      <c r="BT137" s="450">
        <f t="shared" si="122"/>
        <v>2263826</v>
      </c>
      <c r="BU137" s="450">
        <f t="shared" si="123"/>
        <v>1420148.9069999999</v>
      </c>
      <c r="BV137" s="450">
        <f t="shared" si="124"/>
        <v>843677.09299999999</v>
      </c>
      <c r="BW137" s="450">
        <f t="shared" si="125"/>
        <v>1420148.9069999999</v>
      </c>
      <c r="CG137" s="448" t="s">
        <v>419</v>
      </c>
      <c r="CH137" s="449">
        <v>2263826000</v>
      </c>
      <c r="CI137" s="449">
        <v>2263826000</v>
      </c>
      <c r="CJ137" s="449">
        <v>0</v>
      </c>
      <c r="CK137" s="449">
        <v>1443016375</v>
      </c>
      <c r="CL137" s="449">
        <v>820809625</v>
      </c>
      <c r="CM137" s="449">
        <v>1443016375</v>
      </c>
      <c r="CN137" s="449">
        <f t="shared" si="126"/>
        <v>2263826</v>
      </c>
      <c r="CO137" s="449">
        <f t="shared" si="127"/>
        <v>1443016.375</v>
      </c>
      <c r="CP137" s="449">
        <f t="shared" si="128"/>
        <v>820809.625</v>
      </c>
      <c r="CQ137" s="449">
        <f t="shared" si="129"/>
        <v>1443016.375</v>
      </c>
      <c r="CU137" s="448"/>
      <c r="CV137" s="449"/>
      <c r="CW137" s="449"/>
      <c r="CX137" s="450"/>
      <c r="CY137" s="450"/>
      <c r="DB137" s="602" t="s">
        <v>419</v>
      </c>
      <c r="DC137" s="603">
        <v>2263826000</v>
      </c>
      <c r="DD137" s="603">
        <v>1698604691</v>
      </c>
      <c r="DE137" s="603">
        <v>565221309</v>
      </c>
      <c r="DF137" s="603">
        <v>1698604691</v>
      </c>
      <c r="DG137" s="604">
        <f t="shared" si="130"/>
        <v>2263826</v>
      </c>
      <c r="DH137" s="604">
        <f t="shared" si="131"/>
        <v>1698604.6910000001</v>
      </c>
      <c r="DI137" s="604">
        <f t="shared" si="132"/>
        <v>565221.30900000001</v>
      </c>
      <c r="DJ137" s="604">
        <f t="shared" si="133"/>
        <v>1698604.6910000001</v>
      </c>
      <c r="DV137" s="94" t="s">
        <v>417</v>
      </c>
      <c r="DW137" s="95">
        <v>13192408000</v>
      </c>
      <c r="DX137" s="95">
        <v>7541753210</v>
      </c>
      <c r="DY137" s="95">
        <v>5650654790</v>
      </c>
      <c r="DZ137" s="95">
        <v>7541753210</v>
      </c>
      <c r="EA137" s="95">
        <f t="shared" si="134"/>
        <v>13192408</v>
      </c>
      <c r="EB137" s="95">
        <f t="shared" si="135"/>
        <v>7541753.21</v>
      </c>
      <c r="EC137" s="95">
        <f t="shared" si="136"/>
        <v>5650654.79</v>
      </c>
      <c r="ED137" s="95">
        <f t="shared" si="137"/>
        <v>7541753.21</v>
      </c>
      <c r="EN137" s="444" t="s">
        <v>415</v>
      </c>
      <c r="EO137" s="450">
        <v>159090000</v>
      </c>
      <c r="EP137" s="450">
        <v>103655380</v>
      </c>
      <c r="EQ137" s="450">
        <v>55434620</v>
      </c>
      <c r="ER137" s="450">
        <v>96505380</v>
      </c>
      <c r="ES137" s="746">
        <f t="shared" si="138"/>
        <v>159090</v>
      </c>
      <c r="ET137" s="746">
        <f t="shared" si="139"/>
        <v>103655.38</v>
      </c>
      <c r="EU137" s="746">
        <f t="shared" si="140"/>
        <v>55434.62</v>
      </c>
      <c r="EV137" s="746">
        <f t="shared" si="141"/>
        <v>96505.38</v>
      </c>
      <c r="FG137" s="785" t="s">
        <v>449</v>
      </c>
      <c r="FH137" s="784" t="s">
        <v>638</v>
      </c>
      <c r="FI137" s="782">
        <v>155587000</v>
      </c>
      <c r="FJ137" s="783">
        <v>592905708</v>
      </c>
      <c r="FK137" s="783">
        <v>-437318708</v>
      </c>
      <c r="FL137" s="783">
        <v>560103764</v>
      </c>
      <c r="FM137" s="450">
        <f t="shared" si="142"/>
        <v>155587</v>
      </c>
      <c r="FN137" s="450">
        <f t="shared" si="143"/>
        <v>592905.70799999998</v>
      </c>
      <c r="FO137" s="450">
        <f t="shared" si="144"/>
        <v>-437318.70799999998</v>
      </c>
      <c r="FP137" s="450">
        <f t="shared" si="145"/>
        <v>560103.76399999997</v>
      </c>
      <c r="GG137" s="817" t="s">
        <v>449</v>
      </c>
      <c r="GH137" s="818" t="s">
        <v>638</v>
      </c>
      <c r="GI137" s="819">
        <v>155587000</v>
      </c>
      <c r="GJ137" s="819">
        <v>594917708</v>
      </c>
      <c r="GK137" s="819">
        <v>-439330708</v>
      </c>
      <c r="GL137" s="819">
        <v>594917534</v>
      </c>
      <c r="GM137" s="819">
        <v>174</v>
      </c>
      <c r="GN137" s="450">
        <f t="shared" si="146"/>
        <v>155587</v>
      </c>
      <c r="GO137" s="450">
        <f t="shared" si="147"/>
        <v>594917.70799999998</v>
      </c>
      <c r="GP137" s="450">
        <f t="shared" si="148"/>
        <v>-439330.70799999998</v>
      </c>
      <c r="GQ137" s="450">
        <f t="shared" si="149"/>
        <v>594917.53399999999</v>
      </c>
      <c r="GR137" s="450">
        <f t="shared" si="150"/>
        <v>0.17399999999999999</v>
      </c>
      <c r="GX137" s="820"/>
      <c r="HB137" s="843" t="s">
        <v>413</v>
      </c>
      <c r="HC137" s="819">
        <v>382249000</v>
      </c>
      <c r="HD137" s="819">
        <v>337559611</v>
      </c>
      <c r="HE137" s="819">
        <v>44689389</v>
      </c>
      <c r="HF137" s="819">
        <v>330133647</v>
      </c>
      <c r="HG137" s="450">
        <f t="shared" si="152"/>
        <v>382249</v>
      </c>
      <c r="HH137" s="450">
        <f t="shared" si="153"/>
        <v>44689.389000000003</v>
      </c>
      <c r="HI137" s="450">
        <f t="shared" si="154"/>
        <v>337559.61099999998</v>
      </c>
      <c r="HJ137" s="450">
        <f t="shared" si="155"/>
        <v>44689.389000000003</v>
      </c>
      <c r="HK137" s="450">
        <f t="shared" si="156"/>
        <v>330133.647</v>
      </c>
    </row>
    <row r="138" spans="1:219" ht="16.5" x14ac:dyDescent="0.3">
      <c r="AU138" s="447" t="s">
        <v>553</v>
      </c>
      <c r="AV138" s="448" t="s">
        <v>421</v>
      </c>
      <c r="AW138" s="449">
        <v>217406000</v>
      </c>
      <c r="AX138" s="449">
        <v>95146325</v>
      </c>
      <c r="AY138" s="449">
        <v>122259675</v>
      </c>
      <c r="AZ138" s="450">
        <f t="shared" si="119"/>
        <v>231102.57799999998</v>
      </c>
      <c r="BA138" s="450">
        <f t="shared" si="120"/>
        <v>101140.543475</v>
      </c>
      <c r="BB138" s="450">
        <f t="shared" si="121"/>
        <v>129962.034525</v>
      </c>
      <c r="BF138" s="447"/>
      <c r="BG138" s="448"/>
      <c r="BH138" s="449"/>
      <c r="BI138" s="450"/>
      <c r="BM138" s="447" t="s">
        <v>355</v>
      </c>
      <c r="BN138" s="448" t="s">
        <v>622</v>
      </c>
      <c r="BO138" s="449">
        <v>217406000</v>
      </c>
      <c r="BP138" s="449">
        <v>217406000</v>
      </c>
      <c r="BQ138" s="449">
        <v>95146325</v>
      </c>
      <c r="BR138" s="449">
        <v>122259675</v>
      </c>
      <c r="BS138" s="449">
        <v>95146325</v>
      </c>
      <c r="BT138" s="450">
        <f t="shared" si="122"/>
        <v>217406</v>
      </c>
      <c r="BU138" s="450">
        <f t="shared" si="123"/>
        <v>95146.324999999997</v>
      </c>
      <c r="BV138" s="450">
        <f t="shared" si="124"/>
        <v>122259.675</v>
      </c>
      <c r="BW138" s="450">
        <f t="shared" si="125"/>
        <v>95146.324999999997</v>
      </c>
      <c r="CG138" s="448" t="s">
        <v>420</v>
      </c>
      <c r="CH138" s="449">
        <v>0</v>
      </c>
      <c r="CI138" s="449">
        <v>2263826000</v>
      </c>
      <c r="CJ138" s="449">
        <v>-2263826000</v>
      </c>
      <c r="CK138" s="449">
        <v>1443016375</v>
      </c>
      <c r="CL138" s="449">
        <v>820809625</v>
      </c>
      <c r="CM138" s="449">
        <v>1443016375</v>
      </c>
      <c r="CN138" s="449">
        <f t="shared" si="126"/>
        <v>2263826</v>
      </c>
      <c r="CO138" s="449">
        <f t="shared" si="127"/>
        <v>1443016.375</v>
      </c>
      <c r="CP138" s="449">
        <f t="shared" si="128"/>
        <v>820809.625</v>
      </c>
      <c r="CQ138" s="449">
        <f t="shared" si="129"/>
        <v>1443016.375</v>
      </c>
      <c r="CU138" s="448"/>
      <c r="CV138" s="449"/>
      <c r="CW138" s="449"/>
      <c r="CX138" s="450"/>
      <c r="CY138" s="450"/>
      <c r="DB138" s="602" t="s">
        <v>420</v>
      </c>
      <c r="DC138" s="603">
        <v>2263826000</v>
      </c>
      <c r="DD138" s="603">
        <v>1698604691</v>
      </c>
      <c r="DE138" s="603">
        <v>565221309</v>
      </c>
      <c r="DF138" s="603">
        <v>1698604691</v>
      </c>
      <c r="DG138" s="604">
        <f t="shared" si="130"/>
        <v>2263826</v>
      </c>
      <c r="DH138" s="604">
        <f t="shared" si="131"/>
        <v>1698604.6910000001</v>
      </c>
      <c r="DI138" s="604">
        <f t="shared" si="132"/>
        <v>565221.30900000001</v>
      </c>
      <c r="DJ138" s="604">
        <f t="shared" si="133"/>
        <v>1698604.6910000001</v>
      </c>
      <c r="DV138" s="94" t="s">
        <v>418</v>
      </c>
      <c r="DW138" s="95">
        <v>13192408000</v>
      </c>
      <c r="DX138" s="95">
        <v>7541753210</v>
      </c>
      <c r="DY138" s="95">
        <v>5650654790</v>
      </c>
      <c r="DZ138" s="95">
        <v>7541753210</v>
      </c>
      <c r="EA138" s="95">
        <f t="shared" si="134"/>
        <v>13192408</v>
      </c>
      <c r="EB138" s="95">
        <f t="shared" si="135"/>
        <v>7541753.21</v>
      </c>
      <c r="EC138" s="95">
        <f t="shared" si="136"/>
        <v>5650654.79</v>
      </c>
      <c r="ED138" s="95">
        <f t="shared" si="137"/>
        <v>7541753.21</v>
      </c>
      <c r="EN138" s="444" t="s">
        <v>620</v>
      </c>
      <c r="EO138" s="450">
        <v>159090000</v>
      </c>
      <c r="EP138" s="450">
        <v>103655380</v>
      </c>
      <c r="EQ138" s="450">
        <v>55434620</v>
      </c>
      <c r="ER138" s="450">
        <v>96505380</v>
      </c>
      <c r="ES138" s="746">
        <f t="shared" si="138"/>
        <v>159090</v>
      </c>
      <c r="ET138" s="746">
        <f t="shared" si="139"/>
        <v>103655.38</v>
      </c>
      <c r="EU138" s="746">
        <f t="shared" si="140"/>
        <v>55434.62</v>
      </c>
      <c r="EV138" s="746">
        <f t="shared" si="141"/>
        <v>96505.38</v>
      </c>
      <c r="FG138" s="785" t="s">
        <v>355</v>
      </c>
      <c r="FH138" s="784" t="s">
        <v>639</v>
      </c>
      <c r="FI138" s="782">
        <v>155587000</v>
      </c>
      <c r="FJ138" s="783">
        <v>592905708</v>
      </c>
      <c r="FK138" s="783">
        <v>-437318708</v>
      </c>
      <c r="FL138" s="783">
        <v>560103764</v>
      </c>
      <c r="FM138" s="450">
        <f t="shared" si="142"/>
        <v>155587</v>
      </c>
      <c r="FN138" s="450">
        <f t="shared" si="143"/>
        <v>592905.70799999998</v>
      </c>
      <c r="FO138" s="450">
        <f t="shared" si="144"/>
        <v>-437318.70799999998</v>
      </c>
      <c r="FP138" s="450">
        <f t="shared" si="145"/>
        <v>560103.76399999997</v>
      </c>
      <c r="GG138" s="817" t="s">
        <v>355</v>
      </c>
      <c r="GH138" s="818" t="s">
        <v>639</v>
      </c>
      <c r="GI138" s="819">
        <v>155587000</v>
      </c>
      <c r="GJ138" s="819">
        <v>594917708</v>
      </c>
      <c r="GK138" s="819">
        <v>-439330708</v>
      </c>
      <c r="GL138" s="819">
        <v>594917534</v>
      </c>
      <c r="GM138" s="819">
        <v>174</v>
      </c>
      <c r="GN138" s="450">
        <f t="shared" si="146"/>
        <v>155587</v>
      </c>
      <c r="GO138" s="450">
        <f t="shared" si="147"/>
        <v>594917.70799999998</v>
      </c>
      <c r="GP138" s="450">
        <f t="shared" si="148"/>
        <v>-439330.70799999998</v>
      </c>
      <c r="GQ138" s="450">
        <f t="shared" si="149"/>
        <v>594917.53399999999</v>
      </c>
      <c r="GR138" s="450">
        <f t="shared" si="150"/>
        <v>0.17399999999999999</v>
      </c>
      <c r="HB138" s="843" t="s">
        <v>614</v>
      </c>
      <c r="HC138" s="819">
        <v>55010000</v>
      </c>
      <c r="HD138" s="819">
        <v>55000000</v>
      </c>
      <c r="HE138" s="819">
        <v>10000</v>
      </c>
      <c r="HF138" s="819">
        <v>55000000</v>
      </c>
      <c r="HG138" s="450">
        <f t="shared" si="152"/>
        <v>55010</v>
      </c>
      <c r="HH138" s="450">
        <f t="shared" si="153"/>
        <v>10</v>
      </c>
      <c r="HI138" s="450">
        <f t="shared" si="154"/>
        <v>55000</v>
      </c>
      <c r="HJ138" s="450">
        <f t="shared" si="155"/>
        <v>10</v>
      </c>
      <c r="HK138" s="450">
        <f t="shared" si="156"/>
        <v>55000</v>
      </c>
    </row>
    <row r="139" spans="1:219" ht="16.5" x14ac:dyDescent="0.3">
      <c r="AU139" s="447" t="s">
        <v>355</v>
      </c>
      <c r="AV139" s="448" t="s">
        <v>422</v>
      </c>
      <c r="AW139" s="449">
        <v>10000</v>
      </c>
      <c r="AX139" s="449">
        <v>339935381</v>
      </c>
      <c r="AY139" s="449">
        <v>-339925381</v>
      </c>
      <c r="AZ139" s="450">
        <f t="shared" si="119"/>
        <v>10.629999999999999</v>
      </c>
      <c r="BA139" s="450">
        <f t="shared" si="120"/>
        <v>361351.31000299996</v>
      </c>
      <c r="BB139" s="450">
        <f t="shared" si="121"/>
        <v>-361340.68000299996</v>
      </c>
      <c r="BF139" s="447"/>
      <c r="BG139" s="448"/>
      <c r="BH139" s="449"/>
      <c r="BI139" s="450"/>
      <c r="BM139" s="447" t="s">
        <v>553</v>
      </c>
      <c r="BN139" s="448" t="s">
        <v>421</v>
      </c>
      <c r="BO139" s="449">
        <v>0</v>
      </c>
      <c r="BP139" s="449">
        <v>217406000</v>
      </c>
      <c r="BQ139" s="449">
        <v>95146325</v>
      </c>
      <c r="BR139" s="449">
        <v>122259675</v>
      </c>
      <c r="BS139" s="449">
        <v>95146325</v>
      </c>
      <c r="BT139" s="450">
        <f t="shared" si="122"/>
        <v>217406</v>
      </c>
      <c r="BU139" s="450">
        <f t="shared" si="123"/>
        <v>95146.324999999997</v>
      </c>
      <c r="BV139" s="450">
        <f t="shared" si="124"/>
        <v>122259.675</v>
      </c>
      <c r="BW139" s="450">
        <f t="shared" si="125"/>
        <v>95146.324999999997</v>
      </c>
      <c r="CG139" s="448" t="s">
        <v>621</v>
      </c>
      <c r="CH139" s="449">
        <v>0</v>
      </c>
      <c r="CI139" s="449">
        <v>2263826000</v>
      </c>
      <c r="CJ139" s="449">
        <v>-2263826000</v>
      </c>
      <c r="CK139" s="449">
        <v>1443016375</v>
      </c>
      <c r="CL139" s="449">
        <v>820809625</v>
      </c>
      <c r="CM139" s="449">
        <v>1443016375</v>
      </c>
      <c r="CN139" s="449">
        <f t="shared" si="126"/>
        <v>2263826</v>
      </c>
      <c r="CO139" s="449">
        <f t="shared" si="127"/>
        <v>1443016.375</v>
      </c>
      <c r="CP139" s="449">
        <f t="shared" si="128"/>
        <v>820809.625</v>
      </c>
      <c r="CQ139" s="449">
        <f t="shared" si="129"/>
        <v>1443016.375</v>
      </c>
      <c r="CU139" s="448"/>
      <c r="CV139" s="449"/>
      <c r="CW139" s="449"/>
      <c r="CX139" s="450"/>
      <c r="CY139" s="450"/>
      <c r="DB139" s="602" t="s">
        <v>621</v>
      </c>
      <c r="DC139" s="603">
        <v>2263826000</v>
      </c>
      <c r="DD139" s="603">
        <v>1698604691</v>
      </c>
      <c r="DE139" s="603">
        <v>565221309</v>
      </c>
      <c r="DF139" s="603">
        <v>1698604691</v>
      </c>
      <c r="DG139" s="604">
        <f t="shared" si="130"/>
        <v>2263826</v>
      </c>
      <c r="DH139" s="604">
        <f t="shared" si="131"/>
        <v>1698604.6910000001</v>
      </c>
      <c r="DI139" s="604">
        <f t="shared" si="132"/>
        <v>565221.30900000001</v>
      </c>
      <c r="DJ139" s="604">
        <f t="shared" si="133"/>
        <v>1698604.6910000001</v>
      </c>
      <c r="DV139" s="94" t="s">
        <v>419</v>
      </c>
      <c r="DW139" s="95">
        <v>2263826000</v>
      </c>
      <c r="DX139" s="95">
        <v>1698604691</v>
      </c>
      <c r="DY139" s="95">
        <v>565221309</v>
      </c>
      <c r="DZ139" s="95">
        <v>1698604691</v>
      </c>
      <c r="EA139" s="95">
        <f t="shared" si="134"/>
        <v>2263826</v>
      </c>
      <c r="EB139" s="95">
        <f t="shared" si="135"/>
        <v>1698604.6910000001</v>
      </c>
      <c r="EC139" s="95">
        <f t="shared" si="136"/>
        <v>565221.30900000001</v>
      </c>
      <c r="ED139" s="95">
        <f t="shared" si="137"/>
        <v>1698604.6910000001</v>
      </c>
      <c r="EN139" s="444" t="s">
        <v>416</v>
      </c>
      <c r="EO139" s="450">
        <v>16009464000</v>
      </c>
      <c r="EP139" s="450">
        <v>9675746883</v>
      </c>
      <c r="EQ139" s="450">
        <v>6333717117</v>
      </c>
      <c r="ER139" s="450">
        <v>9675746883</v>
      </c>
      <c r="ES139" s="746">
        <f t="shared" si="138"/>
        <v>16009464</v>
      </c>
      <c r="ET139" s="746">
        <f t="shared" si="139"/>
        <v>9675746.8829999994</v>
      </c>
      <c r="EU139" s="746">
        <f t="shared" si="140"/>
        <v>6333717.1169999996</v>
      </c>
      <c r="EV139" s="746">
        <f t="shared" si="141"/>
        <v>9675746.8829999994</v>
      </c>
      <c r="FG139" s="785" t="s">
        <v>449</v>
      </c>
      <c r="FH139" s="784" t="s">
        <v>618</v>
      </c>
      <c r="FI139" s="782">
        <v>167540000</v>
      </c>
      <c r="FJ139" s="783">
        <v>111976526</v>
      </c>
      <c r="FK139" s="783">
        <v>55563474</v>
      </c>
      <c r="FL139" s="783">
        <v>109239026</v>
      </c>
      <c r="FM139" s="450">
        <f t="shared" si="142"/>
        <v>167540</v>
      </c>
      <c r="FN139" s="450">
        <f t="shared" si="143"/>
        <v>111976.526</v>
      </c>
      <c r="FO139" s="450">
        <f t="shared" si="144"/>
        <v>55563.474000000002</v>
      </c>
      <c r="FP139" s="450">
        <f t="shared" si="145"/>
        <v>109239.026</v>
      </c>
      <c r="GG139" s="817" t="s">
        <v>449</v>
      </c>
      <c r="GH139" s="818" t="s">
        <v>618</v>
      </c>
      <c r="GI139" s="819">
        <v>167540000</v>
      </c>
      <c r="GJ139" s="819">
        <v>125516269</v>
      </c>
      <c r="GK139" s="819">
        <v>42023731</v>
      </c>
      <c r="GL139" s="819">
        <v>109343209</v>
      </c>
      <c r="GM139" s="819">
        <v>16173060</v>
      </c>
      <c r="GN139" s="450">
        <f t="shared" si="146"/>
        <v>167540</v>
      </c>
      <c r="GO139" s="450">
        <f t="shared" si="147"/>
        <v>125516.269</v>
      </c>
      <c r="GP139" s="450">
        <f t="shared" si="148"/>
        <v>42023.731</v>
      </c>
      <c r="GQ139" s="450">
        <f t="shared" si="149"/>
        <v>109343.209</v>
      </c>
      <c r="GR139" s="450">
        <f t="shared" si="150"/>
        <v>16173.06</v>
      </c>
      <c r="HB139" s="843" t="s">
        <v>928</v>
      </c>
      <c r="HC139" s="819">
        <v>70000000</v>
      </c>
      <c r="HD139" s="819">
        <v>70000000</v>
      </c>
      <c r="HE139" s="819">
        <v>0</v>
      </c>
      <c r="HF139" s="819">
        <v>70000000</v>
      </c>
      <c r="HG139" s="450">
        <f t="shared" si="152"/>
        <v>70000</v>
      </c>
      <c r="HH139" s="450">
        <f t="shared" si="153"/>
        <v>0</v>
      </c>
      <c r="HI139" s="450">
        <f t="shared" si="154"/>
        <v>70000</v>
      </c>
      <c r="HJ139" s="450">
        <f t="shared" si="155"/>
        <v>0</v>
      </c>
      <c r="HK139" s="450">
        <f t="shared" si="156"/>
        <v>70000</v>
      </c>
    </row>
    <row r="140" spans="1:219" ht="16.5" x14ac:dyDescent="0.3">
      <c r="AZ140" s="450">
        <f t="shared" si="119"/>
        <v>0</v>
      </c>
      <c r="BA140" s="450">
        <f t="shared" si="120"/>
        <v>0</v>
      </c>
      <c r="BB140" s="450">
        <f t="shared" si="121"/>
        <v>0</v>
      </c>
      <c r="BF140" s="447"/>
      <c r="BG140" s="448"/>
      <c r="BH140" s="449"/>
      <c r="BI140" s="450"/>
      <c r="BM140" s="447" t="s">
        <v>355</v>
      </c>
      <c r="BN140" s="448" t="s">
        <v>422</v>
      </c>
      <c r="BO140" s="449">
        <v>10000</v>
      </c>
      <c r="BP140" s="449">
        <v>10000</v>
      </c>
      <c r="BQ140" s="449">
        <v>339935381</v>
      </c>
      <c r="BR140" s="449">
        <v>-339925381</v>
      </c>
      <c r="BS140" s="449">
        <v>339935381</v>
      </c>
      <c r="BT140" s="450">
        <f t="shared" si="122"/>
        <v>10</v>
      </c>
      <c r="BU140" s="450">
        <f t="shared" si="123"/>
        <v>339935.38099999999</v>
      </c>
      <c r="BV140" s="450">
        <f t="shared" si="124"/>
        <v>-339925.38099999999</v>
      </c>
      <c r="BW140" s="450">
        <f t="shared" si="125"/>
        <v>339935.38099999999</v>
      </c>
      <c r="CG140" s="448" t="s">
        <v>622</v>
      </c>
      <c r="CH140" s="449">
        <v>217406000</v>
      </c>
      <c r="CI140" s="449">
        <v>217406000</v>
      </c>
      <c r="CJ140" s="449">
        <v>0</v>
      </c>
      <c r="CK140" s="449">
        <v>95146325</v>
      </c>
      <c r="CL140" s="449">
        <v>122259675</v>
      </c>
      <c r="CM140" s="449">
        <v>95146325</v>
      </c>
      <c r="CN140" s="449">
        <f t="shared" si="126"/>
        <v>217406</v>
      </c>
      <c r="CO140" s="449">
        <f t="shared" si="127"/>
        <v>95146.324999999997</v>
      </c>
      <c r="CP140" s="449">
        <f t="shared" si="128"/>
        <v>122259.675</v>
      </c>
      <c r="CQ140" s="449">
        <f t="shared" si="129"/>
        <v>95146.324999999997</v>
      </c>
      <c r="CU140" s="448"/>
      <c r="CV140" s="449"/>
      <c r="CW140" s="449"/>
      <c r="CX140" s="450"/>
      <c r="CY140" s="450"/>
      <c r="DB140" s="602" t="s">
        <v>622</v>
      </c>
      <c r="DC140" s="603">
        <v>217406000</v>
      </c>
      <c r="DD140" s="603">
        <v>95453601</v>
      </c>
      <c r="DE140" s="603">
        <v>121952399</v>
      </c>
      <c r="DF140" s="603">
        <v>95453601</v>
      </c>
      <c r="DG140" s="604">
        <f t="shared" si="130"/>
        <v>217406</v>
      </c>
      <c r="DH140" s="604">
        <f t="shared" si="131"/>
        <v>95453.600999999995</v>
      </c>
      <c r="DI140" s="604">
        <f t="shared" si="132"/>
        <v>121952.399</v>
      </c>
      <c r="DJ140" s="604">
        <f t="shared" si="133"/>
        <v>95453.600999999995</v>
      </c>
      <c r="DV140" s="94" t="s">
        <v>420</v>
      </c>
      <c r="DW140" s="95">
        <v>2263826000</v>
      </c>
      <c r="DX140" s="95">
        <v>1698604691</v>
      </c>
      <c r="DY140" s="95">
        <v>565221309</v>
      </c>
      <c r="DZ140" s="95">
        <v>1698604691</v>
      </c>
      <c r="EA140" s="95">
        <f t="shared" si="134"/>
        <v>2263826</v>
      </c>
      <c r="EB140" s="95">
        <f t="shared" si="135"/>
        <v>1698604.6910000001</v>
      </c>
      <c r="EC140" s="95">
        <f t="shared" si="136"/>
        <v>565221.30900000001</v>
      </c>
      <c r="ED140" s="95">
        <f t="shared" si="137"/>
        <v>1698604.6910000001</v>
      </c>
      <c r="EN140" s="444" t="s">
        <v>417</v>
      </c>
      <c r="EO140" s="450">
        <v>13192408000</v>
      </c>
      <c r="EP140" s="450">
        <v>7541753210</v>
      </c>
      <c r="EQ140" s="450">
        <v>5650654790</v>
      </c>
      <c r="ER140" s="450">
        <v>7541753210</v>
      </c>
      <c r="ES140" s="746">
        <f t="shared" si="138"/>
        <v>13192408</v>
      </c>
      <c r="ET140" s="746">
        <f t="shared" si="139"/>
        <v>7541753.21</v>
      </c>
      <c r="EU140" s="746">
        <f t="shared" si="140"/>
        <v>5650654.79</v>
      </c>
      <c r="EV140" s="746">
        <f t="shared" si="141"/>
        <v>7541753.21</v>
      </c>
      <c r="FG140" s="785" t="s">
        <v>355</v>
      </c>
      <c r="FH140" s="784" t="s">
        <v>414</v>
      </c>
      <c r="FI140" s="782">
        <v>8450000</v>
      </c>
      <c r="FJ140" s="783">
        <v>8321146</v>
      </c>
      <c r="FK140" s="783">
        <v>128854</v>
      </c>
      <c r="FL140" s="783">
        <v>8321146</v>
      </c>
      <c r="FM140" s="450">
        <f t="shared" si="142"/>
        <v>8450</v>
      </c>
      <c r="FN140" s="450">
        <f t="shared" si="143"/>
        <v>8321.1460000000006</v>
      </c>
      <c r="FO140" s="450">
        <f t="shared" si="144"/>
        <v>128.85400000000001</v>
      </c>
      <c r="FP140" s="450">
        <f t="shared" si="145"/>
        <v>8321.1460000000006</v>
      </c>
      <c r="GG140" s="817" t="s">
        <v>355</v>
      </c>
      <c r="GH140" s="818" t="s">
        <v>414</v>
      </c>
      <c r="GI140" s="819">
        <v>8450000</v>
      </c>
      <c r="GJ140" s="819">
        <v>8425329</v>
      </c>
      <c r="GK140" s="819">
        <v>24671</v>
      </c>
      <c r="GL140" s="819">
        <v>8425329</v>
      </c>
      <c r="GM140" s="819">
        <v>0</v>
      </c>
      <c r="GN140" s="450">
        <f t="shared" si="146"/>
        <v>8450</v>
      </c>
      <c r="GO140" s="450">
        <f t="shared" si="147"/>
        <v>8425.3289999999997</v>
      </c>
      <c r="GP140" s="450">
        <f t="shared" si="148"/>
        <v>24.670999999999999</v>
      </c>
      <c r="GQ140" s="450">
        <f t="shared" si="149"/>
        <v>8425.3289999999997</v>
      </c>
      <c r="GR140" s="450">
        <f t="shared" si="150"/>
        <v>0</v>
      </c>
      <c r="HB140" s="843" t="s">
        <v>532</v>
      </c>
      <c r="HC140" s="819">
        <v>211852000</v>
      </c>
      <c r="HD140" s="819">
        <v>170279611</v>
      </c>
      <c r="HE140" s="819">
        <v>41572389</v>
      </c>
      <c r="HF140" s="819">
        <v>162853647</v>
      </c>
      <c r="HG140" s="450">
        <f t="shared" si="152"/>
        <v>211852</v>
      </c>
      <c r="HH140" s="450">
        <f t="shared" si="153"/>
        <v>41572.389000000003</v>
      </c>
      <c r="HI140" s="450">
        <f t="shared" si="154"/>
        <v>170279.611</v>
      </c>
      <c r="HJ140" s="450">
        <f t="shared" si="155"/>
        <v>41572.389000000003</v>
      </c>
      <c r="HK140" s="450">
        <f t="shared" si="156"/>
        <v>162853.647</v>
      </c>
    </row>
    <row r="141" spans="1:219" ht="16.5" x14ac:dyDescent="0.3">
      <c r="BF141" s="447"/>
      <c r="BG141" s="448"/>
      <c r="BH141" s="449"/>
      <c r="BI141" s="450"/>
      <c r="BM141" s="454"/>
      <c r="BN141" s="454"/>
      <c r="BO141" s="454"/>
      <c r="BP141" s="454"/>
      <c r="BQ141" s="454"/>
      <c r="BR141" s="454"/>
      <c r="BS141" s="454"/>
      <c r="CG141" s="448" t="s">
        <v>421</v>
      </c>
      <c r="CH141" s="449">
        <v>0</v>
      </c>
      <c r="CI141" s="449">
        <v>217406000</v>
      </c>
      <c r="CJ141" s="449">
        <v>-217406000</v>
      </c>
      <c r="CK141" s="449">
        <v>95146325</v>
      </c>
      <c r="CL141" s="449">
        <v>122259675</v>
      </c>
      <c r="CM141" s="449">
        <v>95146325</v>
      </c>
      <c r="CN141" s="449">
        <f t="shared" si="126"/>
        <v>217406</v>
      </c>
      <c r="CO141" s="449">
        <f t="shared" si="127"/>
        <v>95146.324999999997</v>
      </c>
      <c r="CP141" s="449">
        <f t="shared" si="128"/>
        <v>122259.675</v>
      </c>
      <c r="CQ141" s="449">
        <f t="shared" si="129"/>
        <v>95146.324999999997</v>
      </c>
      <c r="CU141" s="448"/>
      <c r="CV141" s="449"/>
      <c r="CW141" s="449"/>
      <c r="CX141" s="450"/>
      <c r="CY141" s="450"/>
      <c r="DB141" s="602" t="s">
        <v>421</v>
      </c>
      <c r="DC141" s="603">
        <v>217406000</v>
      </c>
      <c r="DD141" s="603">
        <v>95453601</v>
      </c>
      <c r="DE141" s="603">
        <v>121952399</v>
      </c>
      <c r="DF141" s="603">
        <v>95453601</v>
      </c>
      <c r="DG141" s="604">
        <f t="shared" si="130"/>
        <v>217406</v>
      </c>
      <c r="DH141" s="604">
        <f t="shared" si="131"/>
        <v>95453.600999999995</v>
      </c>
      <c r="DI141" s="604">
        <f t="shared" si="132"/>
        <v>121952.399</v>
      </c>
      <c r="DJ141" s="604">
        <f t="shared" si="133"/>
        <v>95453.600999999995</v>
      </c>
      <c r="DV141" s="94" t="s">
        <v>621</v>
      </c>
      <c r="DW141" s="95">
        <v>2263826000</v>
      </c>
      <c r="DX141" s="95">
        <v>1698604691</v>
      </c>
      <c r="DY141" s="95">
        <v>565221309</v>
      </c>
      <c r="DZ141" s="95">
        <v>1698604691</v>
      </c>
      <c r="EA141" s="95">
        <f t="shared" si="134"/>
        <v>2263826</v>
      </c>
      <c r="EB141" s="95">
        <f t="shared" si="135"/>
        <v>1698604.6910000001</v>
      </c>
      <c r="EC141" s="95">
        <f t="shared" si="136"/>
        <v>565221.30900000001</v>
      </c>
      <c r="ED141" s="95">
        <f t="shared" si="137"/>
        <v>1698604.6910000001</v>
      </c>
      <c r="EN141" s="444" t="s">
        <v>418</v>
      </c>
      <c r="EO141" s="450">
        <v>13192408000</v>
      </c>
      <c r="EP141" s="450">
        <v>7541753210</v>
      </c>
      <c r="EQ141" s="450">
        <v>5650654790</v>
      </c>
      <c r="ER141" s="450">
        <v>7541753210</v>
      </c>
      <c r="ES141" s="746">
        <f t="shared" si="138"/>
        <v>13192408</v>
      </c>
      <c r="ET141" s="746">
        <f t="shared" si="139"/>
        <v>7541753.21</v>
      </c>
      <c r="EU141" s="746">
        <f t="shared" si="140"/>
        <v>5650654.79</v>
      </c>
      <c r="EV141" s="746">
        <f t="shared" si="141"/>
        <v>7541753.21</v>
      </c>
      <c r="FG141" s="785" t="s">
        <v>553</v>
      </c>
      <c r="FH141" s="784" t="s">
        <v>619</v>
      </c>
      <c r="FI141" s="782">
        <v>8450000</v>
      </c>
      <c r="FJ141" s="783">
        <v>8321146</v>
      </c>
      <c r="FK141" s="783">
        <v>128854</v>
      </c>
      <c r="FL141" s="783">
        <v>8321146</v>
      </c>
      <c r="FM141" s="450">
        <f t="shared" si="142"/>
        <v>8450</v>
      </c>
      <c r="FN141" s="450">
        <f t="shared" si="143"/>
        <v>8321.1460000000006</v>
      </c>
      <c r="FO141" s="450">
        <f t="shared" si="144"/>
        <v>128.85400000000001</v>
      </c>
      <c r="FP141" s="450">
        <f t="shared" si="145"/>
        <v>8321.1460000000006</v>
      </c>
      <c r="GG141" s="817" t="s">
        <v>553</v>
      </c>
      <c r="GH141" s="818" t="s">
        <v>619</v>
      </c>
      <c r="GI141" s="819">
        <v>8450000</v>
      </c>
      <c r="GJ141" s="819">
        <v>8425329</v>
      </c>
      <c r="GK141" s="819">
        <v>24671</v>
      </c>
      <c r="GL141" s="819">
        <v>8425329</v>
      </c>
      <c r="GM141" s="819">
        <v>0</v>
      </c>
      <c r="GN141" s="450">
        <f t="shared" si="146"/>
        <v>8450</v>
      </c>
      <c r="GO141" s="450">
        <f t="shared" si="147"/>
        <v>8425.3289999999997</v>
      </c>
      <c r="GP141" s="450">
        <f t="shared" si="148"/>
        <v>24.670999999999999</v>
      </c>
      <c r="GQ141" s="450">
        <f t="shared" si="149"/>
        <v>8425.3289999999997</v>
      </c>
      <c r="GR141" s="450">
        <f t="shared" si="150"/>
        <v>0</v>
      </c>
      <c r="HB141" s="843" t="s">
        <v>531</v>
      </c>
      <c r="HC141" s="819">
        <v>45387000</v>
      </c>
      <c r="HD141" s="819">
        <v>42280000</v>
      </c>
      <c r="HE141" s="819">
        <v>3107000</v>
      </c>
      <c r="HF141" s="819">
        <v>42280000</v>
      </c>
      <c r="HG141" s="450">
        <f t="shared" si="152"/>
        <v>45387</v>
      </c>
      <c r="HH141" s="450">
        <f t="shared" si="153"/>
        <v>3107</v>
      </c>
      <c r="HI141" s="450">
        <f t="shared" si="154"/>
        <v>42280</v>
      </c>
      <c r="HJ141" s="450">
        <f t="shared" si="155"/>
        <v>3107</v>
      </c>
      <c r="HK141" s="450">
        <f t="shared" si="156"/>
        <v>42280</v>
      </c>
    </row>
    <row r="142" spans="1:219" ht="30" x14ac:dyDescent="0.3">
      <c r="BF142" s="447"/>
      <c r="BG142" s="448"/>
      <c r="BH142" s="449"/>
      <c r="BI142" s="450"/>
      <c r="CG142" s="448" t="s">
        <v>422</v>
      </c>
      <c r="CH142" s="449">
        <v>335824000</v>
      </c>
      <c r="CI142" s="449">
        <v>335824000</v>
      </c>
      <c r="CJ142" s="449">
        <v>0</v>
      </c>
      <c r="CK142" s="449">
        <v>339935381</v>
      </c>
      <c r="CL142" s="449">
        <v>-4111381</v>
      </c>
      <c r="CM142" s="449">
        <v>339935381</v>
      </c>
      <c r="CN142" s="449">
        <f t="shared" si="126"/>
        <v>335824</v>
      </c>
      <c r="CO142" s="449">
        <f t="shared" si="127"/>
        <v>339935.38099999999</v>
      </c>
      <c r="CP142" s="449">
        <f t="shared" si="128"/>
        <v>-4111.3810000000003</v>
      </c>
      <c r="CQ142" s="449">
        <f t="shared" si="129"/>
        <v>339935.38099999999</v>
      </c>
      <c r="CU142" s="448"/>
      <c r="CV142" s="449"/>
      <c r="CW142" s="449"/>
      <c r="CX142" s="450"/>
      <c r="CY142" s="450"/>
      <c r="DB142" s="602" t="s">
        <v>422</v>
      </c>
      <c r="DC142" s="603">
        <v>335824000</v>
      </c>
      <c r="DD142" s="603">
        <v>339935381</v>
      </c>
      <c r="DE142" s="603">
        <v>-4111381</v>
      </c>
      <c r="DF142" s="603">
        <v>339935381</v>
      </c>
      <c r="DG142" s="604">
        <f t="shared" si="130"/>
        <v>335824</v>
      </c>
      <c r="DH142" s="604">
        <f t="shared" si="131"/>
        <v>339935.38099999999</v>
      </c>
      <c r="DI142" s="604">
        <f t="shared" si="132"/>
        <v>-4111.3810000000003</v>
      </c>
      <c r="DJ142" s="604">
        <f t="shared" si="133"/>
        <v>339935.38099999999</v>
      </c>
      <c r="DV142" s="94" t="s">
        <v>622</v>
      </c>
      <c r="DW142" s="95">
        <v>217406000</v>
      </c>
      <c r="DX142" s="95">
        <v>95453601</v>
      </c>
      <c r="DY142" s="95">
        <v>121952399</v>
      </c>
      <c r="DZ142" s="95">
        <v>95453601</v>
      </c>
      <c r="EA142" s="95">
        <f t="shared" si="134"/>
        <v>217406</v>
      </c>
      <c r="EB142" s="95">
        <f t="shared" si="135"/>
        <v>95453.600999999995</v>
      </c>
      <c r="EC142" s="95">
        <f t="shared" si="136"/>
        <v>121952.399</v>
      </c>
      <c r="ED142" s="95">
        <f t="shared" si="137"/>
        <v>95453.600999999995</v>
      </c>
      <c r="EN142" s="444" t="s">
        <v>419</v>
      </c>
      <c r="EO142" s="450">
        <v>2263826000</v>
      </c>
      <c r="EP142" s="450">
        <v>1698604691</v>
      </c>
      <c r="EQ142" s="450">
        <v>565221309</v>
      </c>
      <c r="ER142" s="450">
        <v>1698604691</v>
      </c>
      <c r="ES142" s="746">
        <f t="shared" si="138"/>
        <v>2263826</v>
      </c>
      <c r="ET142" s="746">
        <f t="shared" si="139"/>
        <v>1698604.6910000001</v>
      </c>
      <c r="EU142" s="746">
        <f t="shared" si="140"/>
        <v>565221.30900000001</v>
      </c>
      <c r="EV142" s="746">
        <f t="shared" si="141"/>
        <v>1698604.6910000001</v>
      </c>
      <c r="FG142" s="785" t="s">
        <v>355</v>
      </c>
      <c r="FH142" s="784" t="s">
        <v>415</v>
      </c>
      <c r="FI142" s="782">
        <v>159090000</v>
      </c>
      <c r="FJ142" s="783">
        <v>103655380</v>
      </c>
      <c r="FK142" s="783">
        <v>55434620</v>
      </c>
      <c r="FL142" s="783">
        <v>100917880</v>
      </c>
      <c r="FM142" s="450">
        <f t="shared" si="142"/>
        <v>159090</v>
      </c>
      <c r="FN142" s="450">
        <f t="shared" si="143"/>
        <v>103655.38</v>
      </c>
      <c r="FO142" s="450">
        <f t="shared" si="144"/>
        <v>55434.62</v>
      </c>
      <c r="FP142" s="450">
        <f t="shared" si="145"/>
        <v>100917.88</v>
      </c>
      <c r="GG142" s="817" t="s">
        <v>355</v>
      </c>
      <c r="GH142" s="818" t="s">
        <v>415</v>
      </c>
      <c r="GI142" s="819">
        <v>159090000</v>
      </c>
      <c r="GJ142" s="819">
        <v>117090940</v>
      </c>
      <c r="GK142" s="819">
        <v>41999060</v>
      </c>
      <c r="GL142" s="819">
        <v>100917880</v>
      </c>
      <c r="GM142" s="819">
        <v>16173060</v>
      </c>
      <c r="GN142" s="450">
        <f t="shared" si="146"/>
        <v>159090</v>
      </c>
      <c r="GO142" s="450">
        <f t="shared" si="147"/>
        <v>117090.94</v>
      </c>
      <c r="GP142" s="450">
        <f t="shared" si="148"/>
        <v>41999.06</v>
      </c>
      <c r="GQ142" s="450">
        <f t="shared" si="149"/>
        <v>100917.88</v>
      </c>
      <c r="GR142" s="450">
        <f t="shared" si="150"/>
        <v>16173.06</v>
      </c>
      <c r="HB142" s="843" t="s">
        <v>495</v>
      </c>
      <c r="HC142" s="819">
        <v>174500000</v>
      </c>
      <c r="HD142" s="819">
        <v>164790280</v>
      </c>
      <c r="HE142" s="819">
        <v>9709720</v>
      </c>
      <c r="HF142" s="819">
        <v>164790280</v>
      </c>
      <c r="HG142" s="450">
        <f t="shared" si="152"/>
        <v>174500</v>
      </c>
      <c r="HH142" s="450">
        <f t="shared" si="153"/>
        <v>9709.7199999999993</v>
      </c>
      <c r="HI142" s="450">
        <f t="shared" si="154"/>
        <v>164790.28</v>
      </c>
      <c r="HJ142" s="450">
        <f t="shared" si="155"/>
        <v>9709.7199999999993</v>
      </c>
      <c r="HK142" s="450">
        <f t="shared" si="156"/>
        <v>164790.28</v>
      </c>
    </row>
    <row r="143" spans="1:219" ht="16.5" x14ac:dyDescent="0.3">
      <c r="BF143" s="454"/>
      <c r="BG143" s="454"/>
      <c r="BH143" s="454"/>
      <c r="CU143" s="448"/>
      <c r="CV143" s="449"/>
      <c r="CW143" s="449"/>
      <c r="CX143" s="450"/>
      <c r="CY143" s="450"/>
      <c r="DB143" s="602"/>
      <c r="DC143" s="603"/>
      <c r="DD143" s="603"/>
      <c r="DE143" s="603"/>
      <c r="DF143" s="603"/>
      <c r="DG143" s="604">
        <f t="shared" si="130"/>
        <v>0</v>
      </c>
      <c r="DH143" s="604">
        <f t="shared" si="131"/>
        <v>0</v>
      </c>
      <c r="DI143" s="604">
        <f t="shared" si="132"/>
        <v>0</v>
      </c>
      <c r="DJ143" s="604">
        <f t="shared" si="133"/>
        <v>0</v>
      </c>
      <c r="DV143" s="94" t="s">
        <v>421</v>
      </c>
      <c r="DW143" s="95">
        <v>217406000</v>
      </c>
      <c r="DX143" s="95">
        <v>95453601</v>
      </c>
      <c r="DY143" s="95">
        <v>121952399</v>
      </c>
      <c r="DZ143" s="95">
        <v>95453601</v>
      </c>
      <c r="EA143" s="95">
        <f t="shared" si="134"/>
        <v>217406</v>
      </c>
      <c r="EB143" s="95">
        <f t="shared" si="135"/>
        <v>95453.600999999995</v>
      </c>
      <c r="EC143" s="95">
        <f t="shared" si="136"/>
        <v>121952.399</v>
      </c>
      <c r="ED143" s="95">
        <f t="shared" si="137"/>
        <v>95453.600999999995</v>
      </c>
      <c r="EN143" s="444" t="s">
        <v>420</v>
      </c>
      <c r="EO143" s="450">
        <v>2263826000</v>
      </c>
      <c r="EP143" s="450">
        <v>1698604691</v>
      </c>
      <c r="EQ143" s="450">
        <v>565221309</v>
      </c>
      <c r="ER143" s="450">
        <v>1698604691</v>
      </c>
      <c r="ES143" s="746">
        <f t="shared" si="138"/>
        <v>2263826</v>
      </c>
      <c r="ET143" s="746">
        <f t="shared" si="139"/>
        <v>1698604.6910000001</v>
      </c>
      <c r="EU143" s="746">
        <f t="shared" si="140"/>
        <v>565221.30900000001</v>
      </c>
      <c r="EV143" s="746">
        <f t="shared" si="141"/>
        <v>1698604.6910000001</v>
      </c>
      <c r="FG143" s="785" t="s">
        <v>553</v>
      </c>
      <c r="FH143" s="784" t="s">
        <v>620</v>
      </c>
      <c r="FI143" s="782">
        <v>159090000</v>
      </c>
      <c r="FJ143" s="783">
        <v>103655380</v>
      </c>
      <c r="FK143" s="783">
        <v>55434620</v>
      </c>
      <c r="FL143" s="783">
        <v>100917880</v>
      </c>
      <c r="FM143" s="450">
        <f t="shared" si="142"/>
        <v>159090</v>
      </c>
      <c r="FN143" s="450">
        <f t="shared" si="143"/>
        <v>103655.38</v>
      </c>
      <c r="FO143" s="450">
        <f t="shared" si="144"/>
        <v>55434.62</v>
      </c>
      <c r="FP143" s="450">
        <f t="shared" si="145"/>
        <v>100917.88</v>
      </c>
      <c r="GG143" s="817" t="s">
        <v>553</v>
      </c>
      <c r="GH143" s="818" t="s">
        <v>620</v>
      </c>
      <c r="GI143" s="819">
        <v>140590000</v>
      </c>
      <c r="GJ143" s="819">
        <v>117090940</v>
      </c>
      <c r="GK143" s="819">
        <v>23499060</v>
      </c>
      <c r="GL143" s="819">
        <v>100917880</v>
      </c>
      <c r="GM143" s="819">
        <v>16173060</v>
      </c>
      <c r="GN143" s="450">
        <f t="shared" si="146"/>
        <v>140590</v>
      </c>
      <c r="GO143" s="450">
        <f t="shared" si="147"/>
        <v>117090.94</v>
      </c>
      <c r="GP143" s="450">
        <f t="shared" si="148"/>
        <v>23499.06</v>
      </c>
      <c r="GQ143" s="450">
        <f t="shared" si="149"/>
        <v>100917.88</v>
      </c>
      <c r="GR143" s="450">
        <f t="shared" si="150"/>
        <v>16173.06</v>
      </c>
      <c r="HB143" s="843" t="s">
        <v>615</v>
      </c>
      <c r="HC143" s="819">
        <v>6000000</v>
      </c>
      <c r="HD143" s="819">
        <v>4762680</v>
      </c>
      <c r="HE143" s="819">
        <v>1237320</v>
      </c>
      <c r="HF143" s="819">
        <v>4762680</v>
      </c>
      <c r="HG143" s="450">
        <f t="shared" si="152"/>
        <v>6000</v>
      </c>
      <c r="HH143" s="450">
        <f t="shared" si="153"/>
        <v>1237.32</v>
      </c>
      <c r="HI143" s="450">
        <f t="shared" si="154"/>
        <v>4762.68</v>
      </c>
      <c r="HJ143" s="450">
        <f t="shared" si="155"/>
        <v>1237.32</v>
      </c>
      <c r="HK143" s="450">
        <f t="shared" si="156"/>
        <v>4762.68</v>
      </c>
    </row>
    <row r="144" spans="1:219" ht="16.5" x14ac:dyDescent="0.3">
      <c r="BF144" s="454"/>
      <c r="BG144" s="454"/>
      <c r="BH144" s="454"/>
      <c r="CU144" s="448"/>
      <c r="CV144" s="449"/>
      <c r="CW144" s="449"/>
      <c r="CX144" s="450"/>
      <c r="CY144" s="450"/>
      <c r="DB144" s="602"/>
      <c r="DC144" s="603"/>
      <c r="DD144" s="603"/>
      <c r="DE144" s="603"/>
      <c r="DF144" s="603"/>
      <c r="DG144" s="604">
        <f t="shared" si="130"/>
        <v>0</v>
      </c>
      <c r="DH144" s="604">
        <f t="shared" si="131"/>
        <v>0</v>
      </c>
      <c r="DI144" s="604">
        <f t="shared" si="132"/>
        <v>0</v>
      </c>
      <c r="DJ144" s="604">
        <f t="shared" si="133"/>
        <v>0</v>
      </c>
      <c r="DV144" s="94" t="s">
        <v>422</v>
      </c>
      <c r="DW144" s="95">
        <v>335824000</v>
      </c>
      <c r="DX144" s="95">
        <v>339935381</v>
      </c>
      <c r="DY144" s="95">
        <v>-4111381</v>
      </c>
      <c r="DZ144" s="95">
        <v>339935381</v>
      </c>
      <c r="EA144" s="95">
        <f t="shared" si="134"/>
        <v>335824</v>
      </c>
      <c r="EB144" s="95">
        <f t="shared" si="135"/>
        <v>339935.38099999999</v>
      </c>
      <c r="EC144" s="95">
        <f t="shared" si="136"/>
        <v>-4111.3810000000003</v>
      </c>
      <c r="ED144" s="95">
        <f t="shared" si="137"/>
        <v>339935.38099999999</v>
      </c>
      <c r="EN144" s="444" t="s">
        <v>621</v>
      </c>
      <c r="EO144" s="450">
        <v>2263826000</v>
      </c>
      <c r="EP144" s="450">
        <v>1698604691</v>
      </c>
      <c r="EQ144" s="450">
        <v>565221309</v>
      </c>
      <c r="ER144" s="450">
        <v>1698604691</v>
      </c>
      <c r="ES144" s="746">
        <f t="shared" si="138"/>
        <v>2263826</v>
      </c>
      <c r="ET144" s="746">
        <f t="shared" si="139"/>
        <v>1698604.6910000001</v>
      </c>
      <c r="EU144" s="746">
        <f t="shared" si="140"/>
        <v>565221.30900000001</v>
      </c>
      <c r="EV144" s="746">
        <f t="shared" si="141"/>
        <v>1698604.6910000001</v>
      </c>
      <c r="FG144" s="785" t="s">
        <v>449</v>
      </c>
      <c r="FH144" s="784" t="s">
        <v>416</v>
      </c>
      <c r="FI144" s="782">
        <v>16009464000</v>
      </c>
      <c r="FJ144" s="783">
        <v>11188753619</v>
      </c>
      <c r="FK144" s="783">
        <v>4820710381</v>
      </c>
      <c r="FL144" s="783">
        <v>11188753619</v>
      </c>
      <c r="FM144" s="450">
        <f t="shared" si="142"/>
        <v>16009464</v>
      </c>
      <c r="FN144" s="450">
        <f t="shared" si="143"/>
        <v>11188753.619000001</v>
      </c>
      <c r="FO144" s="450">
        <f t="shared" si="144"/>
        <v>4820710.3810000001</v>
      </c>
      <c r="FP144" s="450">
        <f t="shared" si="145"/>
        <v>11188753.619000001</v>
      </c>
      <c r="GG144" s="817" t="s">
        <v>553</v>
      </c>
      <c r="GH144" s="818" t="s">
        <v>914</v>
      </c>
      <c r="GI144" s="819">
        <v>18500000</v>
      </c>
      <c r="GJ144" s="819">
        <v>0</v>
      </c>
      <c r="GK144" s="819">
        <v>18500000</v>
      </c>
      <c r="GL144" s="819">
        <v>0</v>
      </c>
      <c r="GM144" s="819">
        <v>0</v>
      </c>
      <c r="GN144" s="450">
        <f t="shared" si="146"/>
        <v>18500</v>
      </c>
      <c r="GO144" s="450">
        <f t="shared" si="147"/>
        <v>0</v>
      </c>
      <c r="GP144" s="450">
        <f t="shared" si="148"/>
        <v>18500</v>
      </c>
      <c r="GQ144" s="450">
        <f t="shared" si="149"/>
        <v>0</v>
      </c>
      <c r="GR144" s="450">
        <f t="shared" si="150"/>
        <v>0</v>
      </c>
      <c r="HB144" s="843" t="s">
        <v>616</v>
      </c>
      <c r="HC144" s="819">
        <v>125000000</v>
      </c>
      <c r="HD144" s="819">
        <v>120027600</v>
      </c>
      <c r="HE144" s="819">
        <v>4972400</v>
      </c>
      <c r="HF144" s="819">
        <v>120027600</v>
      </c>
      <c r="HG144" s="450">
        <f t="shared" si="152"/>
        <v>125000</v>
      </c>
      <c r="HH144" s="450">
        <f t="shared" si="153"/>
        <v>4972.3999999999996</v>
      </c>
      <c r="HI144" s="450">
        <f t="shared" si="154"/>
        <v>120027.6</v>
      </c>
      <c r="HJ144" s="450">
        <f t="shared" si="155"/>
        <v>4972.3999999999996</v>
      </c>
      <c r="HK144" s="450">
        <f t="shared" si="156"/>
        <v>120027.6</v>
      </c>
    </row>
    <row r="145" spans="99:219" ht="16.5" x14ac:dyDescent="0.3">
      <c r="CU145" s="448"/>
      <c r="CV145" s="449"/>
      <c r="CW145" s="449"/>
      <c r="CX145" s="450"/>
      <c r="CY145" s="450"/>
      <c r="DB145" s="602"/>
      <c r="DC145" s="603"/>
      <c r="DD145" s="603"/>
      <c r="DE145" s="603"/>
      <c r="DF145" s="603"/>
      <c r="DG145" s="604">
        <f t="shared" si="130"/>
        <v>0</v>
      </c>
      <c r="DH145" s="604">
        <f t="shared" si="131"/>
        <v>0</v>
      </c>
      <c r="DI145" s="604">
        <f t="shared" si="132"/>
        <v>0</v>
      </c>
      <c r="DJ145" s="604">
        <f t="shared" si="133"/>
        <v>0</v>
      </c>
      <c r="EN145" s="444" t="s">
        <v>622</v>
      </c>
      <c r="EO145" s="450">
        <v>217406000</v>
      </c>
      <c r="EP145" s="450">
        <v>95453601</v>
      </c>
      <c r="EQ145" s="450">
        <v>121952399</v>
      </c>
      <c r="ER145" s="450">
        <v>95453601</v>
      </c>
      <c r="ES145" s="746">
        <f t="shared" si="138"/>
        <v>217406</v>
      </c>
      <c r="ET145" s="746">
        <f t="shared" si="139"/>
        <v>95453.600999999995</v>
      </c>
      <c r="EU145" s="746">
        <f t="shared" si="140"/>
        <v>121952.399</v>
      </c>
      <c r="EV145" s="746">
        <f t="shared" si="141"/>
        <v>95453.600999999995</v>
      </c>
      <c r="FG145" s="785" t="s">
        <v>355</v>
      </c>
      <c r="FH145" s="784" t="s">
        <v>417</v>
      </c>
      <c r="FI145" s="782">
        <v>13192408000</v>
      </c>
      <c r="FJ145" s="783">
        <v>8987172299</v>
      </c>
      <c r="FK145" s="783">
        <v>4205235701</v>
      </c>
      <c r="FL145" s="783">
        <v>8987172299</v>
      </c>
      <c r="FM145" s="450">
        <f t="shared" si="142"/>
        <v>13192408</v>
      </c>
      <c r="FN145" s="450">
        <f t="shared" si="143"/>
        <v>8987172.2990000006</v>
      </c>
      <c r="FO145" s="450">
        <f t="shared" si="144"/>
        <v>4205235.7010000004</v>
      </c>
      <c r="FP145" s="450">
        <f t="shared" si="145"/>
        <v>8987172.2990000006</v>
      </c>
      <c r="GG145" s="817" t="s">
        <v>449</v>
      </c>
      <c r="GH145" s="818" t="s">
        <v>416</v>
      </c>
      <c r="GI145" s="819">
        <v>16009464000</v>
      </c>
      <c r="GJ145" s="819">
        <v>11188753619</v>
      </c>
      <c r="GK145" s="819">
        <v>4820710381</v>
      </c>
      <c r="GL145" s="819">
        <v>11188753619</v>
      </c>
      <c r="GM145" s="819">
        <v>0</v>
      </c>
      <c r="GN145" s="450">
        <f t="shared" si="146"/>
        <v>16009464</v>
      </c>
      <c r="GO145" s="450">
        <f t="shared" si="147"/>
        <v>11188753.619000001</v>
      </c>
      <c r="GP145" s="450">
        <f t="shared" si="148"/>
        <v>4820710.3810000001</v>
      </c>
      <c r="GQ145" s="450">
        <f t="shared" si="149"/>
        <v>11188753.619000001</v>
      </c>
      <c r="GR145" s="450">
        <f t="shared" si="150"/>
        <v>0</v>
      </c>
      <c r="HB145" s="843" t="s">
        <v>617</v>
      </c>
      <c r="HC145" s="819">
        <v>3500000</v>
      </c>
      <c r="HD145" s="819">
        <v>0</v>
      </c>
      <c r="HE145" s="819">
        <v>3500000</v>
      </c>
      <c r="HF145" s="819">
        <v>0</v>
      </c>
      <c r="HG145" s="450">
        <f t="shared" si="152"/>
        <v>3500</v>
      </c>
      <c r="HH145" s="450">
        <f t="shared" si="153"/>
        <v>3500</v>
      </c>
      <c r="HI145" s="450">
        <f t="shared" si="154"/>
        <v>0</v>
      </c>
      <c r="HJ145" s="450">
        <f t="shared" si="155"/>
        <v>3500</v>
      </c>
      <c r="HK145" s="450">
        <f t="shared" si="156"/>
        <v>0</v>
      </c>
    </row>
    <row r="146" spans="99:219" ht="16.5" x14ac:dyDescent="0.3">
      <c r="CU146" s="448"/>
      <c r="CV146" s="449"/>
      <c r="CW146" s="449"/>
      <c r="CX146" s="450"/>
      <c r="CY146" s="450"/>
      <c r="DB146" s="602"/>
      <c r="DC146" s="603"/>
      <c r="DD146" s="603"/>
      <c r="DE146" s="603"/>
      <c r="DF146" s="603"/>
      <c r="DG146" s="604">
        <f t="shared" si="130"/>
        <v>0</v>
      </c>
      <c r="DH146" s="604">
        <f t="shared" si="131"/>
        <v>0</v>
      </c>
      <c r="DI146" s="604">
        <f t="shared" si="132"/>
        <v>0</v>
      </c>
      <c r="DJ146" s="604">
        <f t="shared" si="133"/>
        <v>0</v>
      </c>
      <c r="EN146" s="444" t="s">
        <v>421</v>
      </c>
      <c r="EO146" s="450">
        <v>217406000</v>
      </c>
      <c r="EP146" s="450">
        <v>95453601</v>
      </c>
      <c r="EQ146" s="450">
        <v>121952399</v>
      </c>
      <c r="ER146" s="450">
        <v>95453601</v>
      </c>
      <c r="ES146" s="746">
        <f t="shared" si="138"/>
        <v>217406</v>
      </c>
      <c r="ET146" s="746">
        <f t="shared" si="139"/>
        <v>95453.600999999995</v>
      </c>
      <c r="EU146" s="746">
        <f t="shared" si="140"/>
        <v>121952.399</v>
      </c>
      <c r="EV146" s="746">
        <f t="shared" si="141"/>
        <v>95453.600999999995</v>
      </c>
      <c r="FG146" s="785" t="s">
        <v>553</v>
      </c>
      <c r="FH146" s="784" t="s">
        <v>418</v>
      </c>
      <c r="FI146" s="782">
        <v>13192408000</v>
      </c>
      <c r="FJ146" s="783">
        <v>8987172299</v>
      </c>
      <c r="FK146" s="783">
        <v>4205235701</v>
      </c>
      <c r="FL146" s="783">
        <v>8987172299</v>
      </c>
      <c r="FM146" s="450">
        <f t="shared" si="142"/>
        <v>13192408</v>
      </c>
      <c r="FN146" s="450">
        <f t="shared" si="143"/>
        <v>8987172.2990000006</v>
      </c>
      <c r="FO146" s="450">
        <f t="shared" si="144"/>
        <v>4205235.7010000004</v>
      </c>
      <c r="FP146" s="450">
        <f t="shared" si="145"/>
        <v>8987172.2990000006</v>
      </c>
      <c r="GG146" s="817" t="s">
        <v>355</v>
      </c>
      <c r="GH146" s="818" t="s">
        <v>417</v>
      </c>
      <c r="GI146" s="819">
        <v>13192408000</v>
      </c>
      <c r="GJ146" s="819">
        <v>8987172299</v>
      </c>
      <c r="GK146" s="819">
        <v>4205235701</v>
      </c>
      <c r="GL146" s="819">
        <v>8987172299</v>
      </c>
      <c r="GM146" s="819">
        <v>0</v>
      </c>
      <c r="GN146" s="450">
        <f t="shared" si="146"/>
        <v>13192408</v>
      </c>
      <c r="GO146" s="450">
        <f t="shared" si="147"/>
        <v>8987172.2990000006</v>
      </c>
      <c r="GP146" s="450">
        <f t="shared" si="148"/>
        <v>4205235.7010000004</v>
      </c>
      <c r="GQ146" s="450">
        <f t="shared" si="149"/>
        <v>8987172.2990000006</v>
      </c>
      <c r="GR146" s="450">
        <f t="shared" si="150"/>
        <v>0</v>
      </c>
      <c r="HB146" s="843" t="s">
        <v>904</v>
      </c>
      <c r="HC146" s="819">
        <v>40000000</v>
      </c>
      <c r="HD146" s="819">
        <v>40000000</v>
      </c>
      <c r="HE146" s="819">
        <v>0</v>
      </c>
      <c r="HF146" s="819">
        <v>40000000</v>
      </c>
      <c r="HG146" s="450">
        <f t="shared" si="152"/>
        <v>40000</v>
      </c>
      <c r="HH146" s="450">
        <f t="shared" si="153"/>
        <v>0</v>
      </c>
      <c r="HI146" s="450">
        <f t="shared" si="154"/>
        <v>40000</v>
      </c>
      <c r="HJ146" s="450">
        <f t="shared" si="155"/>
        <v>0</v>
      </c>
      <c r="HK146" s="450">
        <f t="shared" si="156"/>
        <v>40000</v>
      </c>
    </row>
    <row r="147" spans="99:219" ht="16.5" x14ac:dyDescent="0.3">
      <c r="CU147" s="448"/>
      <c r="CV147" s="449"/>
      <c r="CW147" s="449"/>
      <c r="CX147" s="450"/>
      <c r="CY147" s="450"/>
      <c r="DB147" s="602"/>
      <c r="DC147" s="603"/>
      <c r="DD147" s="603"/>
      <c r="DE147" s="603"/>
      <c r="DF147" s="603"/>
      <c r="DG147" s="604">
        <f t="shared" si="130"/>
        <v>0</v>
      </c>
      <c r="DH147" s="604">
        <f t="shared" si="131"/>
        <v>0</v>
      </c>
      <c r="DI147" s="604">
        <f t="shared" si="132"/>
        <v>0</v>
      </c>
      <c r="DJ147" s="604">
        <f t="shared" si="133"/>
        <v>0</v>
      </c>
      <c r="EN147" s="444" t="s">
        <v>422</v>
      </c>
      <c r="EO147" s="450">
        <v>335824000</v>
      </c>
      <c r="EP147" s="450">
        <v>339935381</v>
      </c>
      <c r="EQ147" s="450">
        <v>-4111381</v>
      </c>
      <c r="ER147" s="450">
        <v>339935381</v>
      </c>
      <c r="ES147" s="746">
        <f t="shared" si="138"/>
        <v>335824</v>
      </c>
      <c r="ET147" s="746">
        <f t="shared" si="139"/>
        <v>339935.38099999999</v>
      </c>
      <c r="EU147" s="746">
        <f t="shared" si="140"/>
        <v>-4111.3810000000003</v>
      </c>
      <c r="EV147" s="746">
        <f t="shared" si="141"/>
        <v>339935.38099999999</v>
      </c>
      <c r="FG147" s="785" t="s">
        <v>355</v>
      </c>
      <c r="FH147" s="784" t="s">
        <v>419</v>
      </c>
      <c r="FI147" s="782">
        <v>2263826000</v>
      </c>
      <c r="FJ147" s="783">
        <v>1766192338</v>
      </c>
      <c r="FK147" s="783">
        <v>497633662</v>
      </c>
      <c r="FL147" s="783">
        <v>1766192338</v>
      </c>
      <c r="FM147" s="450">
        <f t="shared" si="142"/>
        <v>2263826</v>
      </c>
      <c r="FN147" s="450">
        <f t="shared" si="143"/>
        <v>1766192.338</v>
      </c>
      <c r="FO147" s="450">
        <f t="shared" si="144"/>
        <v>497633.66200000001</v>
      </c>
      <c r="FP147" s="450">
        <f t="shared" si="145"/>
        <v>1766192.338</v>
      </c>
      <c r="GG147" s="817" t="s">
        <v>553</v>
      </c>
      <c r="GH147" s="818" t="s">
        <v>418</v>
      </c>
      <c r="GI147" s="819">
        <v>13192408000</v>
      </c>
      <c r="GJ147" s="819">
        <v>8987172299</v>
      </c>
      <c r="GK147" s="819">
        <v>4205235701</v>
      </c>
      <c r="GL147" s="819">
        <v>8987172299</v>
      </c>
      <c r="GM147" s="819">
        <v>0</v>
      </c>
      <c r="GN147" s="450">
        <f t="shared" si="146"/>
        <v>13192408</v>
      </c>
      <c r="GO147" s="450">
        <f t="shared" si="147"/>
        <v>8987172.2990000006</v>
      </c>
      <c r="GP147" s="450">
        <f t="shared" si="148"/>
        <v>4205235.7010000004</v>
      </c>
      <c r="GQ147" s="450">
        <f t="shared" si="149"/>
        <v>8987172.2990000006</v>
      </c>
      <c r="GR147" s="450">
        <f t="shared" si="150"/>
        <v>0</v>
      </c>
      <c r="HB147" s="843" t="s">
        <v>638</v>
      </c>
      <c r="HC147" s="819">
        <v>590576000</v>
      </c>
      <c r="HD147" s="819">
        <v>629996530</v>
      </c>
      <c r="HE147" s="819">
        <v>-39420530</v>
      </c>
      <c r="HF147" s="819">
        <v>629996530</v>
      </c>
      <c r="HG147" s="450">
        <f t="shared" si="152"/>
        <v>590576</v>
      </c>
      <c r="HH147" s="450">
        <f t="shared" si="153"/>
        <v>-39420.53</v>
      </c>
      <c r="HI147" s="450">
        <f t="shared" si="154"/>
        <v>629996.53</v>
      </c>
      <c r="HJ147" s="450">
        <f t="shared" si="155"/>
        <v>-39420.53</v>
      </c>
      <c r="HK147" s="450">
        <f t="shared" si="156"/>
        <v>629996.53</v>
      </c>
    </row>
    <row r="148" spans="99:219" ht="16.5" x14ac:dyDescent="0.3">
      <c r="CU148" s="448"/>
      <c r="CV148" s="449"/>
      <c r="CW148" s="449"/>
      <c r="CX148" s="450"/>
      <c r="CY148" s="450"/>
      <c r="DB148" s="602"/>
      <c r="DC148" s="603"/>
      <c r="DD148" s="603"/>
      <c r="DE148" s="603"/>
      <c r="DF148" s="603"/>
      <c r="DG148" s="604">
        <f t="shared" si="130"/>
        <v>0</v>
      </c>
      <c r="DH148" s="604">
        <f t="shared" si="131"/>
        <v>0</v>
      </c>
      <c r="DI148" s="604">
        <f t="shared" si="132"/>
        <v>0</v>
      </c>
      <c r="DJ148" s="604">
        <f t="shared" si="133"/>
        <v>0</v>
      </c>
      <c r="FG148" s="785" t="s">
        <v>553</v>
      </c>
      <c r="FH148" s="784" t="s">
        <v>420</v>
      </c>
      <c r="FI148" s="782">
        <v>2263826000</v>
      </c>
      <c r="FJ148" s="783">
        <v>1766192338</v>
      </c>
      <c r="FK148" s="783">
        <v>497633662</v>
      </c>
      <c r="FL148" s="783">
        <v>1766192338</v>
      </c>
      <c r="FM148" s="450">
        <f t="shared" si="142"/>
        <v>2263826</v>
      </c>
      <c r="FN148" s="450">
        <f t="shared" si="143"/>
        <v>1766192.338</v>
      </c>
      <c r="FO148" s="450">
        <f t="shared" si="144"/>
        <v>497633.66200000001</v>
      </c>
      <c r="FP148" s="450">
        <f t="shared" si="145"/>
        <v>1766192.338</v>
      </c>
      <c r="GG148" s="817" t="s">
        <v>355</v>
      </c>
      <c r="GH148" s="818" t="s">
        <v>419</v>
      </c>
      <c r="GI148" s="819">
        <v>2263826000</v>
      </c>
      <c r="GJ148" s="819">
        <v>1766192338</v>
      </c>
      <c r="GK148" s="819">
        <v>497633662</v>
      </c>
      <c r="GL148" s="819">
        <v>1766192338</v>
      </c>
      <c r="GM148" s="819">
        <v>0</v>
      </c>
      <c r="GN148" s="450">
        <f t="shared" si="146"/>
        <v>2263826</v>
      </c>
      <c r="GO148" s="450">
        <f t="shared" si="147"/>
        <v>1766192.338</v>
      </c>
      <c r="GP148" s="450">
        <f t="shared" si="148"/>
        <v>497633.66200000001</v>
      </c>
      <c r="GQ148" s="450">
        <f t="shared" si="149"/>
        <v>1766192.338</v>
      </c>
      <c r="GR148" s="450">
        <f t="shared" si="150"/>
        <v>0</v>
      </c>
      <c r="HB148" s="843" t="s">
        <v>639</v>
      </c>
      <c r="HC148" s="819">
        <v>590576000</v>
      </c>
      <c r="HD148" s="819">
        <v>629996530</v>
      </c>
      <c r="HE148" s="819">
        <v>-39420530</v>
      </c>
      <c r="HF148" s="819">
        <v>629996530</v>
      </c>
      <c r="HG148" s="450">
        <f t="shared" si="152"/>
        <v>590576</v>
      </c>
      <c r="HH148" s="450">
        <f t="shared" si="153"/>
        <v>-39420.53</v>
      </c>
      <c r="HI148" s="450">
        <f t="shared" si="154"/>
        <v>629996.53</v>
      </c>
      <c r="HJ148" s="450">
        <f t="shared" si="155"/>
        <v>-39420.53</v>
      </c>
      <c r="HK148" s="450">
        <f t="shared" si="156"/>
        <v>629996.53</v>
      </c>
    </row>
    <row r="149" spans="99:219" ht="16.5" x14ac:dyDescent="0.3">
      <c r="CU149" s="448"/>
      <c r="CV149" s="449"/>
      <c r="CW149" s="449"/>
      <c r="CX149" s="450"/>
      <c r="CY149" s="450"/>
      <c r="DB149" s="602"/>
      <c r="DC149" s="603"/>
      <c r="DD149" s="603"/>
      <c r="DE149" s="603"/>
      <c r="DF149" s="603"/>
      <c r="DG149" s="604">
        <f t="shared" si="130"/>
        <v>0</v>
      </c>
      <c r="DH149" s="604">
        <f t="shared" si="131"/>
        <v>0</v>
      </c>
      <c r="DI149" s="604">
        <f t="shared" si="132"/>
        <v>0</v>
      </c>
      <c r="DJ149" s="604">
        <f t="shared" si="133"/>
        <v>0</v>
      </c>
      <c r="FG149" s="785" t="s">
        <v>554</v>
      </c>
      <c r="FH149" s="784" t="s">
        <v>621</v>
      </c>
      <c r="FI149" s="782">
        <v>2263826000</v>
      </c>
      <c r="FJ149" s="783">
        <v>1766192338</v>
      </c>
      <c r="FK149" s="783">
        <v>497633662</v>
      </c>
      <c r="FL149" s="783">
        <v>1766192338</v>
      </c>
      <c r="FM149" s="450">
        <f t="shared" si="142"/>
        <v>2263826</v>
      </c>
      <c r="FN149" s="450">
        <f t="shared" si="143"/>
        <v>1766192.338</v>
      </c>
      <c r="FO149" s="450">
        <f t="shared" si="144"/>
        <v>497633.66200000001</v>
      </c>
      <c r="FP149" s="450">
        <f t="shared" si="145"/>
        <v>1766192.338</v>
      </c>
      <c r="GG149" s="817" t="s">
        <v>553</v>
      </c>
      <c r="GH149" s="818" t="s">
        <v>420</v>
      </c>
      <c r="GI149" s="819">
        <v>2263826000</v>
      </c>
      <c r="GJ149" s="819">
        <v>1766192338</v>
      </c>
      <c r="GK149" s="819">
        <v>497633662</v>
      </c>
      <c r="GL149" s="819">
        <v>1766192338</v>
      </c>
      <c r="GM149" s="819">
        <v>0</v>
      </c>
      <c r="GN149" s="450">
        <f t="shared" si="146"/>
        <v>2263826</v>
      </c>
      <c r="GO149" s="450">
        <f t="shared" si="147"/>
        <v>1766192.338</v>
      </c>
      <c r="GP149" s="450">
        <f t="shared" si="148"/>
        <v>497633.66200000001</v>
      </c>
      <c r="GQ149" s="450">
        <f t="shared" si="149"/>
        <v>1766192.338</v>
      </c>
      <c r="GR149" s="450">
        <f t="shared" si="150"/>
        <v>0</v>
      </c>
      <c r="HB149" s="843" t="s">
        <v>618</v>
      </c>
      <c r="HC149" s="819">
        <v>194540000</v>
      </c>
      <c r="HD149" s="819">
        <v>187606620</v>
      </c>
      <c r="HE149" s="819">
        <v>6933380</v>
      </c>
      <c r="HF149" s="819">
        <v>185614680</v>
      </c>
      <c r="HG149" s="450">
        <f t="shared" si="152"/>
        <v>194540</v>
      </c>
      <c r="HH149" s="450">
        <f t="shared" si="153"/>
        <v>6933.38</v>
      </c>
      <c r="HI149" s="450">
        <f t="shared" si="154"/>
        <v>187606.62</v>
      </c>
      <c r="HJ149" s="450">
        <f t="shared" si="155"/>
        <v>6933.38</v>
      </c>
      <c r="HK149" s="450">
        <f t="shared" si="156"/>
        <v>185614.68</v>
      </c>
    </row>
    <row r="150" spans="99:219" ht="16.5" x14ac:dyDescent="0.3">
      <c r="CU150" s="448"/>
      <c r="CV150" s="449"/>
      <c r="CW150" s="449"/>
      <c r="CX150" s="450"/>
      <c r="CY150" s="450"/>
      <c r="DB150" s="602"/>
      <c r="DC150" s="603"/>
      <c r="DD150" s="603"/>
      <c r="DE150" s="603"/>
      <c r="DF150" s="603"/>
      <c r="DG150" s="604">
        <f t="shared" si="130"/>
        <v>0</v>
      </c>
      <c r="DH150" s="604">
        <f t="shared" si="131"/>
        <v>0</v>
      </c>
      <c r="DI150" s="604">
        <f t="shared" si="132"/>
        <v>0</v>
      </c>
      <c r="DJ150" s="604">
        <f t="shared" si="133"/>
        <v>0</v>
      </c>
      <c r="FG150" s="785" t="s">
        <v>355</v>
      </c>
      <c r="FH150" s="784" t="s">
        <v>622</v>
      </c>
      <c r="FI150" s="782">
        <v>217406000</v>
      </c>
      <c r="FJ150" s="783">
        <v>95453601</v>
      </c>
      <c r="FK150" s="783">
        <v>121952399</v>
      </c>
      <c r="FL150" s="783">
        <v>95453601</v>
      </c>
      <c r="FM150" s="450">
        <f t="shared" si="142"/>
        <v>217406</v>
      </c>
      <c r="FN150" s="450">
        <f t="shared" si="143"/>
        <v>95453.600999999995</v>
      </c>
      <c r="FO150" s="450">
        <f t="shared" si="144"/>
        <v>121952.399</v>
      </c>
      <c r="FP150" s="450">
        <f t="shared" si="145"/>
        <v>95453.600999999995</v>
      </c>
      <c r="GG150" s="817" t="s">
        <v>554</v>
      </c>
      <c r="GH150" s="818" t="s">
        <v>621</v>
      </c>
      <c r="GI150" s="819">
        <v>2263826000</v>
      </c>
      <c r="GJ150" s="819">
        <v>1766192338</v>
      </c>
      <c r="GK150" s="819">
        <v>497633662</v>
      </c>
      <c r="GL150" s="819">
        <v>1766192338</v>
      </c>
      <c r="GM150" s="819">
        <v>0</v>
      </c>
      <c r="GN150" s="450">
        <f t="shared" si="146"/>
        <v>2263826</v>
      </c>
      <c r="GO150" s="450">
        <f t="shared" si="147"/>
        <v>1766192.338</v>
      </c>
      <c r="GP150" s="450">
        <f t="shared" si="148"/>
        <v>497633.66200000001</v>
      </c>
      <c r="GQ150" s="450">
        <f t="shared" si="149"/>
        <v>1766192.338</v>
      </c>
      <c r="GR150" s="450">
        <f t="shared" si="150"/>
        <v>0</v>
      </c>
      <c r="HB150" s="843" t="s">
        <v>929</v>
      </c>
      <c r="HC150" s="819">
        <v>27000000</v>
      </c>
      <c r="HD150" s="819">
        <v>26956634</v>
      </c>
      <c r="HE150" s="819">
        <v>43366</v>
      </c>
      <c r="HF150" s="819">
        <v>26956634</v>
      </c>
      <c r="HG150" s="450">
        <f t="shared" si="152"/>
        <v>27000</v>
      </c>
      <c r="HH150" s="450">
        <f t="shared" si="153"/>
        <v>43.366</v>
      </c>
      <c r="HI150" s="450">
        <f t="shared" si="154"/>
        <v>26956.633999999998</v>
      </c>
      <c r="HJ150" s="450">
        <f t="shared" si="155"/>
        <v>43.366</v>
      </c>
      <c r="HK150" s="450">
        <f t="shared" si="156"/>
        <v>26956.633999999998</v>
      </c>
    </row>
    <row r="151" spans="99:219" ht="16.5" x14ac:dyDescent="0.3">
      <c r="CU151" s="448"/>
      <c r="CV151" s="449"/>
      <c r="CW151" s="449"/>
      <c r="CX151" s="450"/>
      <c r="CY151" s="450"/>
      <c r="DB151" s="602"/>
      <c r="DC151" s="603"/>
      <c r="DD151" s="603"/>
      <c r="DE151" s="603"/>
      <c r="DF151" s="603"/>
      <c r="DG151" s="604">
        <f t="shared" si="130"/>
        <v>0</v>
      </c>
      <c r="DH151" s="604">
        <f t="shared" si="131"/>
        <v>0</v>
      </c>
      <c r="DI151" s="604">
        <f t="shared" si="132"/>
        <v>0</v>
      </c>
      <c r="DJ151" s="604">
        <f t="shared" si="133"/>
        <v>0</v>
      </c>
      <c r="FG151" s="785" t="s">
        <v>553</v>
      </c>
      <c r="FH151" s="784" t="s">
        <v>421</v>
      </c>
      <c r="FI151" s="782">
        <v>217406000</v>
      </c>
      <c r="FJ151" s="783">
        <v>95453601</v>
      </c>
      <c r="FK151" s="783">
        <v>121952399</v>
      </c>
      <c r="FL151" s="783">
        <v>95453601</v>
      </c>
      <c r="FM151" s="450">
        <f t="shared" si="142"/>
        <v>217406</v>
      </c>
      <c r="FN151" s="450">
        <f t="shared" si="143"/>
        <v>95453.600999999995</v>
      </c>
      <c r="FO151" s="450">
        <f t="shared" si="144"/>
        <v>121952.399</v>
      </c>
      <c r="FP151" s="450">
        <f t="shared" si="145"/>
        <v>95453.600999999995</v>
      </c>
      <c r="GG151" s="817" t="s">
        <v>355</v>
      </c>
      <c r="GH151" s="818" t="s">
        <v>622</v>
      </c>
      <c r="GI151" s="819">
        <v>217406000</v>
      </c>
      <c r="GJ151" s="819">
        <v>95453601</v>
      </c>
      <c r="GK151" s="819">
        <v>121952399</v>
      </c>
      <c r="GL151" s="819">
        <v>95453601</v>
      </c>
      <c r="GM151" s="819">
        <v>0</v>
      </c>
      <c r="GN151" s="450">
        <f t="shared" si="146"/>
        <v>217406</v>
      </c>
      <c r="GO151" s="450">
        <f t="shared" si="147"/>
        <v>95453.600999999995</v>
      </c>
      <c r="GP151" s="450">
        <f t="shared" si="148"/>
        <v>121952.399</v>
      </c>
      <c r="GQ151" s="450">
        <f t="shared" si="149"/>
        <v>95453.600999999995</v>
      </c>
      <c r="GR151" s="450">
        <f t="shared" si="150"/>
        <v>0</v>
      </c>
      <c r="HB151" s="843" t="s">
        <v>414</v>
      </c>
      <c r="HC151" s="819">
        <v>8450000</v>
      </c>
      <c r="HD151" s="819">
        <v>8425329</v>
      </c>
      <c r="HE151" s="819">
        <v>24671</v>
      </c>
      <c r="HF151" s="819">
        <v>8425329</v>
      </c>
      <c r="HG151" s="450">
        <f t="shared" si="152"/>
        <v>8450</v>
      </c>
      <c r="HH151" s="450">
        <f t="shared" si="153"/>
        <v>24.670999999999999</v>
      </c>
      <c r="HI151" s="450">
        <f t="shared" si="154"/>
        <v>8425.3289999999997</v>
      </c>
      <c r="HJ151" s="450">
        <f t="shared" si="155"/>
        <v>24.670999999999999</v>
      </c>
      <c r="HK151" s="450">
        <f t="shared" si="156"/>
        <v>8425.3289999999997</v>
      </c>
    </row>
    <row r="152" spans="99:219" ht="16.5" x14ac:dyDescent="0.3">
      <c r="CU152" s="448"/>
      <c r="CV152" s="449"/>
      <c r="CW152" s="449"/>
      <c r="CX152" s="450"/>
      <c r="CY152" s="450"/>
      <c r="DB152" s="602"/>
      <c r="DC152" s="603"/>
      <c r="DD152" s="603"/>
      <c r="DE152" s="603"/>
      <c r="DF152" s="603"/>
      <c r="DG152" s="604">
        <f t="shared" si="130"/>
        <v>0</v>
      </c>
      <c r="DH152" s="604">
        <f t="shared" si="131"/>
        <v>0</v>
      </c>
      <c r="DI152" s="604">
        <f t="shared" si="132"/>
        <v>0</v>
      </c>
      <c r="DJ152" s="604">
        <f t="shared" si="133"/>
        <v>0</v>
      </c>
      <c r="FG152" s="785" t="s">
        <v>355</v>
      </c>
      <c r="FH152" s="784" t="s">
        <v>422</v>
      </c>
      <c r="FI152" s="782">
        <v>335824000</v>
      </c>
      <c r="FJ152" s="783">
        <v>339935381</v>
      </c>
      <c r="FK152" s="783">
        <v>-4111381</v>
      </c>
      <c r="FL152" s="783">
        <v>339935381</v>
      </c>
      <c r="FM152" s="450">
        <f t="shared" si="142"/>
        <v>335824</v>
      </c>
      <c r="FN152" s="450">
        <f t="shared" si="143"/>
        <v>339935.38099999999</v>
      </c>
      <c r="FO152" s="450">
        <f t="shared" si="144"/>
        <v>-4111.3810000000003</v>
      </c>
      <c r="FP152" s="450">
        <f t="shared" si="145"/>
        <v>339935.38099999999</v>
      </c>
      <c r="GG152" s="817" t="s">
        <v>553</v>
      </c>
      <c r="GH152" s="818" t="s">
        <v>421</v>
      </c>
      <c r="GI152" s="819">
        <v>217406000</v>
      </c>
      <c r="GJ152" s="819">
        <v>95453601</v>
      </c>
      <c r="GK152" s="819">
        <v>121952399</v>
      </c>
      <c r="GL152" s="819">
        <v>95453601</v>
      </c>
      <c r="GM152" s="819">
        <v>0</v>
      </c>
      <c r="GN152" s="450">
        <f t="shared" si="146"/>
        <v>217406</v>
      </c>
      <c r="GO152" s="450">
        <f t="shared" si="147"/>
        <v>95453.600999999995</v>
      </c>
      <c r="GP152" s="450">
        <f t="shared" si="148"/>
        <v>121952.399</v>
      </c>
      <c r="GQ152" s="450">
        <f t="shared" si="149"/>
        <v>95453.600999999995</v>
      </c>
      <c r="GR152" s="450">
        <f t="shared" si="150"/>
        <v>0</v>
      </c>
      <c r="HB152" s="843" t="s">
        <v>619</v>
      </c>
      <c r="HC152" s="819">
        <v>8450000</v>
      </c>
      <c r="HD152" s="819">
        <v>8425329</v>
      </c>
      <c r="HE152" s="819">
        <v>24671</v>
      </c>
      <c r="HF152" s="819">
        <v>8425329</v>
      </c>
      <c r="HG152" s="450">
        <f t="shared" si="152"/>
        <v>8450</v>
      </c>
      <c r="HH152" s="450">
        <f t="shared" si="153"/>
        <v>24.670999999999999</v>
      </c>
      <c r="HI152" s="450">
        <f t="shared" si="154"/>
        <v>8425.3289999999997</v>
      </c>
      <c r="HJ152" s="450">
        <f t="shared" si="155"/>
        <v>24.670999999999999</v>
      </c>
      <c r="HK152" s="450">
        <f t="shared" si="156"/>
        <v>8425.3289999999997</v>
      </c>
    </row>
    <row r="153" spans="99:219" x14ac:dyDescent="0.35">
      <c r="CU153" s="448"/>
      <c r="CV153" s="449"/>
      <c r="CW153" s="449"/>
      <c r="CX153" s="450"/>
      <c r="CY153" s="450"/>
      <c r="DB153" s="602"/>
      <c r="DC153" s="603"/>
      <c r="DD153" s="603"/>
      <c r="DE153" s="603"/>
      <c r="DF153" s="603"/>
      <c r="DG153" s="604">
        <f t="shared" si="130"/>
        <v>0</v>
      </c>
      <c r="DH153" s="604">
        <f t="shared" si="131"/>
        <v>0</v>
      </c>
      <c r="DI153" s="604">
        <f t="shared" si="132"/>
        <v>0</v>
      </c>
      <c r="DJ153" s="604">
        <f t="shared" si="133"/>
        <v>0</v>
      </c>
      <c r="GG153" s="817" t="s">
        <v>355</v>
      </c>
      <c r="GH153" s="818" t="s">
        <v>422</v>
      </c>
      <c r="GI153" s="819">
        <v>335824000</v>
      </c>
      <c r="GJ153" s="819">
        <v>339935381</v>
      </c>
      <c r="GK153" s="819">
        <v>-4111381</v>
      </c>
      <c r="GL153" s="819">
        <v>339935381</v>
      </c>
      <c r="GM153" s="819">
        <v>0</v>
      </c>
      <c r="GN153" s="450">
        <f t="shared" si="146"/>
        <v>335824</v>
      </c>
      <c r="GO153" s="450">
        <f t="shared" si="147"/>
        <v>339935.38099999999</v>
      </c>
      <c r="GP153" s="450">
        <f t="shared" si="148"/>
        <v>-4111.3810000000003</v>
      </c>
      <c r="GQ153" s="450">
        <f t="shared" si="149"/>
        <v>339935.38099999999</v>
      </c>
      <c r="GR153" s="450">
        <f t="shared" si="150"/>
        <v>0</v>
      </c>
      <c r="HB153" s="843" t="s">
        <v>415</v>
      </c>
      <c r="HC153" s="819">
        <v>159090000</v>
      </c>
      <c r="HD153" s="819">
        <v>152224657</v>
      </c>
      <c r="HE153" s="819">
        <v>6865343</v>
      </c>
      <c r="HF153" s="819">
        <v>150232717</v>
      </c>
      <c r="HG153" s="450">
        <f t="shared" si="152"/>
        <v>159090</v>
      </c>
      <c r="HH153" s="450">
        <f t="shared" si="153"/>
        <v>6865.3429999999998</v>
      </c>
      <c r="HI153" s="450">
        <f t="shared" si="154"/>
        <v>152224.65700000001</v>
      </c>
      <c r="HJ153" s="450">
        <f t="shared" si="155"/>
        <v>6865.3429999999998</v>
      </c>
      <c r="HK153" s="450">
        <f t="shared" si="156"/>
        <v>150232.717</v>
      </c>
    </row>
    <row r="154" spans="99:219" x14ac:dyDescent="0.35">
      <c r="CU154" s="448"/>
      <c r="CV154" s="449"/>
      <c r="CW154" s="449"/>
      <c r="CX154" s="450"/>
      <c r="CY154" s="450"/>
      <c r="DB154" s="602"/>
      <c r="DC154" s="603"/>
      <c r="DD154" s="603"/>
      <c r="DE154" s="603"/>
      <c r="DF154" s="603"/>
      <c r="DG154" s="604">
        <f t="shared" si="130"/>
        <v>0</v>
      </c>
      <c r="DH154" s="604">
        <f t="shared" si="131"/>
        <v>0</v>
      </c>
      <c r="DI154" s="604">
        <f t="shared" si="132"/>
        <v>0</v>
      </c>
      <c r="DJ154" s="604">
        <f t="shared" si="133"/>
        <v>0</v>
      </c>
      <c r="GN154" s="450"/>
      <c r="GO154" s="450"/>
      <c r="GP154" s="450"/>
      <c r="GQ154" s="450"/>
      <c r="GR154" s="450"/>
      <c r="HB154" s="843" t="s">
        <v>620</v>
      </c>
      <c r="HC154" s="819">
        <v>137149279</v>
      </c>
      <c r="HD154" s="819">
        <v>130283936</v>
      </c>
      <c r="HE154" s="819">
        <v>6865343</v>
      </c>
      <c r="HF154" s="819">
        <v>130283936</v>
      </c>
      <c r="HG154" s="450">
        <f t="shared" si="152"/>
        <v>137149.27900000001</v>
      </c>
      <c r="HH154" s="450">
        <f t="shared" si="153"/>
        <v>6865.3429999999998</v>
      </c>
      <c r="HI154" s="450">
        <f t="shared" si="154"/>
        <v>130283.936</v>
      </c>
      <c r="HJ154" s="450">
        <f t="shared" si="155"/>
        <v>6865.3429999999998</v>
      </c>
      <c r="HK154" s="450">
        <f t="shared" si="156"/>
        <v>130283.936</v>
      </c>
    </row>
    <row r="155" spans="99:219" x14ac:dyDescent="0.35">
      <c r="CU155" s="448"/>
      <c r="CV155" s="449"/>
      <c r="CW155" s="449"/>
      <c r="CX155" s="450"/>
      <c r="CY155" s="450"/>
      <c r="DB155" s="602"/>
      <c r="DC155" s="603"/>
      <c r="DD155" s="603"/>
      <c r="DE155" s="603"/>
      <c r="DF155" s="603"/>
      <c r="DG155" s="604">
        <f t="shared" si="130"/>
        <v>0</v>
      </c>
      <c r="DH155" s="604">
        <f t="shared" si="131"/>
        <v>0</v>
      </c>
      <c r="DI155" s="604">
        <f t="shared" si="132"/>
        <v>0</v>
      </c>
      <c r="DJ155" s="604">
        <f t="shared" si="133"/>
        <v>0</v>
      </c>
      <c r="GN155" s="450"/>
      <c r="GO155" s="450"/>
      <c r="GP155" s="450"/>
      <c r="GQ155" s="450"/>
      <c r="GR155" s="450"/>
      <c r="HB155" s="843" t="s">
        <v>914</v>
      </c>
      <c r="HC155" s="819">
        <v>21940721</v>
      </c>
      <c r="HD155" s="819">
        <v>21940721</v>
      </c>
      <c r="HE155" s="819">
        <v>0</v>
      </c>
      <c r="HF155" s="819">
        <v>19948781</v>
      </c>
      <c r="HG155" s="450">
        <f t="shared" si="152"/>
        <v>21940.721000000001</v>
      </c>
      <c r="HH155" s="450">
        <f t="shared" si="153"/>
        <v>0</v>
      </c>
      <c r="HI155" s="450">
        <f t="shared" si="154"/>
        <v>21940.721000000001</v>
      </c>
      <c r="HJ155" s="450">
        <f t="shared" si="155"/>
        <v>0</v>
      </c>
      <c r="HK155" s="450">
        <f t="shared" si="156"/>
        <v>19948.780999999999</v>
      </c>
    </row>
    <row r="156" spans="99:219" x14ac:dyDescent="0.35">
      <c r="CU156" s="448"/>
      <c r="CV156" s="449"/>
      <c r="CW156" s="449"/>
      <c r="CX156" s="450"/>
      <c r="CY156" s="450"/>
      <c r="DB156" s="602"/>
      <c r="DC156" s="603"/>
      <c r="DD156" s="603"/>
      <c r="DE156" s="603"/>
      <c r="DF156" s="603"/>
      <c r="DG156" s="604">
        <f t="shared" si="130"/>
        <v>0</v>
      </c>
      <c r="DH156" s="604">
        <f t="shared" si="131"/>
        <v>0</v>
      </c>
      <c r="DI156" s="604">
        <f t="shared" si="132"/>
        <v>0</v>
      </c>
      <c r="DJ156" s="604">
        <f t="shared" si="133"/>
        <v>0</v>
      </c>
      <c r="HB156" s="843" t="s">
        <v>416</v>
      </c>
      <c r="HC156" s="819">
        <v>19616464000</v>
      </c>
      <c r="HD156" s="819">
        <v>19606004116</v>
      </c>
      <c r="HE156" s="819">
        <v>10459884</v>
      </c>
      <c r="HF156" s="819">
        <v>19606004116</v>
      </c>
      <c r="HG156" s="450">
        <f t="shared" si="152"/>
        <v>19616464</v>
      </c>
      <c r="HH156" s="450">
        <f t="shared" si="153"/>
        <v>10459.884</v>
      </c>
      <c r="HI156" s="450">
        <f t="shared" si="154"/>
        <v>19606004.116</v>
      </c>
      <c r="HJ156" s="450">
        <f t="shared" si="155"/>
        <v>10459.884</v>
      </c>
      <c r="HK156" s="450">
        <f t="shared" si="156"/>
        <v>19606004.116</v>
      </c>
    </row>
    <row r="157" spans="99:219" x14ac:dyDescent="0.35">
      <c r="CU157" s="448"/>
      <c r="CV157" s="449"/>
      <c r="CW157" s="449"/>
      <c r="CX157" s="450"/>
      <c r="CY157" s="450"/>
      <c r="DB157" s="602"/>
      <c r="DC157" s="603"/>
      <c r="DD157" s="603"/>
      <c r="DE157" s="603"/>
      <c r="DF157" s="603"/>
      <c r="DG157" s="604">
        <f t="shared" si="130"/>
        <v>0</v>
      </c>
      <c r="DH157" s="604">
        <f t="shared" si="131"/>
        <v>0</v>
      </c>
      <c r="DI157" s="604">
        <f t="shared" si="132"/>
        <v>0</v>
      </c>
      <c r="DJ157" s="604">
        <f t="shared" si="133"/>
        <v>0</v>
      </c>
      <c r="HB157" s="843" t="s">
        <v>417</v>
      </c>
      <c r="HC157" s="819">
        <v>16100408000</v>
      </c>
      <c r="HD157" s="819">
        <v>16089356764</v>
      </c>
      <c r="HE157" s="819">
        <v>11051236</v>
      </c>
      <c r="HF157" s="819">
        <v>16089356764</v>
      </c>
      <c r="HG157" s="450">
        <f t="shared" si="152"/>
        <v>16100408</v>
      </c>
      <c r="HH157" s="450">
        <f t="shared" si="153"/>
        <v>11051.236000000001</v>
      </c>
      <c r="HI157" s="450">
        <f t="shared" si="154"/>
        <v>16089356.764</v>
      </c>
      <c r="HJ157" s="450">
        <f t="shared" si="155"/>
        <v>11051.236000000001</v>
      </c>
      <c r="HK157" s="450">
        <f t="shared" si="156"/>
        <v>16089356.764</v>
      </c>
    </row>
    <row r="158" spans="99:219" x14ac:dyDescent="0.35">
      <c r="CU158" s="448"/>
      <c r="CV158" s="449"/>
      <c r="CW158" s="449"/>
      <c r="CX158" s="450"/>
      <c r="CY158" s="450"/>
      <c r="DB158" s="602"/>
      <c r="DC158" s="603"/>
      <c r="DD158" s="603"/>
      <c r="DE158" s="603"/>
      <c r="DF158" s="603"/>
      <c r="DG158" s="604">
        <f t="shared" si="130"/>
        <v>0</v>
      </c>
      <c r="DH158" s="604">
        <f t="shared" si="131"/>
        <v>0</v>
      </c>
      <c r="DI158" s="604">
        <f t="shared" si="132"/>
        <v>0</v>
      </c>
      <c r="DJ158" s="604">
        <f t="shared" si="133"/>
        <v>0</v>
      </c>
      <c r="HB158" s="843" t="s">
        <v>418</v>
      </c>
      <c r="HC158" s="819">
        <v>16100408000</v>
      </c>
      <c r="HD158" s="819">
        <v>16089356764</v>
      </c>
      <c r="HE158" s="819">
        <v>11051236</v>
      </c>
      <c r="HF158" s="819">
        <v>16089356764</v>
      </c>
      <c r="HG158" s="450">
        <f t="shared" si="152"/>
        <v>16100408</v>
      </c>
      <c r="HH158" s="450">
        <f t="shared" si="153"/>
        <v>11051.236000000001</v>
      </c>
      <c r="HI158" s="450">
        <f t="shared" si="154"/>
        <v>16089356.764</v>
      </c>
      <c r="HJ158" s="450">
        <f t="shared" si="155"/>
        <v>11051.236000000001</v>
      </c>
      <c r="HK158" s="450">
        <f t="shared" si="156"/>
        <v>16089356.764</v>
      </c>
    </row>
    <row r="159" spans="99:219" x14ac:dyDescent="0.35">
      <c r="CU159" s="448"/>
      <c r="CV159" s="449"/>
      <c r="CW159" s="449"/>
      <c r="CX159" s="450"/>
      <c r="CY159" s="450"/>
      <c r="DB159" s="602"/>
      <c r="DC159" s="603"/>
      <c r="DD159" s="603"/>
      <c r="DE159" s="603"/>
      <c r="DF159" s="603"/>
      <c r="DG159" s="604">
        <f t="shared" si="130"/>
        <v>0</v>
      </c>
      <c r="DH159" s="604">
        <f t="shared" si="131"/>
        <v>0</v>
      </c>
      <c r="DI159" s="604">
        <f t="shared" si="132"/>
        <v>0</v>
      </c>
      <c r="DJ159" s="604">
        <f t="shared" si="133"/>
        <v>0</v>
      </c>
      <c r="HB159" s="843" t="s">
        <v>419</v>
      </c>
      <c r="HC159" s="819">
        <v>3083826000</v>
      </c>
      <c r="HD159" s="819">
        <v>3081258370</v>
      </c>
      <c r="HE159" s="819">
        <v>2567630</v>
      </c>
      <c r="HF159" s="819">
        <v>3081258370</v>
      </c>
      <c r="HG159" s="450">
        <f t="shared" si="152"/>
        <v>3083826</v>
      </c>
      <c r="HH159" s="450">
        <f t="shared" si="153"/>
        <v>2567.63</v>
      </c>
      <c r="HI159" s="450">
        <f t="shared" si="154"/>
        <v>3081258.37</v>
      </c>
      <c r="HJ159" s="450">
        <f t="shared" si="155"/>
        <v>2567.63</v>
      </c>
      <c r="HK159" s="450">
        <f t="shared" si="156"/>
        <v>3081258.37</v>
      </c>
    </row>
    <row r="160" spans="99:219" x14ac:dyDescent="0.35">
      <c r="CU160" s="448"/>
      <c r="CV160" s="449"/>
      <c r="CW160" s="449"/>
      <c r="CX160" s="450"/>
      <c r="CY160" s="450"/>
      <c r="DB160" s="602"/>
      <c r="DC160" s="603"/>
      <c r="DD160" s="603"/>
      <c r="DE160" s="603"/>
      <c r="DF160" s="603"/>
      <c r="DG160" s="604">
        <f t="shared" si="130"/>
        <v>0</v>
      </c>
      <c r="DH160" s="604">
        <f t="shared" si="131"/>
        <v>0</v>
      </c>
      <c r="DI160" s="604">
        <f t="shared" si="132"/>
        <v>0</v>
      </c>
      <c r="DJ160" s="604">
        <f t="shared" si="133"/>
        <v>0</v>
      </c>
      <c r="HB160" s="843" t="s">
        <v>420</v>
      </c>
      <c r="HC160" s="819">
        <v>3083826000</v>
      </c>
      <c r="HD160" s="819">
        <v>3081258370</v>
      </c>
      <c r="HE160" s="819">
        <v>2567630</v>
      </c>
      <c r="HF160" s="819">
        <v>3081258370</v>
      </c>
      <c r="HG160" s="450">
        <f t="shared" si="152"/>
        <v>3083826</v>
      </c>
      <c r="HH160" s="450">
        <f t="shared" si="153"/>
        <v>2567.63</v>
      </c>
      <c r="HI160" s="450">
        <f t="shared" si="154"/>
        <v>3081258.37</v>
      </c>
      <c r="HJ160" s="450">
        <f t="shared" si="155"/>
        <v>2567.63</v>
      </c>
      <c r="HK160" s="450">
        <f t="shared" si="156"/>
        <v>3081258.37</v>
      </c>
    </row>
    <row r="161" spans="99:219" x14ac:dyDescent="0.35">
      <c r="CU161" s="448"/>
      <c r="CV161" s="449"/>
      <c r="CW161" s="449"/>
      <c r="CX161" s="450"/>
      <c r="CY161" s="450"/>
      <c r="DB161" s="602"/>
      <c r="DC161" s="603"/>
      <c r="DD161" s="603"/>
      <c r="DE161" s="603"/>
      <c r="DF161" s="603"/>
      <c r="DG161" s="604">
        <f t="shared" si="130"/>
        <v>0</v>
      </c>
      <c r="DH161" s="604">
        <f t="shared" si="131"/>
        <v>0</v>
      </c>
      <c r="DI161" s="604">
        <f t="shared" si="132"/>
        <v>0</v>
      </c>
      <c r="DJ161" s="604">
        <f t="shared" si="133"/>
        <v>0</v>
      </c>
      <c r="HB161" s="843" t="s">
        <v>621</v>
      </c>
      <c r="HC161" s="819">
        <v>3083826000</v>
      </c>
      <c r="HD161" s="819">
        <v>3081258370</v>
      </c>
      <c r="HE161" s="819">
        <v>2567630</v>
      </c>
      <c r="HF161" s="819">
        <v>3081258370</v>
      </c>
      <c r="HG161" s="450">
        <f t="shared" si="152"/>
        <v>3083826</v>
      </c>
      <c r="HH161" s="450">
        <f t="shared" si="153"/>
        <v>2567.63</v>
      </c>
      <c r="HI161" s="450">
        <f t="shared" si="154"/>
        <v>3081258.37</v>
      </c>
      <c r="HJ161" s="450">
        <f t="shared" si="155"/>
        <v>2567.63</v>
      </c>
      <c r="HK161" s="450">
        <f t="shared" si="156"/>
        <v>3081258.37</v>
      </c>
    </row>
    <row r="162" spans="99:219" x14ac:dyDescent="0.35">
      <c r="CU162" s="448"/>
      <c r="CV162" s="449"/>
      <c r="CW162" s="449"/>
      <c r="CX162" s="450"/>
      <c r="CY162" s="450"/>
      <c r="DB162" s="602"/>
      <c r="DC162" s="603"/>
      <c r="DD162" s="603"/>
      <c r="DE162" s="603"/>
      <c r="DF162" s="603"/>
      <c r="DG162" s="604">
        <f t="shared" si="130"/>
        <v>0</v>
      </c>
      <c r="DH162" s="604">
        <f t="shared" si="131"/>
        <v>0</v>
      </c>
      <c r="DI162" s="604">
        <f t="shared" si="132"/>
        <v>0</v>
      </c>
      <c r="DJ162" s="604">
        <f t="shared" si="133"/>
        <v>0</v>
      </c>
      <c r="HB162" s="843" t="s">
        <v>622</v>
      </c>
      <c r="HC162" s="819">
        <v>96406000</v>
      </c>
      <c r="HD162" s="819">
        <v>95453601</v>
      </c>
      <c r="HE162" s="819">
        <v>952399</v>
      </c>
      <c r="HF162" s="819">
        <v>95453601</v>
      </c>
      <c r="HG162" s="450">
        <f t="shared" si="152"/>
        <v>96406</v>
      </c>
      <c r="HH162" s="450">
        <f t="shared" si="153"/>
        <v>952.399</v>
      </c>
      <c r="HI162" s="450">
        <f t="shared" si="154"/>
        <v>95453.600999999995</v>
      </c>
      <c r="HJ162" s="450">
        <f t="shared" si="155"/>
        <v>952.399</v>
      </c>
      <c r="HK162" s="450">
        <f t="shared" si="156"/>
        <v>95453.600999999995</v>
      </c>
    </row>
    <row r="163" spans="99:219" x14ac:dyDescent="0.35">
      <c r="CU163" s="448"/>
      <c r="CV163" s="449"/>
      <c r="CW163" s="449"/>
      <c r="CX163" s="450"/>
      <c r="CY163" s="450"/>
      <c r="DB163" s="602"/>
      <c r="DC163" s="603"/>
      <c r="DD163" s="603"/>
      <c r="DE163" s="603"/>
      <c r="DF163" s="603"/>
      <c r="DG163" s="604">
        <f t="shared" si="130"/>
        <v>0</v>
      </c>
      <c r="DH163" s="604">
        <f t="shared" si="131"/>
        <v>0</v>
      </c>
      <c r="DI163" s="604">
        <f t="shared" si="132"/>
        <v>0</v>
      </c>
      <c r="DJ163" s="604">
        <f t="shared" si="133"/>
        <v>0</v>
      </c>
      <c r="HB163" s="843" t="s">
        <v>421</v>
      </c>
      <c r="HC163" s="819">
        <v>96406000</v>
      </c>
      <c r="HD163" s="819">
        <v>95453601</v>
      </c>
      <c r="HE163" s="819">
        <v>952399</v>
      </c>
      <c r="HF163" s="819">
        <v>95453601</v>
      </c>
      <c r="HG163" s="450">
        <f t="shared" si="152"/>
        <v>96406</v>
      </c>
      <c r="HH163" s="450">
        <f t="shared" si="153"/>
        <v>952.399</v>
      </c>
      <c r="HI163" s="450">
        <f t="shared" si="154"/>
        <v>95453.600999999995</v>
      </c>
      <c r="HJ163" s="450">
        <f t="shared" si="155"/>
        <v>952.399</v>
      </c>
      <c r="HK163" s="450">
        <f t="shared" si="156"/>
        <v>95453.600999999995</v>
      </c>
    </row>
    <row r="164" spans="99:219" x14ac:dyDescent="0.35">
      <c r="CU164" s="448"/>
      <c r="CV164" s="449"/>
      <c r="CW164" s="449"/>
      <c r="CX164" s="450"/>
      <c r="CY164" s="450"/>
      <c r="DB164" s="602"/>
      <c r="DC164" s="603"/>
      <c r="DD164" s="603"/>
      <c r="DE164" s="603"/>
      <c r="DF164" s="603"/>
      <c r="DG164" s="604">
        <f t="shared" si="130"/>
        <v>0</v>
      </c>
      <c r="DH164" s="604">
        <f t="shared" si="131"/>
        <v>0</v>
      </c>
      <c r="DI164" s="604">
        <f t="shared" si="132"/>
        <v>0</v>
      </c>
      <c r="DJ164" s="604">
        <f t="shared" si="133"/>
        <v>0</v>
      </c>
      <c r="HB164" s="843" t="s">
        <v>422</v>
      </c>
      <c r="HC164" s="819">
        <v>335824000</v>
      </c>
      <c r="HD164" s="819">
        <v>339935381</v>
      </c>
      <c r="HE164" s="819">
        <v>-4111381</v>
      </c>
      <c r="HF164" s="819">
        <v>339935381</v>
      </c>
      <c r="HG164" s="450">
        <f t="shared" si="152"/>
        <v>335824</v>
      </c>
      <c r="HH164" s="450">
        <f t="shared" si="153"/>
        <v>-4111.3810000000003</v>
      </c>
      <c r="HI164" s="450">
        <f t="shared" si="154"/>
        <v>339935.38099999999</v>
      </c>
      <c r="HJ164" s="450">
        <f t="shared" si="155"/>
        <v>-4111.3810000000003</v>
      </c>
      <c r="HK164" s="450">
        <f t="shared" si="156"/>
        <v>339935.38099999999</v>
      </c>
    </row>
    <row r="165" spans="99:219" x14ac:dyDescent="0.35">
      <c r="CU165" s="448"/>
      <c r="CV165" s="449"/>
      <c r="CW165" s="449"/>
      <c r="CX165" s="450"/>
      <c r="CY165" s="450"/>
      <c r="DB165" s="602"/>
      <c r="DC165" s="603"/>
      <c r="DD165" s="603"/>
      <c r="DE165" s="603"/>
      <c r="DF165" s="603"/>
      <c r="DG165" s="604">
        <f t="shared" si="130"/>
        <v>0</v>
      </c>
      <c r="DH165" s="604">
        <f t="shared" si="131"/>
        <v>0</v>
      </c>
      <c r="DI165" s="604">
        <f t="shared" si="132"/>
        <v>0</v>
      </c>
      <c r="DJ165" s="604">
        <f t="shared" si="133"/>
        <v>0</v>
      </c>
      <c r="HB165" s="843" t="s">
        <v>496</v>
      </c>
      <c r="HC165" s="819">
        <v>322100000</v>
      </c>
      <c r="HD165" s="819">
        <v>0</v>
      </c>
      <c r="HE165" s="819">
        <v>322100000</v>
      </c>
      <c r="HF165" s="819">
        <v>0</v>
      </c>
      <c r="HG165" s="450">
        <f t="shared" si="152"/>
        <v>322100</v>
      </c>
      <c r="HH165" s="450">
        <f t="shared" si="153"/>
        <v>322100</v>
      </c>
      <c r="HI165" s="450">
        <f t="shared" si="154"/>
        <v>0</v>
      </c>
      <c r="HJ165" s="450">
        <f t="shared" si="155"/>
        <v>322100</v>
      </c>
      <c r="HK165" s="450">
        <f t="shared" si="156"/>
        <v>0</v>
      </c>
    </row>
    <row r="166" spans="99:219" x14ac:dyDescent="0.35">
      <c r="CU166" s="448"/>
      <c r="CV166" s="449"/>
      <c r="CW166" s="449"/>
      <c r="CX166" s="450"/>
      <c r="CY166" s="450"/>
      <c r="DB166" s="602"/>
      <c r="DC166" s="603"/>
      <c r="DD166" s="603"/>
      <c r="DE166" s="603"/>
      <c r="DF166" s="603"/>
      <c r="DG166" s="604">
        <f t="shared" si="130"/>
        <v>0</v>
      </c>
      <c r="DH166" s="604">
        <f t="shared" si="131"/>
        <v>0</v>
      </c>
      <c r="DI166" s="604">
        <f t="shared" si="132"/>
        <v>0</v>
      </c>
      <c r="DJ166" s="604">
        <f t="shared" si="133"/>
        <v>0</v>
      </c>
    </row>
    <row r="167" spans="99:219" x14ac:dyDescent="0.35">
      <c r="CU167" s="448"/>
      <c r="CV167" s="449"/>
      <c r="CW167" s="449"/>
      <c r="CX167" s="450"/>
      <c r="CY167" s="450"/>
      <c r="DB167" s="602"/>
      <c r="DC167" s="603"/>
      <c r="DD167" s="603"/>
      <c r="DE167" s="603"/>
      <c r="DF167" s="603"/>
      <c r="DG167" s="604">
        <f t="shared" si="130"/>
        <v>0</v>
      </c>
      <c r="DH167" s="604">
        <f t="shared" si="131"/>
        <v>0</v>
      </c>
      <c r="DI167" s="604">
        <f t="shared" si="132"/>
        <v>0</v>
      </c>
      <c r="DJ167" s="604">
        <f t="shared" si="133"/>
        <v>0</v>
      </c>
    </row>
    <row r="168" spans="99:219" x14ac:dyDescent="0.35">
      <c r="CU168" s="448"/>
      <c r="CV168" s="449"/>
      <c r="CW168" s="449"/>
      <c r="CX168" s="450"/>
      <c r="CY168" s="450"/>
      <c r="DB168" s="602"/>
      <c r="DC168" s="603"/>
      <c r="DD168" s="603"/>
      <c r="DE168" s="603"/>
      <c r="DF168" s="603"/>
      <c r="DG168" s="604">
        <f t="shared" si="130"/>
        <v>0</v>
      </c>
      <c r="DH168" s="604">
        <f t="shared" si="131"/>
        <v>0</v>
      </c>
      <c r="DI168" s="604">
        <f t="shared" si="132"/>
        <v>0</v>
      </c>
      <c r="DJ168" s="604">
        <f t="shared" si="133"/>
        <v>0</v>
      </c>
    </row>
    <row r="169" spans="99:219" x14ac:dyDescent="0.35">
      <c r="CU169" s="448"/>
      <c r="CV169" s="449"/>
      <c r="CW169" s="449"/>
      <c r="CX169" s="450"/>
      <c r="CY169" s="450"/>
      <c r="DB169" s="602"/>
      <c r="DC169" s="603"/>
      <c r="DD169" s="603"/>
      <c r="DE169" s="603"/>
      <c r="DF169" s="603"/>
      <c r="DG169" s="604">
        <f t="shared" si="130"/>
        <v>0</v>
      </c>
      <c r="DH169" s="604">
        <f t="shared" si="131"/>
        <v>0</v>
      </c>
      <c r="DI169" s="604">
        <f t="shared" si="132"/>
        <v>0</v>
      </c>
      <c r="DJ169" s="604">
        <f t="shared" si="133"/>
        <v>0</v>
      </c>
    </row>
    <row r="170" spans="99:219" x14ac:dyDescent="0.35">
      <c r="CU170" s="448"/>
      <c r="CV170" s="449"/>
      <c r="CW170" s="449"/>
      <c r="CX170" s="450"/>
      <c r="CY170" s="450"/>
      <c r="DB170" s="602"/>
      <c r="DC170" s="603"/>
      <c r="DD170" s="603"/>
      <c r="DE170" s="603"/>
      <c r="DF170" s="603"/>
      <c r="DG170" s="604">
        <f t="shared" si="130"/>
        <v>0</v>
      </c>
      <c r="DH170" s="604">
        <f t="shared" si="131"/>
        <v>0</v>
      </c>
      <c r="DI170" s="604">
        <f t="shared" si="132"/>
        <v>0</v>
      </c>
      <c r="DJ170" s="604">
        <f t="shared" si="133"/>
        <v>0</v>
      </c>
    </row>
    <row r="171" spans="99:219" x14ac:dyDescent="0.35">
      <c r="CU171" s="448"/>
      <c r="CV171" s="449"/>
      <c r="CW171" s="449"/>
      <c r="CX171" s="450"/>
      <c r="CY171" s="450"/>
      <c r="DB171" s="602"/>
      <c r="DC171" s="603"/>
      <c r="DD171" s="603"/>
      <c r="DE171" s="603"/>
      <c r="DF171" s="603"/>
      <c r="DG171" s="604">
        <f t="shared" si="130"/>
        <v>0</v>
      </c>
      <c r="DH171" s="604">
        <f t="shared" si="131"/>
        <v>0</v>
      </c>
      <c r="DI171" s="604">
        <f t="shared" si="132"/>
        <v>0</v>
      </c>
      <c r="DJ171" s="604">
        <f t="shared" si="133"/>
        <v>0</v>
      </c>
    </row>
    <row r="172" spans="99:219" x14ac:dyDescent="0.35">
      <c r="CU172" s="448"/>
      <c r="CV172" s="449"/>
      <c r="CW172" s="449"/>
      <c r="CX172" s="450"/>
      <c r="CY172" s="450"/>
      <c r="DB172" s="602"/>
      <c r="DC172" s="603"/>
      <c r="DD172" s="603"/>
      <c r="DE172" s="603"/>
      <c r="DF172" s="603"/>
      <c r="DG172" s="604">
        <f t="shared" si="130"/>
        <v>0</v>
      </c>
      <c r="DH172" s="604">
        <f t="shared" si="131"/>
        <v>0</v>
      </c>
      <c r="DI172" s="604">
        <f t="shared" si="132"/>
        <v>0</v>
      </c>
      <c r="DJ172" s="604">
        <f t="shared" si="133"/>
        <v>0</v>
      </c>
    </row>
    <row r="173" spans="99:219" x14ac:dyDescent="0.35">
      <c r="CU173" s="448"/>
      <c r="CV173" s="449"/>
      <c r="CW173" s="449"/>
      <c r="CX173" s="450"/>
      <c r="CY173" s="450"/>
      <c r="DB173" s="602"/>
      <c r="DC173" s="603"/>
      <c r="DD173" s="603"/>
      <c r="DE173" s="603"/>
      <c r="DF173" s="603"/>
      <c r="DG173" s="604">
        <f t="shared" si="130"/>
        <v>0</v>
      </c>
      <c r="DH173" s="604">
        <f t="shared" si="131"/>
        <v>0</v>
      </c>
      <c r="DI173" s="604">
        <f t="shared" si="132"/>
        <v>0</v>
      </c>
      <c r="DJ173" s="604">
        <f t="shared" si="133"/>
        <v>0</v>
      </c>
    </row>
    <row r="174" spans="99:219" x14ac:dyDescent="0.35">
      <c r="CU174" s="601"/>
      <c r="CV174" s="605"/>
      <c r="CW174" s="605"/>
      <c r="DB174" s="602"/>
      <c r="DC174" s="603"/>
      <c r="DD174" s="603"/>
      <c r="DE174" s="603"/>
      <c r="DF174" s="603"/>
      <c r="DG174" s="604">
        <f t="shared" si="130"/>
        <v>0</v>
      </c>
      <c r="DH174" s="604">
        <f t="shared" si="131"/>
        <v>0</v>
      </c>
      <c r="DI174" s="604">
        <f t="shared" si="132"/>
        <v>0</v>
      </c>
      <c r="DJ174" s="604">
        <f t="shared" si="133"/>
        <v>0</v>
      </c>
    </row>
    <row r="175" spans="99:219" x14ac:dyDescent="0.35">
      <c r="DB175" s="602"/>
      <c r="DC175" s="603"/>
      <c r="DD175" s="603"/>
      <c r="DE175" s="603"/>
      <c r="DF175" s="603"/>
      <c r="DG175" s="604">
        <f t="shared" si="130"/>
        <v>0</v>
      </c>
      <c r="DH175" s="604">
        <f t="shared" si="131"/>
        <v>0</v>
      </c>
      <c r="DI175" s="604">
        <f t="shared" si="132"/>
        <v>0</v>
      </c>
      <c r="DJ175" s="604">
        <f t="shared" si="133"/>
        <v>0</v>
      </c>
    </row>
    <row r="176" spans="99:219" x14ac:dyDescent="0.35">
      <c r="DB176" s="602"/>
      <c r="DC176" s="603"/>
      <c r="DD176" s="603"/>
      <c r="DE176" s="603"/>
      <c r="DF176" s="603"/>
      <c r="DG176" s="604">
        <f t="shared" si="130"/>
        <v>0</v>
      </c>
      <c r="DH176" s="604">
        <f t="shared" si="131"/>
        <v>0</v>
      </c>
      <c r="DI176" s="604">
        <f t="shared" si="132"/>
        <v>0</v>
      </c>
      <c r="DJ176" s="604">
        <f t="shared" si="133"/>
        <v>0</v>
      </c>
    </row>
    <row r="177" spans="106:114" x14ac:dyDescent="0.35">
      <c r="DB177" s="602"/>
      <c r="DC177" s="603"/>
      <c r="DD177" s="603"/>
      <c r="DE177" s="603"/>
      <c r="DF177" s="603"/>
      <c r="DG177" s="604">
        <f t="shared" si="130"/>
        <v>0</v>
      </c>
      <c r="DH177" s="604">
        <f t="shared" si="131"/>
        <v>0</v>
      </c>
      <c r="DI177" s="604">
        <f t="shared" si="132"/>
        <v>0</v>
      </c>
      <c r="DJ177" s="604">
        <f t="shared" si="133"/>
        <v>0</v>
      </c>
    </row>
    <row r="178" spans="106:114" x14ac:dyDescent="0.35">
      <c r="DB178" s="602"/>
      <c r="DC178" s="603"/>
      <c r="DD178" s="603"/>
      <c r="DE178" s="603"/>
      <c r="DF178" s="603"/>
      <c r="DG178" s="604">
        <f t="shared" si="130"/>
        <v>0</v>
      </c>
      <c r="DH178" s="604">
        <f t="shared" si="131"/>
        <v>0</v>
      </c>
      <c r="DI178" s="604">
        <f t="shared" si="132"/>
        <v>0</v>
      </c>
      <c r="DJ178" s="604">
        <f t="shared" si="133"/>
        <v>0</v>
      </c>
    </row>
    <row r="179" spans="106:114" x14ac:dyDescent="0.35">
      <c r="DB179" s="602"/>
      <c r="DC179" s="603"/>
      <c r="DD179" s="603"/>
      <c r="DE179" s="603"/>
      <c r="DF179" s="603"/>
      <c r="DG179" s="604">
        <f t="shared" si="130"/>
        <v>0</v>
      </c>
      <c r="DH179" s="604">
        <f t="shared" si="131"/>
        <v>0</v>
      </c>
      <c r="DI179" s="604">
        <f t="shared" si="132"/>
        <v>0</v>
      </c>
      <c r="DJ179" s="604">
        <f t="shared" si="133"/>
        <v>0</v>
      </c>
    </row>
    <row r="180" spans="106:114" x14ac:dyDescent="0.35">
      <c r="DB180" s="602"/>
      <c r="DC180" s="603"/>
      <c r="DD180" s="603"/>
      <c r="DE180" s="603"/>
      <c r="DF180" s="603"/>
      <c r="DG180" s="604">
        <f t="shared" si="130"/>
        <v>0</v>
      </c>
      <c r="DH180" s="604">
        <f t="shared" si="131"/>
        <v>0</v>
      </c>
      <c r="DI180" s="604">
        <f t="shared" si="132"/>
        <v>0</v>
      </c>
      <c r="DJ180" s="604">
        <f t="shared" si="133"/>
        <v>0</v>
      </c>
    </row>
    <row r="181" spans="106:114" x14ac:dyDescent="0.35">
      <c r="DB181" s="602"/>
      <c r="DC181" s="603"/>
      <c r="DD181" s="603"/>
      <c r="DE181" s="603"/>
      <c r="DF181" s="603"/>
      <c r="DG181" s="604">
        <f t="shared" si="130"/>
        <v>0</v>
      </c>
      <c r="DH181" s="604">
        <f t="shared" si="131"/>
        <v>0</v>
      </c>
      <c r="DI181" s="604">
        <f t="shared" si="132"/>
        <v>0</v>
      </c>
      <c r="DJ181" s="604">
        <f t="shared" si="133"/>
        <v>0</v>
      </c>
    </row>
    <row r="182" spans="106:114" x14ac:dyDescent="0.35">
      <c r="DB182" s="602"/>
      <c r="DC182" s="603"/>
      <c r="DD182" s="603"/>
      <c r="DE182" s="603"/>
      <c r="DF182" s="603"/>
      <c r="DG182" s="604">
        <f t="shared" si="130"/>
        <v>0</v>
      </c>
      <c r="DH182" s="604">
        <f t="shared" si="131"/>
        <v>0</v>
      </c>
      <c r="DI182" s="604">
        <f t="shared" si="132"/>
        <v>0</v>
      </c>
      <c r="DJ182" s="604">
        <f t="shared" si="133"/>
        <v>0</v>
      </c>
    </row>
    <row r="183" spans="106:114" x14ac:dyDescent="0.35">
      <c r="DB183" s="602"/>
      <c r="DC183" s="603"/>
      <c r="DD183" s="603"/>
      <c r="DE183" s="603"/>
      <c r="DF183" s="603"/>
      <c r="DG183" s="604">
        <f t="shared" si="130"/>
        <v>0</v>
      </c>
      <c r="DH183" s="604">
        <f t="shared" si="131"/>
        <v>0</v>
      </c>
      <c r="DI183" s="604">
        <f t="shared" si="132"/>
        <v>0</v>
      </c>
      <c r="DJ183" s="604">
        <f t="shared" si="133"/>
        <v>0</v>
      </c>
    </row>
    <row r="184" spans="106:114" x14ac:dyDescent="0.35">
      <c r="DB184" s="602"/>
      <c r="DC184" s="603"/>
      <c r="DD184" s="603"/>
      <c r="DE184" s="603"/>
      <c r="DF184" s="603"/>
      <c r="DG184" s="604">
        <f t="shared" si="130"/>
        <v>0</v>
      </c>
      <c r="DH184" s="604">
        <f t="shared" si="131"/>
        <v>0</v>
      </c>
      <c r="DI184" s="604">
        <f t="shared" si="132"/>
        <v>0</v>
      </c>
      <c r="DJ184" s="604">
        <f t="shared" si="133"/>
        <v>0</v>
      </c>
    </row>
    <row r="185" spans="106:114" x14ac:dyDescent="0.35">
      <c r="DB185" s="602"/>
      <c r="DC185" s="603"/>
      <c r="DD185" s="603"/>
      <c r="DE185" s="603"/>
      <c r="DF185" s="603"/>
      <c r="DG185" s="604">
        <f t="shared" si="130"/>
        <v>0</v>
      </c>
      <c r="DH185" s="604">
        <f t="shared" si="131"/>
        <v>0</v>
      </c>
      <c r="DI185" s="604">
        <f t="shared" si="132"/>
        <v>0</v>
      </c>
      <c r="DJ185" s="604">
        <f t="shared" si="133"/>
        <v>0</v>
      </c>
    </row>
    <row r="186" spans="106:114" x14ac:dyDescent="0.35">
      <c r="DB186" s="602"/>
      <c r="DC186" s="603"/>
      <c r="DD186" s="603"/>
      <c r="DE186" s="603"/>
      <c r="DF186" s="603"/>
      <c r="DG186" s="604">
        <f t="shared" si="130"/>
        <v>0</v>
      </c>
      <c r="DH186" s="604">
        <f t="shared" si="131"/>
        <v>0</v>
      </c>
      <c r="DI186" s="604">
        <f t="shared" si="132"/>
        <v>0</v>
      </c>
      <c r="DJ186" s="604">
        <f t="shared" si="133"/>
        <v>0</v>
      </c>
    </row>
    <row r="187" spans="106:114" x14ac:dyDescent="0.35">
      <c r="DB187" s="602"/>
      <c r="DC187" s="603"/>
      <c r="DD187" s="603"/>
      <c r="DE187" s="603"/>
      <c r="DF187" s="603"/>
      <c r="DG187" s="604">
        <f t="shared" si="130"/>
        <v>0</v>
      </c>
      <c r="DH187" s="604">
        <f t="shared" si="131"/>
        <v>0</v>
      </c>
      <c r="DI187" s="604">
        <f t="shared" si="132"/>
        <v>0</v>
      </c>
      <c r="DJ187" s="604">
        <f t="shared" si="133"/>
        <v>0</v>
      </c>
    </row>
    <row r="188" spans="106:114" x14ac:dyDescent="0.35">
      <c r="DB188" s="602"/>
      <c r="DC188" s="603"/>
      <c r="DD188" s="603"/>
      <c r="DE188" s="603"/>
      <c r="DF188" s="603"/>
      <c r="DG188" s="604">
        <f t="shared" si="130"/>
        <v>0</v>
      </c>
      <c r="DH188" s="604">
        <f t="shared" si="131"/>
        <v>0</v>
      </c>
      <c r="DI188" s="604">
        <f t="shared" si="132"/>
        <v>0</v>
      </c>
      <c r="DJ188" s="604">
        <f t="shared" si="133"/>
        <v>0</v>
      </c>
    </row>
    <row r="189" spans="106:114" x14ac:dyDescent="0.35">
      <c r="DB189" s="602"/>
      <c r="DC189" s="603"/>
      <c r="DD189" s="603"/>
      <c r="DE189" s="603"/>
      <c r="DF189" s="603"/>
      <c r="DG189" s="604">
        <f t="shared" si="130"/>
        <v>0</v>
      </c>
      <c r="DH189" s="604">
        <f t="shared" si="131"/>
        <v>0</v>
      </c>
      <c r="DI189" s="604">
        <f t="shared" si="132"/>
        <v>0</v>
      </c>
      <c r="DJ189" s="604">
        <f t="shared" si="133"/>
        <v>0</v>
      </c>
    </row>
    <row r="190" spans="106:114" x14ac:dyDescent="0.35">
      <c r="DB190" s="602"/>
      <c r="DC190" s="603"/>
      <c r="DD190" s="603"/>
      <c r="DE190" s="603"/>
      <c r="DF190" s="603"/>
      <c r="DG190" s="604">
        <f t="shared" si="130"/>
        <v>0</v>
      </c>
      <c r="DH190" s="604">
        <f t="shared" si="131"/>
        <v>0</v>
      </c>
      <c r="DI190" s="604">
        <f t="shared" si="132"/>
        <v>0</v>
      </c>
      <c r="DJ190" s="604">
        <f t="shared" si="133"/>
        <v>0</v>
      </c>
    </row>
    <row r="191" spans="106:114" x14ac:dyDescent="0.35">
      <c r="DB191" s="602"/>
      <c r="DC191" s="603"/>
      <c r="DD191" s="603"/>
      <c r="DE191" s="603"/>
      <c r="DF191" s="603"/>
      <c r="DG191" s="604">
        <f t="shared" si="130"/>
        <v>0</v>
      </c>
      <c r="DH191" s="604">
        <f t="shared" si="131"/>
        <v>0</v>
      </c>
      <c r="DI191" s="604">
        <f t="shared" si="132"/>
        <v>0</v>
      </c>
      <c r="DJ191" s="604">
        <f t="shared" si="133"/>
        <v>0</v>
      </c>
    </row>
    <row r="192" spans="106:114" x14ac:dyDescent="0.35">
      <c r="DB192" s="602"/>
      <c r="DC192" s="603"/>
      <c r="DD192" s="603"/>
      <c r="DE192" s="603"/>
      <c r="DF192" s="603"/>
      <c r="DG192" s="604">
        <f t="shared" si="130"/>
        <v>0</v>
      </c>
      <c r="DH192" s="604">
        <f t="shared" si="131"/>
        <v>0</v>
      </c>
      <c r="DI192" s="604">
        <f t="shared" si="132"/>
        <v>0</v>
      </c>
      <c r="DJ192" s="604">
        <f t="shared" si="133"/>
        <v>0</v>
      </c>
    </row>
    <row r="193" spans="106:114" x14ac:dyDescent="0.35">
      <c r="DB193" s="602"/>
      <c r="DC193" s="603"/>
      <c r="DD193" s="603"/>
      <c r="DE193" s="603"/>
      <c r="DF193" s="603"/>
      <c r="DG193" s="604">
        <f t="shared" si="130"/>
        <v>0</v>
      </c>
      <c r="DH193" s="604">
        <f t="shared" si="131"/>
        <v>0</v>
      </c>
      <c r="DI193" s="604">
        <f t="shared" si="132"/>
        <v>0</v>
      </c>
      <c r="DJ193" s="604">
        <f t="shared" si="133"/>
        <v>0</v>
      </c>
    </row>
    <row r="194" spans="106:114" x14ac:dyDescent="0.35">
      <c r="DB194" s="602"/>
      <c r="DC194" s="603"/>
      <c r="DD194" s="603"/>
      <c r="DE194" s="603"/>
      <c r="DF194" s="603"/>
      <c r="DG194" s="604">
        <f t="shared" si="130"/>
        <v>0</v>
      </c>
      <c r="DH194" s="604">
        <f t="shared" si="131"/>
        <v>0</v>
      </c>
      <c r="DI194" s="604">
        <f t="shared" si="132"/>
        <v>0</v>
      </c>
      <c r="DJ194" s="604">
        <f t="shared" si="133"/>
        <v>0</v>
      </c>
    </row>
    <row r="195" spans="106:114" x14ac:dyDescent="0.35">
      <c r="DB195" s="602"/>
      <c r="DC195" s="603"/>
      <c r="DD195" s="603"/>
      <c r="DE195" s="603"/>
      <c r="DF195" s="603"/>
      <c r="DG195" s="604">
        <f t="shared" si="130"/>
        <v>0</v>
      </c>
      <c r="DH195" s="604">
        <f t="shared" si="131"/>
        <v>0</v>
      </c>
      <c r="DI195" s="604">
        <f t="shared" si="132"/>
        <v>0</v>
      </c>
      <c r="DJ195" s="604">
        <f t="shared" si="133"/>
        <v>0</v>
      </c>
    </row>
    <row r="196" spans="106:114" x14ac:dyDescent="0.35">
      <c r="DB196" s="602"/>
      <c r="DC196" s="603"/>
      <c r="DD196" s="603"/>
      <c r="DE196" s="603"/>
      <c r="DF196" s="603"/>
      <c r="DG196" s="604">
        <f t="shared" ref="DG196:DG233" si="157">+DC196/$DK$2*$DL$2</f>
        <v>0</v>
      </c>
      <c r="DH196" s="604">
        <f t="shared" ref="DH196:DH233" si="158">+DD196/$DK$2*$DL$2</f>
        <v>0</v>
      </c>
      <c r="DI196" s="604">
        <f t="shared" ref="DI196:DI233" si="159">+DE196/$DK$2*$DL$2</f>
        <v>0</v>
      </c>
      <c r="DJ196" s="604">
        <f t="shared" ref="DJ196:DJ233" si="160">+DF196/$DK$2*$DL$2</f>
        <v>0</v>
      </c>
    </row>
    <row r="197" spans="106:114" x14ac:dyDescent="0.35">
      <c r="DB197" s="602"/>
      <c r="DC197" s="603"/>
      <c r="DD197" s="603"/>
      <c r="DE197" s="603"/>
      <c r="DF197" s="603"/>
      <c r="DG197" s="604">
        <f t="shared" si="157"/>
        <v>0</v>
      </c>
      <c r="DH197" s="604">
        <f t="shared" si="158"/>
        <v>0</v>
      </c>
      <c r="DI197" s="604">
        <f t="shared" si="159"/>
        <v>0</v>
      </c>
      <c r="DJ197" s="604">
        <f t="shared" si="160"/>
        <v>0</v>
      </c>
    </row>
    <row r="198" spans="106:114" x14ac:dyDescent="0.35">
      <c r="DB198" s="602"/>
      <c r="DC198" s="603"/>
      <c r="DD198" s="603"/>
      <c r="DE198" s="603"/>
      <c r="DF198" s="603"/>
      <c r="DG198" s="604">
        <f t="shared" si="157"/>
        <v>0</v>
      </c>
      <c r="DH198" s="604">
        <f t="shared" si="158"/>
        <v>0</v>
      </c>
      <c r="DI198" s="604">
        <f t="shared" si="159"/>
        <v>0</v>
      </c>
      <c r="DJ198" s="604">
        <f t="shared" si="160"/>
        <v>0</v>
      </c>
    </row>
    <row r="199" spans="106:114" x14ac:dyDescent="0.35">
      <c r="DB199" s="602"/>
      <c r="DC199" s="603"/>
      <c r="DD199" s="603"/>
      <c r="DE199" s="603"/>
      <c r="DF199" s="603"/>
      <c r="DG199" s="604">
        <f t="shared" si="157"/>
        <v>0</v>
      </c>
      <c r="DH199" s="604">
        <f t="shared" si="158"/>
        <v>0</v>
      </c>
      <c r="DI199" s="604">
        <f t="shared" si="159"/>
        <v>0</v>
      </c>
      <c r="DJ199" s="604">
        <f t="shared" si="160"/>
        <v>0</v>
      </c>
    </row>
    <row r="200" spans="106:114" x14ac:dyDescent="0.35">
      <c r="DB200" s="602"/>
      <c r="DC200" s="603"/>
      <c r="DD200" s="603"/>
      <c r="DE200" s="603"/>
      <c r="DF200" s="603"/>
      <c r="DG200" s="604">
        <f t="shared" si="157"/>
        <v>0</v>
      </c>
      <c r="DH200" s="604">
        <f t="shared" si="158"/>
        <v>0</v>
      </c>
      <c r="DI200" s="604">
        <f t="shared" si="159"/>
        <v>0</v>
      </c>
      <c r="DJ200" s="604">
        <f t="shared" si="160"/>
        <v>0</v>
      </c>
    </row>
    <row r="201" spans="106:114" x14ac:dyDescent="0.35">
      <c r="DB201" s="602"/>
      <c r="DC201" s="603"/>
      <c r="DD201" s="603"/>
      <c r="DE201" s="603"/>
      <c r="DF201" s="603"/>
      <c r="DG201" s="604">
        <f t="shared" si="157"/>
        <v>0</v>
      </c>
      <c r="DH201" s="604">
        <f t="shared" si="158"/>
        <v>0</v>
      </c>
      <c r="DI201" s="604">
        <f t="shared" si="159"/>
        <v>0</v>
      </c>
      <c r="DJ201" s="604">
        <f t="shared" si="160"/>
        <v>0</v>
      </c>
    </row>
    <row r="202" spans="106:114" x14ac:dyDescent="0.35">
      <c r="DB202" s="602"/>
      <c r="DC202" s="603"/>
      <c r="DD202" s="603"/>
      <c r="DE202" s="603"/>
      <c r="DF202" s="603"/>
      <c r="DG202" s="604">
        <f t="shared" si="157"/>
        <v>0</v>
      </c>
      <c r="DH202" s="604">
        <f t="shared" si="158"/>
        <v>0</v>
      </c>
      <c r="DI202" s="604">
        <f t="shared" si="159"/>
        <v>0</v>
      </c>
      <c r="DJ202" s="604">
        <f t="shared" si="160"/>
        <v>0</v>
      </c>
    </row>
    <row r="203" spans="106:114" x14ac:dyDescent="0.35">
      <c r="DB203" s="602"/>
      <c r="DC203" s="603"/>
      <c r="DD203" s="603"/>
      <c r="DE203" s="603"/>
      <c r="DF203" s="603"/>
      <c r="DG203" s="604">
        <f t="shared" si="157"/>
        <v>0</v>
      </c>
      <c r="DH203" s="604">
        <f t="shared" si="158"/>
        <v>0</v>
      </c>
      <c r="DI203" s="604">
        <f t="shared" si="159"/>
        <v>0</v>
      </c>
      <c r="DJ203" s="604">
        <f t="shared" si="160"/>
        <v>0</v>
      </c>
    </row>
    <row r="204" spans="106:114" x14ac:dyDescent="0.35">
      <c r="DB204" s="602"/>
      <c r="DC204" s="603"/>
      <c r="DD204" s="603"/>
      <c r="DE204" s="603"/>
      <c r="DF204" s="603"/>
      <c r="DG204" s="604">
        <f t="shared" si="157"/>
        <v>0</v>
      </c>
      <c r="DH204" s="604">
        <f t="shared" si="158"/>
        <v>0</v>
      </c>
      <c r="DI204" s="604">
        <f t="shared" si="159"/>
        <v>0</v>
      </c>
      <c r="DJ204" s="604">
        <f t="shared" si="160"/>
        <v>0</v>
      </c>
    </row>
    <row r="205" spans="106:114" x14ac:dyDescent="0.35">
      <c r="DB205" s="602"/>
      <c r="DC205" s="603"/>
      <c r="DD205" s="603"/>
      <c r="DE205" s="603"/>
      <c r="DF205" s="603"/>
      <c r="DG205" s="604">
        <f t="shared" si="157"/>
        <v>0</v>
      </c>
      <c r="DH205" s="604">
        <f t="shared" si="158"/>
        <v>0</v>
      </c>
      <c r="DI205" s="604">
        <f t="shared" si="159"/>
        <v>0</v>
      </c>
      <c r="DJ205" s="604">
        <f t="shared" si="160"/>
        <v>0</v>
      </c>
    </row>
    <row r="206" spans="106:114" x14ac:dyDescent="0.35">
      <c r="DB206" s="602"/>
      <c r="DC206" s="603"/>
      <c r="DD206" s="603"/>
      <c r="DE206" s="603"/>
      <c r="DF206" s="603"/>
      <c r="DG206" s="604">
        <f t="shared" si="157"/>
        <v>0</v>
      </c>
      <c r="DH206" s="604">
        <f t="shared" si="158"/>
        <v>0</v>
      </c>
      <c r="DI206" s="604">
        <f t="shared" si="159"/>
        <v>0</v>
      </c>
      <c r="DJ206" s="604">
        <f t="shared" si="160"/>
        <v>0</v>
      </c>
    </row>
    <row r="207" spans="106:114" x14ac:dyDescent="0.35">
      <c r="DB207" s="602"/>
      <c r="DC207" s="603"/>
      <c r="DD207" s="603"/>
      <c r="DE207" s="603"/>
      <c r="DF207" s="603"/>
      <c r="DG207" s="604">
        <f t="shared" si="157"/>
        <v>0</v>
      </c>
      <c r="DH207" s="604">
        <f t="shared" si="158"/>
        <v>0</v>
      </c>
      <c r="DI207" s="604">
        <f t="shared" si="159"/>
        <v>0</v>
      </c>
      <c r="DJ207" s="604">
        <f t="shared" si="160"/>
        <v>0</v>
      </c>
    </row>
    <row r="208" spans="106:114" x14ac:dyDescent="0.35">
      <c r="DB208" s="602"/>
      <c r="DC208" s="603"/>
      <c r="DD208" s="603"/>
      <c r="DE208" s="603"/>
      <c r="DF208" s="603"/>
      <c r="DG208" s="604">
        <f t="shared" si="157"/>
        <v>0</v>
      </c>
      <c r="DH208" s="604">
        <f t="shared" si="158"/>
        <v>0</v>
      </c>
      <c r="DI208" s="604">
        <f t="shared" si="159"/>
        <v>0</v>
      </c>
      <c r="DJ208" s="604">
        <f t="shared" si="160"/>
        <v>0</v>
      </c>
    </row>
    <row r="209" spans="106:114" x14ac:dyDescent="0.35">
      <c r="DB209" s="602"/>
      <c r="DC209" s="603"/>
      <c r="DD209" s="603"/>
      <c r="DE209" s="603"/>
      <c r="DF209" s="603"/>
      <c r="DG209" s="604">
        <f t="shared" si="157"/>
        <v>0</v>
      </c>
      <c r="DH209" s="604">
        <f t="shared" si="158"/>
        <v>0</v>
      </c>
      <c r="DI209" s="604">
        <f t="shared" si="159"/>
        <v>0</v>
      </c>
      <c r="DJ209" s="604">
        <f t="shared" si="160"/>
        <v>0</v>
      </c>
    </row>
    <row r="210" spans="106:114" x14ac:dyDescent="0.35">
      <c r="DB210" s="602"/>
      <c r="DC210" s="603"/>
      <c r="DD210" s="603"/>
      <c r="DE210" s="603"/>
      <c r="DF210" s="603"/>
      <c r="DG210" s="604">
        <f t="shared" si="157"/>
        <v>0</v>
      </c>
      <c r="DH210" s="604">
        <f t="shared" si="158"/>
        <v>0</v>
      </c>
      <c r="DI210" s="604">
        <f t="shared" si="159"/>
        <v>0</v>
      </c>
      <c r="DJ210" s="604">
        <f t="shared" si="160"/>
        <v>0</v>
      </c>
    </row>
    <row r="211" spans="106:114" x14ac:dyDescent="0.35">
      <c r="DB211" s="602"/>
      <c r="DC211" s="603"/>
      <c r="DD211" s="603"/>
      <c r="DE211" s="603"/>
      <c r="DF211" s="603"/>
      <c r="DG211" s="604">
        <f t="shared" si="157"/>
        <v>0</v>
      </c>
      <c r="DH211" s="604">
        <f t="shared" si="158"/>
        <v>0</v>
      </c>
      <c r="DI211" s="604">
        <f t="shared" si="159"/>
        <v>0</v>
      </c>
      <c r="DJ211" s="604">
        <f t="shared" si="160"/>
        <v>0</v>
      </c>
    </row>
    <row r="212" spans="106:114" x14ac:dyDescent="0.35">
      <c r="DB212" s="602"/>
      <c r="DC212" s="603"/>
      <c r="DD212" s="603"/>
      <c r="DE212" s="603"/>
      <c r="DF212" s="603"/>
      <c r="DG212" s="604">
        <f t="shared" si="157"/>
        <v>0</v>
      </c>
      <c r="DH212" s="604">
        <f t="shared" si="158"/>
        <v>0</v>
      </c>
      <c r="DI212" s="604">
        <f t="shared" si="159"/>
        <v>0</v>
      </c>
      <c r="DJ212" s="604">
        <f t="shared" si="160"/>
        <v>0</v>
      </c>
    </row>
    <row r="213" spans="106:114" x14ac:dyDescent="0.35">
      <c r="DB213" s="602"/>
      <c r="DC213" s="603"/>
      <c r="DD213" s="603"/>
      <c r="DE213" s="603"/>
      <c r="DF213" s="603"/>
      <c r="DG213" s="604">
        <f t="shared" si="157"/>
        <v>0</v>
      </c>
      <c r="DH213" s="604">
        <f t="shared" si="158"/>
        <v>0</v>
      </c>
      <c r="DI213" s="604">
        <f t="shared" si="159"/>
        <v>0</v>
      </c>
      <c r="DJ213" s="604">
        <f t="shared" si="160"/>
        <v>0</v>
      </c>
    </row>
    <row r="214" spans="106:114" x14ac:dyDescent="0.35">
      <c r="DB214" s="602"/>
      <c r="DC214" s="603"/>
      <c r="DD214" s="603"/>
      <c r="DE214" s="603"/>
      <c r="DF214" s="603"/>
      <c r="DG214" s="604">
        <f t="shared" si="157"/>
        <v>0</v>
      </c>
      <c r="DH214" s="604">
        <f t="shared" si="158"/>
        <v>0</v>
      </c>
      <c r="DI214" s="604">
        <f t="shared" si="159"/>
        <v>0</v>
      </c>
      <c r="DJ214" s="604">
        <f t="shared" si="160"/>
        <v>0</v>
      </c>
    </row>
    <row r="215" spans="106:114" x14ac:dyDescent="0.35">
      <c r="DB215" s="602"/>
      <c r="DC215" s="603"/>
      <c r="DD215" s="603"/>
      <c r="DE215" s="603"/>
      <c r="DF215" s="603"/>
      <c r="DG215" s="604">
        <f t="shared" si="157"/>
        <v>0</v>
      </c>
      <c r="DH215" s="604">
        <f t="shared" si="158"/>
        <v>0</v>
      </c>
      <c r="DI215" s="604">
        <f t="shared" si="159"/>
        <v>0</v>
      </c>
      <c r="DJ215" s="604">
        <f t="shared" si="160"/>
        <v>0</v>
      </c>
    </row>
    <row r="216" spans="106:114" x14ac:dyDescent="0.35">
      <c r="DB216" s="602"/>
      <c r="DC216" s="603"/>
      <c r="DD216" s="603"/>
      <c r="DE216" s="603"/>
      <c r="DF216" s="603"/>
      <c r="DG216" s="604">
        <f t="shared" si="157"/>
        <v>0</v>
      </c>
      <c r="DH216" s="604">
        <f t="shared" si="158"/>
        <v>0</v>
      </c>
      <c r="DI216" s="604">
        <f t="shared" si="159"/>
        <v>0</v>
      </c>
      <c r="DJ216" s="604">
        <f t="shared" si="160"/>
        <v>0</v>
      </c>
    </row>
    <row r="217" spans="106:114" x14ac:dyDescent="0.35">
      <c r="DB217" s="602"/>
      <c r="DC217" s="603"/>
      <c r="DD217" s="603"/>
      <c r="DE217" s="603"/>
      <c r="DF217" s="603"/>
      <c r="DG217" s="604">
        <f t="shared" si="157"/>
        <v>0</v>
      </c>
      <c r="DH217" s="604">
        <f t="shared" si="158"/>
        <v>0</v>
      </c>
      <c r="DI217" s="604">
        <f t="shared" si="159"/>
        <v>0</v>
      </c>
      <c r="DJ217" s="604">
        <f t="shared" si="160"/>
        <v>0</v>
      </c>
    </row>
    <row r="218" spans="106:114" x14ac:dyDescent="0.35">
      <c r="DB218" s="602"/>
      <c r="DC218" s="603"/>
      <c r="DD218" s="603"/>
      <c r="DE218" s="603"/>
      <c r="DF218" s="603"/>
      <c r="DG218" s="604">
        <f t="shared" si="157"/>
        <v>0</v>
      </c>
      <c r="DH218" s="604">
        <f t="shared" si="158"/>
        <v>0</v>
      </c>
      <c r="DI218" s="604">
        <f t="shared" si="159"/>
        <v>0</v>
      </c>
      <c r="DJ218" s="604">
        <f t="shared" si="160"/>
        <v>0</v>
      </c>
    </row>
    <row r="219" spans="106:114" x14ac:dyDescent="0.35">
      <c r="DB219" s="602"/>
      <c r="DC219" s="603"/>
      <c r="DD219" s="603"/>
      <c r="DE219" s="603"/>
      <c r="DF219" s="603"/>
      <c r="DG219" s="604">
        <f t="shared" si="157"/>
        <v>0</v>
      </c>
      <c r="DH219" s="604">
        <f t="shared" si="158"/>
        <v>0</v>
      </c>
      <c r="DI219" s="604">
        <f t="shared" si="159"/>
        <v>0</v>
      </c>
      <c r="DJ219" s="604">
        <f t="shared" si="160"/>
        <v>0</v>
      </c>
    </row>
    <row r="220" spans="106:114" x14ac:dyDescent="0.35">
      <c r="DB220" s="602"/>
      <c r="DC220" s="603"/>
      <c r="DD220" s="603"/>
      <c r="DE220" s="603"/>
      <c r="DF220" s="603"/>
      <c r="DG220" s="604">
        <f t="shared" si="157"/>
        <v>0</v>
      </c>
      <c r="DH220" s="604">
        <f t="shared" si="158"/>
        <v>0</v>
      </c>
      <c r="DI220" s="604">
        <f t="shared" si="159"/>
        <v>0</v>
      </c>
      <c r="DJ220" s="604">
        <f t="shared" si="160"/>
        <v>0</v>
      </c>
    </row>
    <row r="221" spans="106:114" x14ac:dyDescent="0.35">
      <c r="DB221" s="602"/>
      <c r="DC221" s="603"/>
      <c r="DD221" s="603"/>
      <c r="DE221" s="603"/>
      <c r="DF221" s="603"/>
      <c r="DG221" s="604">
        <f t="shared" si="157"/>
        <v>0</v>
      </c>
      <c r="DH221" s="604">
        <f t="shared" si="158"/>
        <v>0</v>
      </c>
      <c r="DI221" s="604">
        <f t="shared" si="159"/>
        <v>0</v>
      </c>
      <c r="DJ221" s="604">
        <f t="shared" si="160"/>
        <v>0</v>
      </c>
    </row>
    <row r="222" spans="106:114" x14ac:dyDescent="0.35">
      <c r="DB222" s="602"/>
      <c r="DC222" s="603"/>
      <c r="DD222" s="603"/>
      <c r="DE222" s="603"/>
      <c r="DF222" s="603"/>
      <c r="DG222" s="604">
        <f t="shared" si="157"/>
        <v>0</v>
      </c>
      <c r="DH222" s="604">
        <f t="shared" si="158"/>
        <v>0</v>
      </c>
      <c r="DI222" s="604">
        <f t="shared" si="159"/>
        <v>0</v>
      </c>
      <c r="DJ222" s="604">
        <f t="shared" si="160"/>
        <v>0</v>
      </c>
    </row>
    <row r="223" spans="106:114" x14ac:dyDescent="0.35">
      <c r="DB223" s="602"/>
      <c r="DC223" s="603"/>
      <c r="DD223" s="603"/>
      <c r="DE223" s="603"/>
      <c r="DF223" s="603"/>
      <c r="DG223" s="604">
        <f t="shared" si="157"/>
        <v>0</v>
      </c>
      <c r="DH223" s="604">
        <f t="shared" si="158"/>
        <v>0</v>
      </c>
      <c r="DI223" s="604">
        <f t="shared" si="159"/>
        <v>0</v>
      </c>
      <c r="DJ223" s="604">
        <f t="shared" si="160"/>
        <v>0</v>
      </c>
    </row>
    <row r="224" spans="106:114" x14ac:dyDescent="0.35">
      <c r="DB224" s="602"/>
      <c r="DC224" s="603"/>
      <c r="DD224" s="603"/>
      <c r="DE224" s="603"/>
      <c r="DF224" s="603"/>
      <c r="DG224" s="604">
        <f t="shared" si="157"/>
        <v>0</v>
      </c>
      <c r="DH224" s="604">
        <f t="shared" si="158"/>
        <v>0</v>
      </c>
      <c r="DI224" s="604">
        <f t="shared" si="159"/>
        <v>0</v>
      </c>
      <c r="DJ224" s="604">
        <f t="shared" si="160"/>
        <v>0</v>
      </c>
    </row>
    <row r="225" spans="106:114" x14ac:dyDescent="0.35">
      <c r="DB225" s="602"/>
      <c r="DC225" s="603"/>
      <c r="DD225" s="603"/>
      <c r="DE225" s="603"/>
      <c r="DF225" s="603"/>
      <c r="DG225" s="604">
        <f t="shared" si="157"/>
        <v>0</v>
      </c>
      <c r="DH225" s="604">
        <f t="shared" si="158"/>
        <v>0</v>
      </c>
      <c r="DI225" s="604">
        <f t="shared" si="159"/>
        <v>0</v>
      </c>
      <c r="DJ225" s="604">
        <f t="shared" si="160"/>
        <v>0</v>
      </c>
    </row>
    <row r="226" spans="106:114" x14ac:dyDescent="0.35">
      <c r="DB226" s="602"/>
      <c r="DC226" s="603"/>
      <c r="DD226" s="603"/>
      <c r="DE226" s="603"/>
      <c r="DF226" s="603"/>
      <c r="DG226" s="604">
        <f t="shared" si="157"/>
        <v>0</v>
      </c>
      <c r="DH226" s="604">
        <f t="shared" si="158"/>
        <v>0</v>
      </c>
      <c r="DI226" s="604">
        <f t="shared" si="159"/>
        <v>0</v>
      </c>
      <c r="DJ226" s="604">
        <f t="shared" si="160"/>
        <v>0</v>
      </c>
    </row>
    <row r="227" spans="106:114" x14ac:dyDescent="0.35">
      <c r="DB227" s="602"/>
      <c r="DC227" s="603"/>
      <c r="DD227" s="603"/>
      <c r="DE227" s="603"/>
      <c r="DF227" s="603"/>
      <c r="DG227" s="604">
        <f t="shared" si="157"/>
        <v>0</v>
      </c>
      <c r="DH227" s="604">
        <f t="shared" si="158"/>
        <v>0</v>
      </c>
      <c r="DI227" s="604">
        <f t="shared" si="159"/>
        <v>0</v>
      </c>
      <c r="DJ227" s="604">
        <f t="shared" si="160"/>
        <v>0</v>
      </c>
    </row>
    <row r="228" spans="106:114" x14ac:dyDescent="0.35">
      <c r="DB228" s="602"/>
      <c r="DC228" s="603"/>
      <c r="DD228" s="603"/>
      <c r="DE228" s="603"/>
      <c r="DF228" s="603"/>
      <c r="DG228" s="604">
        <f t="shared" si="157"/>
        <v>0</v>
      </c>
      <c r="DH228" s="604">
        <f t="shared" si="158"/>
        <v>0</v>
      </c>
      <c r="DI228" s="604">
        <f t="shared" si="159"/>
        <v>0</v>
      </c>
      <c r="DJ228" s="604">
        <f t="shared" si="160"/>
        <v>0</v>
      </c>
    </row>
    <row r="229" spans="106:114" x14ac:dyDescent="0.35">
      <c r="DB229" s="602"/>
      <c r="DC229" s="603"/>
      <c r="DD229" s="603"/>
      <c r="DE229" s="603"/>
      <c r="DF229" s="603"/>
      <c r="DG229" s="604">
        <f t="shared" si="157"/>
        <v>0</v>
      </c>
      <c r="DH229" s="604">
        <f t="shared" si="158"/>
        <v>0</v>
      </c>
      <c r="DI229" s="604">
        <f t="shared" si="159"/>
        <v>0</v>
      </c>
      <c r="DJ229" s="604">
        <f t="shared" si="160"/>
        <v>0</v>
      </c>
    </row>
    <row r="230" spans="106:114" x14ac:dyDescent="0.35">
      <c r="DB230" s="602"/>
      <c r="DC230" s="603"/>
      <c r="DD230" s="603"/>
      <c r="DE230" s="603"/>
      <c r="DF230" s="603"/>
      <c r="DG230" s="604">
        <f t="shared" si="157"/>
        <v>0</v>
      </c>
      <c r="DH230" s="604">
        <f t="shared" si="158"/>
        <v>0</v>
      </c>
      <c r="DI230" s="604">
        <f t="shared" si="159"/>
        <v>0</v>
      </c>
      <c r="DJ230" s="604">
        <f t="shared" si="160"/>
        <v>0</v>
      </c>
    </row>
    <row r="231" spans="106:114" x14ac:dyDescent="0.35">
      <c r="DB231" s="602"/>
      <c r="DC231" s="603"/>
      <c r="DD231" s="603"/>
      <c r="DE231" s="603"/>
      <c r="DF231" s="603"/>
      <c r="DG231" s="604">
        <f t="shared" si="157"/>
        <v>0</v>
      </c>
      <c r="DH231" s="604">
        <f t="shared" si="158"/>
        <v>0</v>
      </c>
      <c r="DI231" s="604">
        <f t="shared" si="159"/>
        <v>0</v>
      </c>
      <c r="DJ231" s="604">
        <f t="shared" si="160"/>
        <v>0</v>
      </c>
    </row>
    <row r="232" spans="106:114" x14ac:dyDescent="0.35">
      <c r="DB232" s="602"/>
      <c r="DC232" s="603"/>
      <c r="DD232" s="603"/>
      <c r="DE232" s="603"/>
      <c r="DF232" s="603"/>
      <c r="DG232" s="604">
        <f t="shared" si="157"/>
        <v>0</v>
      </c>
      <c r="DH232" s="604">
        <f t="shared" si="158"/>
        <v>0</v>
      </c>
      <c r="DI232" s="604">
        <f t="shared" si="159"/>
        <v>0</v>
      </c>
      <c r="DJ232" s="604">
        <f t="shared" si="160"/>
        <v>0</v>
      </c>
    </row>
    <row r="233" spans="106:114" x14ac:dyDescent="0.35">
      <c r="DB233" s="602"/>
      <c r="DC233" s="603"/>
      <c r="DD233" s="603"/>
      <c r="DE233" s="603"/>
      <c r="DF233" s="603"/>
      <c r="DG233" s="604">
        <f t="shared" si="157"/>
        <v>0</v>
      </c>
      <c r="DH233" s="604">
        <f t="shared" si="158"/>
        <v>0</v>
      </c>
      <c r="DI233" s="604">
        <f t="shared" si="159"/>
        <v>0</v>
      </c>
      <c r="DJ233" s="604">
        <f t="shared" si="160"/>
        <v>0</v>
      </c>
    </row>
  </sheetData>
  <mergeCells count="24">
    <mergeCell ref="GV1:GZ1"/>
    <mergeCell ref="HB1:HK1"/>
    <mergeCell ref="GF1:GR1"/>
    <mergeCell ref="FT1:GC1"/>
    <mergeCell ref="A1:F1"/>
    <mergeCell ref="Q1:U1"/>
    <mergeCell ref="Z1:AB1"/>
    <mergeCell ref="AF1:AH1"/>
    <mergeCell ref="BM1:BW1"/>
    <mergeCell ref="BF1:BK1"/>
    <mergeCell ref="AN1:AQ1"/>
    <mergeCell ref="AU1:BB1"/>
    <mergeCell ref="J1:M1"/>
    <mergeCell ref="EZ1:FE1"/>
    <mergeCell ref="FG1:FP1"/>
    <mergeCell ref="CA1:CE1"/>
    <mergeCell ref="CN1:CQ1"/>
    <mergeCell ref="CG1:CM1"/>
    <mergeCell ref="EH1:EJ1"/>
    <mergeCell ref="EO1:EV1"/>
    <mergeCell ref="DN1:DR1"/>
    <mergeCell ref="DV1:ED1"/>
    <mergeCell ref="CU1:DA1"/>
    <mergeCell ref="DB1:DJ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E149"/>
  <sheetViews>
    <sheetView topLeftCell="AM118" workbookViewId="0">
      <selection activeCell="AU148" sqref="AU148"/>
    </sheetView>
  </sheetViews>
  <sheetFormatPr baseColWidth="10" defaultRowHeight="16.5" x14ac:dyDescent="0.35"/>
  <cols>
    <col min="1" max="1" width="52.7109375" style="838" customWidth="1"/>
    <col min="2" max="5" width="0" style="838" hidden="1" customWidth="1"/>
    <col min="6" max="9" width="16.140625" style="838" customWidth="1"/>
    <col min="12" max="12" width="36.140625" style="1285" customWidth="1"/>
    <col min="13" max="13" width="0" hidden="1" customWidth="1"/>
    <col min="14" max="14" width="15.140625" style="838" customWidth="1"/>
    <col min="17" max="17" width="23.85546875" customWidth="1"/>
    <col min="18" max="21" width="0" hidden="1" customWidth="1"/>
    <col min="28" max="28" width="22.140625" style="1389" customWidth="1"/>
    <col min="29" max="29" width="15" style="1389" bestFit="1" customWidth="1"/>
    <col min="33" max="33" width="15.42578125" style="1389" customWidth="1"/>
    <col min="34" max="35" width="14.85546875" style="1389" hidden="1" customWidth="1"/>
    <col min="36" max="36" width="14.140625" style="1389" hidden="1" customWidth="1"/>
    <col min="37" max="37" width="8.5703125" style="1389" hidden="1" customWidth="1"/>
    <col min="38" max="38" width="13.28515625" style="1389" bestFit="1" customWidth="1"/>
    <col min="39" max="40" width="12.140625" style="1389" bestFit="1" customWidth="1"/>
    <col min="41" max="41" width="13.28515625" style="1389" bestFit="1" customWidth="1"/>
    <col min="44" max="44" width="35.5703125" customWidth="1"/>
    <col min="45" max="45" width="15.7109375" customWidth="1"/>
    <col min="49" max="49" width="24.85546875" customWidth="1"/>
    <col min="50" max="53" width="0" hidden="1" customWidth="1"/>
    <col min="54" max="54" width="13.140625" customWidth="1"/>
  </cols>
  <sheetData>
    <row r="1" spans="1:57" x14ac:dyDescent="0.35">
      <c r="A1" s="838" t="s">
        <v>0</v>
      </c>
      <c r="H1" s="838">
        <v>1000</v>
      </c>
      <c r="I1" s="838">
        <v>1</v>
      </c>
      <c r="L1" s="1729" t="s">
        <v>137</v>
      </c>
      <c r="M1" s="1729"/>
      <c r="N1" s="838">
        <v>1000</v>
      </c>
      <c r="O1" s="838">
        <v>1</v>
      </c>
      <c r="Q1" s="1729" t="s">
        <v>1012</v>
      </c>
      <c r="R1" s="1729"/>
      <c r="S1" s="1729"/>
      <c r="T1" s="1729"/>
      <c r="U1" s="1729"/>
      <c r="V1" s="1729"/>
      <c r="W1" s="1729"/>
      <c r="X1">
        <v>1000</v>
      </c>
      <c r="Y1">
        <v>1</v>
      </c>
      <c r="AB1" s="1730" t="s">
        <v>6</v>
      </c>
      <c r="AC1" s="1730"/>
      <c r="AD1">
        <v>1000</v>
      </c>
      <c r="AE1">
        <v>1</v>
      </c>
      <c r="AG1" s="1730" t="s">
        <v>1013</v>
      </c>
      <c r="AH1" s="1730"/>
      <c r="AI1" s="1730"/>
      <c r="AJ1" s="1730"/>
      <c r="AK1" s="1730"/>
      <c r="AL1" s="1730"/>
      <c r="AM1" s="1730"/>
      <c r="AN1" s="1389">
        <v>1000</v>
      </c>
      <c r="AO1" s="1389">
        <v>1</v>
      </c>
      <c r="AR1" t="s">
        <v>7</v>
      </c>
      <c r="AS1">
        <v>1000</v>
      </c>
      <c r="AT1">
        <v>1</v>
      </c>
      <c r="AW1" t="s">
        <v>1024</v>
      </c>
      <c r="BD1">
        <v>1000</v>
      </c>
      <c r="BE1">
        <v>1</v>
      </c>
    </row>
    <row r="2" spans="1:57" ht="49.5" x14ac:dyDescent="0.25">
      <c r="A2" s="837" t="s">
        <v>349</v>
      </c>
      <c r="B2" s="837" t="s">
        <v>356</v>
      </c>
      <c r="C2" s="837" t="s">
        <v>351</v>
      </c>
      <c r="D2" s="837" t="s">
        <v>424</v>
      </c>
      <c r="E2" s="837" t="s">
        <v>352</v>
      </c>
      <c r="F2" s="837" t="s">
        <v>356</v>
      </c>
      <c r="G2" s="837" t="s">
        <v>351</v>
      </c>
      <c r="H2" s="837" t="s">
        <v>424</v>
      </c>
      <c r="I2" s="837" t="s">
        <v>352</v>
      </c>
      <c r="L2" s="303" t="s">
        <v>349</v>
      </c>
      <c r="M2" s="1042" t="s">
        <v>352</v>
      </c>
      <c r="N2" s="837" t="s">
        <v>352</v>
      </c>
      <c r="Q2" s="1042" t="s">
        <v>349</v>
      </c>
      <c r="R2" s="1042" t="s">
        <v>356</v>
      </c>
      <c r="S2" s="1042" t="s">
        <v>351</v>
      </c>
      <c r="T2" s="1042" t="s">
        <v>424</v>
      </c>
      <c r="U2" s="1042" t="s">
        <v>352</v>
      </c>
      <c r="V2" s="1042" t="s">
        <v>356</v>
      </c>
      <c r="W2" s="1042" t="s">
        <v>351</v>
      </c>
      <c r="X2" s="1042" t="s">
        <v>424</v>
      </c>
      <c r="Y2" s="1042" t="s">
        <v>352</v>
      </c>
      <c r="AB2" s="1042" t="s">
        <v>349</v>
      </c>
      <c r="AC2" s="1042" t="s">
        <v>352</v>
      </c>
      <c r="AD2" s="1042" t="s">
        <v>352</v>
      </c>
      <c r="AG2" s="1042" t="s">
        <v>349</v>
      </c>
      <c r="AH2" s="1042" t="s">
        <v>356</v>
      </c>
      <c r="AI2" s="1042" t="s">
        <v>352</v>
      </c>
      <c r="AJ2" s="1042" t="s">
        <v>351</v>
      </c>
      <c r="AK2" s="1042" t="s">
        <v>424</v>
      </c>
      <c r="AL2" s="1042" t="s">
        <v>356</v>
      </c>
      <c r="AM2" s="1042" t="s">
        <v>352</v>
      </c>
      <c r="AN2" s="1042" t="s">
        <v>351</v>
      </c>
      <c r="AO2" s="1042" t="s">
        <v>424</v>
      </c>
      <c r="AR2" s="82" t="s">
        <v>349</v>
      </c>
      <c r="AS2" s="82" t="s">
        <v>352</v>
      </c>
      <c r="AT2" s="82" t="str">
        <f>+AS2</f>
        <v>Devengado</v>
      </c>
      <c r="AW2" s="82" t="s">
        <v>349</v>
      </c>
      <c r="AX2" s="82" t="s">
        <v>356</v>
      </c>
      <c r="AY2" s="82" t="s">
        <v>351</v>
      </c>
      <c r="AZ2" s="82" t="s">
        <v>352</v>
      </c>
      <c r="BA2" s="82" t="s">
        <v>424</v>
      </c>
      <c r="BB2" s="82" t="s">
        <v>356</v>
      </c>
      <c r="BC2" s="82" t="s">
        <v>351</v>
      </c>
      <c r="BD2" s="82" t="s">
        <v>352</v>
      </c>
      <c r="BE2" s="82" t="s">
        <v>424</v>
      </c>
    </row>
    <row r="3" spans="1:57" ht="15" customHeight="1" x14ac:dyDescent="0.35">
      <c r="A3" s="841" t="s">
        <v>480</v>
      </c>
      <c r="B3" s="1115">
        <v>17419021000</v>
      </c>
      <c r="C3" s="1115">
        <v>1193080869</v>
      </c>
      <c r="D3" s="1115">
        <v>16225940131</v>
      </c>
      <c r="E3" s="1115">
        <v>1193080869</v>
      </c>
      <c r="F3" s="1115">
        <f>+B3/$H$1*$I$1</f>
        <v>17419021</v>
      </c>
      <c r="G3" s="1115">
        <f t="shared" ref="G3:I3" si="0">+C3/$H$1*$I$1</f>
        <v>1193080.8689999999</v>
      </c>
      <c r="H3" s="1115">
        <f t="shared" si="0"/>
        <v>16225940.130999999</v>
      </c>
      <c r="I3" s="1115">
        <f t="shared" si="0"/>
        <v>1193080.8689999999</v>
      </c>
      <c r="L3" s="94" t="s">
        <v>480</v>
      </c>
      <c r="M3" s="840">
        <v>1226273580</v>
      </c>
      <c r="N3" s="1115">
        <f>+M3/$N$1*$O$1</f>
        <v>1226273.58</v>
      </c>
      <c r="Q3" s="94" t="s">
        <v>480</v>
      </c>
      <c r="R3" s="840">
        <v>17419021000</v>
      </c>
      <c r="S3" s="840">
        <v>2419354449</v>
      </c>
      <c r="T3" s="840">
        <v>14999666551</v>
      </c>
      <c r="U3" s="840">
        <v>2419354449</v>
      </c>
      <c r="V3" s="169">
        <f>+R3/$X$1*$Y$1</f>
        <v>17419021</v>
      </c>
      <c r="W3" s="169">
        <f t="shared" ref="W3:Y3" si="1">+S3/$X$1*$Y$1</f>
        <v>2419354.449</v>
      </c>
      <c r="X3" s="169">
        <f t="shared" si="1"/>
        <v>14999666.551000001</v>
      </c>
      <c r="Y3" s="169">
        <f t="shared" si="1"/>
        <v>2419354.449</v>
      </c>
      <c r="AB3" s="1390" t="s">
        <v>480</v>
      </c>
      <c r="AC3" s="1391">
        <v>2069775272</v>
      </c>
      <c r="AD3" s="169">
        <f>+AC3/$AD$1*$AE$1</f>
        <v>2069775.2720000001</v>
      </c>
      <c r="AG3" s="1390" t="s">
        <v>480</v>
      </c>
      <c r="AH3" s="1391">
        <v>17419021000</v>
      </c>
      <c r="AI3" s="1391">
        <v>4489129721</v>
      </c>
      <c r="AJ3" s="1391">
        <v>4489129721</v>
      </c>
      <c r="AK3" s="1391">
        <v>12929891279</v>
      </c>
      <c r="AL3" s="1407">
        <f>+AH3/$AN$1*$AO$1</f>
        <v>17419021</v>
      </c>
      <c r="AM3" s="1407">
        <f t="shared" ref="AM3:AO3" si="2">+AI3/$AN$1*$AO$1</f>
        <v>4489129.7209999999</v>
      </c>
      <c r="AN3" s="1407">
        <f t="shared" si="2"/>
        <v>4489129.7209999999</v>
      </c>
      <c r="AO3" s="1407">
        <f t="shared" si="2"/>
        <v>12929891.278999999</v>
      </c>
      <c r="AR3" s="1390" t="s">
        <v>480</v>
      </c>
      <c r="AS3" s="169">
        <v>1232749672</v>
      </c>
      <c r="AT3" s="169">
        <f>+AS3/$AS$1*$AT$1</f>
        <v>1232749.672</v>
      </c>
      <c r="AV3" s="291"/>
      <c r="AW3" s="1390" t="s">
        <v>480</v>
      </c>
      <c r="AX3" s="840">
        <v>17419021000</v>
      </c>
      <c r="AY3" s="840">
        <v>5721879393</v>
      </c>
      <c r="AZ3" s="840">
        <v>5721879393</v>
      </c>
      <c r="BA3" s="840">
        <v>11697141607</v>
      </c>
      <c r="BB3" s="169">
        <f>+AX3/$BD$1*$BE$1</f>
        <v>17419021</v>
      </c>
      <c r="BC3" s="169">
        <f t="shared" ref="BC3:BE3" si="3">+AY3/$BD$1*$BE$1</f>
        <v>5721879.3930000002</v>
      </c>
      <c r="BD3" s="169">
        <f t="shared" si="3"/>
        <v>5721879.3930000002</v>
      </c>
      <c r="BE3" s="169">
        <f t="shared" si="3"/>
        <v>11697141.607000001</v>
      </c>
    </row>
    <row r="4" spans="1:57" ht="15" customHeight="1" x14ac:dyDescent="0.35">
      <c r="A4" s="841" t="s">
        <v>479</v>
      </c>
      <c r="B4" s="1115">
        <v>1085491780</v>
      </c>
      <c r="C4" s="1115">
        <v>58415805</v>
      </c>
      <c r="D4" s="1115">
        <v>1027075975</v>
      </c>
      <c r="E4" s="1115">
        <v>58415805</v>
      </c>
      <c r="F4" s="1115">
        <f t="shared" ref="F4:F67" si="4">+B4/$H$1*$I$1</f>
        <v>1085491.78</v>
      </c>
      <c r="G4" s="1115">
        <f t="shared" ref="G4:G67" si="5">+C4/$H$1*$I$1</f>
        <v>58415.805</v>
      </c>
      <c r="H4" s="1115">
        <f t="shared" ref="H4:H67" si="6">+D4/$H$1*$I$1</f>
        <v>1027075.975</v>
      </c>
      <c r="I4" s="1115">
        <f t="shared" ref="I4:I67" si="7">+E4/$H$1*$I$1</f>
        <v>58415.805</v>
      </c>
      <c r="L4" s="94" t="s">
        <v>479</v>
      </c>
      <c r="M4" s="840">
        <v>60387556</v>
      </c>
      <c r="N4" s="1115">
        <f t="shared" ref="N4:N67" si="8">+M4/$N$1*$O$1</f>
        <v>60387.555999999997</v>
      </c>
      <c r="Q4" s="94" t="s">
        <v>479</v>
      </c>
      <c r="R4" s="840">
        <v>1108523779</v>
      </c>
      <c r="S4" s="840">
        <v>118803361</v>
      </c>
      <c r="T4" s="840">
        <v>989720418</v>
      </c>
      <c r="U4" s="840">
        <v>118803361</v>
      </c>
      <c r="V4" s="169">
        <f t="shared" ref="V4:V67" si="9">+R4/$X$1*$Y$1</f>
        <v>1108523.7790000001</v>
      </c>
      <c r="W4" s="169">
        <f t="shared" ref="W4:W67" si="10">+S4/$X$1*$Y$1</f>
        <v>118803.361</v>
      </c>
      <c r="X4" s="169">
        <f t="shared" ref="X4:X67" si="11">+T4/$X$1*$Y$1</f>
        <v>989720.41799999995</v>
      </c>
      <c r="Y4" s="169">
        <f t="shared" ref="Y4:Y67" si="12">+U4/$X$1*$Y$1</f>
        <v>118803.361</v>
      </c>
      <c r="AB4" s="1390" t="s">
        <v>479</v>
      </c>
      <c r="AC4" s="1391">
        <v>90579183</v>
      </c>
      <c r="AD4" s="169">
        <f t="shared" ref="AD4:AD67" si="13">+AC4/$AD$1*$AE$1</f>
        <v>90579.183000000005</v>
      </c>
      <c r="AG4" s="1390" t="s">
        <v>479</v>
      </c>
      <c r="AH4" s="1391">
        <v>1108223779</v>
      </c>
      <c r="AI4" s="1391">
        <v>209382544</v>
      </c>
      <c r="AJ4" s="1391">
        <v>209382544</v>
      </c>
      <c r="AK4" s="1391">
        <v>898841235</v>
      </c>
      <c r="AL4" s="1407">
        <f t="shared" ref="AL4:AL67" si="14">+AH4/$AN$1*$AO$1</f>
        <v>1108223.7790000001</v>
      </c>
      <c r="AM4" s="1407">
        <f t="shared" ref="AM4:AM67" si="15">+AI4/$AN$1*$AO$1</f>
        <v>209382.54399999999</v>
      </c>
      <c r="AN4" s="1407">
        <f t="shared" ref="AN4:AN67" si="16">+AJ4/$AN$1*$AO$1</f>
        <v>209382.54399999999</v>
      </c>
      <c r="AO4" s="1407">
        <f t="shared" ref="AO4:AO67" si="17">+AK4/$AN$1*$AO$1</f>
        <v>898841.23499999999</v>
      </c>
      <c r="AR4" s="1390" t="s">
        <v>479</v>
      </c>
      <c r="AS4" s="169">
        <v>58591032</v>
      </c>
      <c r="AT4" s="169">
        <f t="shared" ref="AT4:AT67" si="18">+AS4/$AS$1*$AT$1</f>
        <v>58591.031999999999</v>
      </c>
      <c r="AW4" s="1390" t="s">
        <v>479</v>
      </c>
      <c r="AX4" s="840">
        <v>1106741433</v>
      </c>
      <c r="AY4" s="840">
        <v>267973576</v>
      </c>
      <c r="AZ4" s="840">
        <v>267973576</v>
      </c>
      <c r="BA4" s="840">
        <v>838767857</v>
      </c>
      <c r="BB4" s="169">
        <f t="shared" ref="BB4:BB67" si="19">+AX4/$BD$1*$BE$1</f>
        <v>1106741.433</v>
      </c>
      <c r="BC4" s="169">
        <f t="shared" ref="BC4:BC67" si="20">+AY4/$BD$1*$BE$1</f>
        <v>267973.576</v>
      </c>
      <c r="BD4" s="169">
        <f t="shared" ref="BD4:BD67" si="21">+AZ4/$BD$1*$BE$1</f>
        <v>267973.576</v>
      </c>
      <c r="BE4" s="169">
        <f t="shared" ref="BE4:BE67" si="22">+BA4/$BD$1*$BE$1</f>
        <v>838767.85699999996</v>
      </c>
    </row>
    <row r="5" spans="1:57" ht="15" customHeight="1" x14ac:dyDescent="0.35">
      <c r="A5" s="841" t="s">
        <v>478</v>
      </c>
      <c r="B5" s="1115">
        <v>769096180</v>
      </c>
      <c r="C5" s="1115">
        <v>46500354</v>
      </c>
      <c r="D5" s="1115">
        <v>722595826</v>
      </c>
      <c r="E5" s="1115">
        <v>46500354</v>
      </c>
      <c r="F5" s="1115">
        <f t="shared" si="4"/>
        <v>769096.18</v>
      </c>
      <c r="G5" s="1115">
        <f t="shared" si="5"/>
        <v>46500.353999999999</v>
      </c>
      <c r="H5" s="1115">
        <f t="shared" si="6"/>
        <v>722595.826</v>
      </c>
      <c r="I5" s="1115">
        <f t="shared" si="7"/>
        <v>46500.353999999999</v>
      </c>
      <c r="L5" s="94" t="s">
        <v>478</v>
      </c>
      <c r="M5" s="840">
        <v>46500354</v>
      </c>
      <c r="N5" s="1115">
        <f t="shared" si="8"/>
        <v>46500.353999999999</v>
      </c>
      <c r="Q5" s="94" t="s">
        <v>478</v>
      </c>
      <c r="R5" s="840">
        <v>792328180</v>
      </c>
      <c r="S5" s="840">
        <v>93000708</v>
      </c>
      <c r="T5" s="840">
        <v>699327472</v>
      </c>
      <c r="U5" s="840">
        <v>93000708</v>
      </c>
      <c r="V5" s="169">
        <f t="shared" si="9"/>
        <v>792328.18</v>
      </c>
      <c r="W5" s="169">
        <f t="shared" si="10"/>
        <v>93000.707999999999</v>
      </c>
      <c r="X5" s="169">
        <f t="shared" si="11"/>
        <v>699327.47199999995</v>
      </c>
      <c r="Y5" s="169">
        <f t="shared" si="12"/>
        <v>93000.707999999999</v>
      </c>
      <c r="AB5" s="1390" t="s">
        <v>478</v>
      </c>
      <c r="AC5" s="1391">
        <v>63652010</v>
      </c>
      <c r="AD5" s="169">
        <f t="shared" si="13"/>
        <v>63652.01</v>
      </c>
      <c r="AG5" s="1390" t="s">
        <v>478</v>
      </c>
      <c r="AH5" s="1391">
        <v>792328180</v>
      </c>
      <c r="AI5" s="1391">
        <v>156652718</v>
      </c>
      <c r="AJ5" s="1391">
        <v>156652718</v>
      </c>
      <c r="AK5" s="1391">
        <v>635675462</v>
      </c>
      <c r="AL5" s="1407">
        <f t="shared" si="14"/>
        <v>792328.18</v>
      </c>
      <c r="AM5" s="1407">
        <f t="shared" si="15"/>
        <v>156652.71799999999</v>
      </c>
      <c r="AN5" s="1407">
        <f t="shared" si="16"/>
        <v>156652.71799999999</v>
      </c>
      <c r="AO5" s="1407">
        <f t="shared" si="17"/>
        <v>635675.46200000006</v>
      </c>
      <c r="AR5" s="1390" t="s">
        <v>478</v>
      </c>
      <c r="AS5" s="169">
        <v>46516705</v>
      </c>
      <c r="AT5" s="169">
        <f t="shared" si="18"/>
        <v>46516.705000000002</v>
      </c>
      <c r="AW5" s="1390" t="s">
        <v>478</v>
      </c>
      <c r="AX5" s="840">
        <v>792328180</v>
      </c>
      <c r="AY5" s="840">
        <v>203169423</v>
      </c>
      <c r="AZ5" s="840">
        <v>203169423</v>
      </c>
      <c r="BA5" s="840">
        <v>589158757</v>
      </c>
      <c r="BB5" s="169">
        <f t="shared" si="19"/>
        <v>792328.18</v>
      </c>
      <c r="BC5" s="169">
        <f t="shared" si="20"/>
        <v>203169.42300000001</v>
      </c>
      <c r="BD5" s="169">
        <f t="shared" si="21"/>
        <v>203169.42300000001</v>
      </c>
      <c r="BE5" s="169">
        <f t="shared" si="22"/>
        <v>589158.75699999998</v>
      </c>
    </row>
    <row r="6" spans="1:57" ht="15" customHeight="1" x14ac:dyDescent="0.35">
      <c r="A6" s="841" t="s">
        <v>477</v>
      </c>
      <c r="B6" s="1115">
        <v>144602905</v>
      </c>
      <c r="C6" s="1115">
        <v>9159988</v>
      </c>
      <c r="D6" s="1115">
        <v>135442917</v>
      </c>
      <c r="E6" s="1115">
        <v>9159988</v>
      </c>
      <c r="F6" s="1115">
        <f t="shared" si="4"/>
        <v>144602.905</v>
      </c>
      <c r="G6" s="1115">
        <f t="shared" si="5"/>
        <v>9159.9879999999994</v>
      </c>
      <c r="H6" s="1115">
        <f t="shared" si="6"/>
        <v>135442.91699999999</v>
      </c>
      <c r="I6" s="1115">
        <f t="shared" si="7"/>
        <v>9159.9879999999994</v>
      </c>
      <c r="L6" s="94" t="s">
        <v>477</v>
      </c>
      <c r="M6" s="840">
        <v>9159988</v>
      </c>
      <c r="N6" s="1115">
        <f t="shared" si="8"/>
        <v>9159.9879999999994</v>
      </c>
      <c r="Q6" s="94" t="s">
        <v>477</v>
      </c>
      <c r="R6" s="840">
        <v>144602905</v>
      </c>
      <c r="S6" s="840">
        <v>18319976</v>
      </c>
      <c r="T6" s="840">
        <v>126282929</v>
      </c>
      <c r="U6" s="840">
        <v>18319976</v>
      </c>
      <c r="V6" s="169">
        <f t="shared" si="9"/>
        <v>144602.905</v>
      </c>
      <c r="W6" s="169">
        <f t="shared" si="10"/>
        <v>18319.975999999999</v>
      </c>
      <c r="X6" s="169">
        <f t="shared" si="11"/>
        <v>126282.929</v>
      </c>
      <c r="Y6" s="169">
        <f t="shared" si="12"/>
        <v>18319.975999999999</v>
      </c>
      <c r="AB6" s="1390" t="s">
        <v>477</v>
      </c>
      <c r="AC6" s="1391">
        <v>9159988</v>
      </c>
      <c r="AD6" s="169">
        <f t="shared" si="13"/>
        <v>9159.9879999999994</v>
      </c>
      <c r="AG6" s="1390" t="s">
        <v>477</v>
      </c>
      <c r="AH6" s="1391">
        <v>144602905</v>
      </c>
      <c r="AI6" s="1391">
        <v>27479964</v>
      </c>
      <c r="AJ6" s="1391">
        <v>27479964</v>
      </c>
      <c r="AK6" s="1391">
        <v>117122941</v>
      </c>
      <c r="AL6" s="1407">
        <f t="shared" si="14"/>
        <v>144602.905</v>
      </c>
      <c r="AM6" s="1407">
        <f t="shared" si="15"/>
        <v>27479.964</v>
      </c>
      <c r="AN6" s="1407">
        <f t="shared" si="16"/>
        <v>27479.964</v>
      </c>
      <c r="AO6" s="1407">
        <f t="shared" si="17"/>
        <v>117122.94100000001</v>
      </c>
      <c r="AR6" s="1390" t="s">
        <v>477</v>
      </c>
      <c r="AS6" s="169">
        <v>9159988</v>
      </c>
      <c r="AT6" s="169">
        <f t="shared" si="18"/>
        <v>9159.9879999999994</v>
      </c>
      <c r="AW6" s="1390" t="s">
        <v>477</v>
      </c>
      <c r="AX6" s="840">
        <v>144602905</v>
      </c>
      <c r="AY6" s="840">
        <v>36639952</v>
      </c>
      <c r="AZ6" s="840">
        <v>36639952</v>
      </c>
      <c r="BA6" s="840">
        <v>107962953</v>
      </c>
      <c r="BB6" s="169">
        <f t="shared" si="19"/>
        <v>144602.905</v>
      </c>
      <c r="BC6" s="169">
        <f t="shared" si="20"/>
        <v>36639.951999999997</v>
      </c>
      <c r="BD6" s="169">
        <f t="shared" si="21"/>
        <v>36639.951999999997</v>
      </c>
      <c r="BE6" s="169">
        <f t="shared" si="22"/>
        <v>107962.95299999999</v>
      </c>
    </row>
    <row r="7" spans="1:57" ht="15" customHeight="1" x14ac:dyDescent="0.35">
      <c r="A7" s="841" t="s">
        <v>555</v>
      </c>
      <c r="B7" s="1115">
        <v>18480028</v>
      </c>
      <c r="C7" s="1115">
        <v>1260678</v>
      </c>
      <c r="D7" s="1115">
        <v>17219350</v>
      </c>
      <c r="E7" s="1115">
        <v>1260678</v>
      </c>
      <c r="F7" s="1115">
        <f t="shared" si="4"/>
        <v>18480.027999999998</v>
      </c>
      <c r="G7" s="1115">
        <f t="shared" si="5"/>
        <v>1260.6780000000001</v>
      </c>
      <c r="H7" s="1115">
        <f t="shared" si="6"/>
        <v>17219.349999999999</v>
      </c>
      <c r="I7" s="1115">
        <f t="shared" si="7"/>
        <v>1260.6780000000001</v>
      </c>
      <c r="L7" s="94" t="s">
        <v>555</v>
      </c>
      <c r="M7" s="840">
        <v>1260678</v>
      </c>
      <c r="N7" s="1115">
        <f t="shared" si="8"/>
        <v>1260.6780000000001</v>
      </c>
      <c r="Q7" s="94" t="s">
        <v>555</v>
      </c>
      <c r="R7" s="840">
        <v>18480028</v>
      </c>
      <c r="S7" s="840">
        <v>2521356</v>
      </c>
      <c r="T7" s="840">
        <v>15958672</v>
      </c>
      <c r="U7" s="840">
        <v>2521356</v>
      </c>
      <c r="V7" s="169">
        <f t="shared" si="9"/>
        <v>18480.027999999998</v>
      </c>
      <c r="W7" s="169">
        <f t="shared" si="10"/>
        <v>2521.3560000000002</v>
      </c>
      <c r="X7" s="169">
        <f t="shared" si="11"/>
        <v>15958.672</v>
      </c>
      <c r="Y7" s="169">
        <f t="shared" si="12"/>
        <v>2521.3560000000002</v>
      </c>
      <c r="AB7" s="1390" t="s">
        <v>555</v>
      </c>
      <c r="AC7" s="1391">
        <v>1260678</v>
      </c>
      <c r="AD7" s="169">
        <f t="shared" si="13"/>
        <v>1260.6780000000001</v>
      </c>
      <c r="AG7" s="1390" t="s">
        <v>555</v>
      </c>
      <c r="AH7" s="1391">
        <v>18480028</v>
      </c>
      <c r="AI7" s="1391">
        <v>3782034</v>
      </c>
      <c r="AJ7" s="1391">
        <v>3782034</v>
      </c>
      <c r="AK7" s="1391">
        <v>14697994</v>
      </c>
      <c r="AL7" s="1407">
        <f t="shared" si="14"/>
        <v>18480.027999999998</v>
      </c>
      <c r="AM7" s="1407">
        <f t="shared" si="15"/>
        <v>3782.0340000000001</v>
      </c>
      <c r="AN7" s="1407">
        <f t="shared" si="16"/>
        <v>3782.0340000000001</v>
      </c>
      <c r="AO7" s="1407">
        <f t="shared" si="17"/>
        <v>14697.994000000001</v>
      </c>
      <c r="AR7" s="1390" t="s">
        <v>555</v>
      </c>
      <c r="AS7" s="169">
        <v>1275142</v>
      </c>
      <c r="AT7" s="169">
        <f t="shared" si="18"/>
        <v>1275.1420000000001</v>
      </c>
      <c r="AW7" s="1390" t="s">
        <v>555</v>
      </c>
      <c r="AX7" s="840">
        <v>18480028</v>
      </c>
      <c r="AY7" s="840">
        <v>5057176</v>
      </c>
      <c r="AZ7" s="840">
        <v>5057176</v>
      </c>
      <c r="BA7" s="840">
        <v>13422852</v>
      </c>
      <c r="BB7" s="169">
        <f t="shared" si="19"/>
        <v>18480.027999999998</v>
      </c>
      <c r="BC7" s="169">
        <f t="shared" si="20"/>
        <v>5057.1760000000004</v>
      </c>
      <c r="BD7" s="169">
        <f t="shared" si="21"/>
        <v>5057.1760000000004</v>
      </c>
      <c r="BE7" s="169">
        <f t="shared" si="22"/>
        <v>13422.852000000001</v>
      </c>
    </row>
    <row r="8" spans="1:57" ht="15" customHeight="1" x14ac:dyDescent="0.35">
      <c r="A8" s="841" t="s">
        <v>476</v>
      </c>
      <c r="B8" s="1115">
        <v>100269412</v>
      </c>
      <c r="C8" s="1115">
        <v>6955489</v>
      </c>
      <c r="D8" s="1115">
        <v>93313923</v>
      </c>
      <c r="E8" s="1115">
        <v>6955489</v>
      </c>
      <c r="F8" s="1115">
        <f t="shared" si="4"/>
        <v>100269.412</v>
      </c>
      <c r="G8" s="1115">
        <f t="shared" si="5"/>
        <v>6955.4889999999996</v>
      </c>
      <c r="H8" s="1115">
        <f t="shared" si="6"/>
        <v>93313.922999999995</v>
      </c>
      <c r="I8" s="1115">
        <f t="shared" si="7"/>
        <v>6955.4889999999996</v>
      </c>
      <c r="L8" s="94" t="s">
        <v>476</v>
      </c>
      <c r="M8" s="840">
        <v>6955489</v>
      </c>
      <c r="N8" s="1115">
        <f t="shared" si="8"/>
        <v>6955.4889999999996</v>
      </c>
      <c r="Q8" s="94" t="s">
        <v>476</v>
      </c>
      <c r="R8" s="840">
        <v>100269412</v>
      </c>
      <c r="S8" s="840">
        <v>13910978</v>
      </c>
      <c r="T8" s="840">
        <v>86358434</v>
      </c>
      <c r="U8" s="840">
        <v>13910978</v>
      </c>
      <c r="V8" s="169">
        <f t="shared" si="9"/>
        <v>100269.412</v>
      </c>
      <c r="W8" s="169">
        <f t="shared" si="10"/>
        <v>13910.977999999999</v>
      </c>
      <c r="X8" s="169">
        <f t="shared" si="11"/>
        <v>86358.433999999994</v>
      </c>
      <c r="Y8" s="169">
        <f t="shared" si="12"/>
        <v>13910.977999999999</v>
      </c>
      <c r="AB8" s="1390" t="s">
        <v>476</v>
      </c>
      <c r="AC8" s="1391">
        <v>6955489</v>
      </c>
      <c r="AD8" s="169">
        <f t="shared" si="13"/>
        <v>6955.4889999999996</v>
      </c>
      <c r="AG8" s="1390" t="s">
        <v>476</v>
      </c>
      <c r="AH8" s="1391">
        <v>100269412</v>
      </c>
      <c r="AI8" s="1391">
        <v>20866467</v>
      </c>
      <c r="AJ8" s="1391">
        <v>20866467</v>
      </c>
      <c r="AK8" s="1391">
        <v>79402945</v>
      </c>
      <c r="AL8" s="1407">
        <f t="shared" si="14"/>
        <v>100269.412</v>
      </c>
      <c r="AM8" s="1407">
        <f t="shared" si="15"/>
        <v>20866.467000000001</v>
      </c>
      <c r="AN8" s="1407">
        <f t="shared" si="16"/>
        <v>20866.467000000001</v>
      </c>
      <c r="AO8" s="1407">
        <f t="shared" si="17"/>
        <v>79402.945000000007</v>
      </c>
      <c r="AR8" s="1390" t="s">
        <v>476</v>
      </c>
      <c r="AS8" s="169">
        <v>6955489</v>
      </c>
      <c r="AT8" s="169">
        <f t="shared" si="18"/>
        <v>6955.4889999999996</v>
      </c>
      <c r="AW8" s="1390" t="s">
        <v>476</v>
      </c>
      <c r="AX8" s="840">
        <v>100269412</v>
      </c>
      <c r="AY8" s="840">
        <v>27821956</v>
      </c>
      <c r="AZ8" s="840">
        <v>27821956</v>
      </c>
      <c r="BA8" s="840">
        <v>72447456</v>
      </c>
      <c r="BB8" s="169">
        <f t="shared" si="19"/>
        <v>100269.412</v>
      </c>
      <c r="BC8" s="169">
        <f t="shared" si="20"/>
        <v>27821.955999999998</v>
      </c>
      <c r="BD8" s="169">
        <f t="shared" si="21"/>
        <v>27821.955999999998</v>
      </c>
      <c r="BE8" s="169">
        <f t="shared" si="22"/>
        <v>72447.456000000006</v>
      </c>
    </row>
    <row r="9" spans="1:57" ht="15" customHeight="1" x14ac:dyDescent="0.35">
      <c r="A9" s="841" t="s">
        <v>556</v>
      </c>
      <c r="B9" s="1115">
        <v>9704836</v>
      </c>
      <c r="C9" s="1115">
        <v>778411</v>
      </c>
      <c r="D9" s="1115">
        <v>8926425</v>
      </c>
      <c r="E9" s="1115">
        <v>778411</v>
      </c>
      <c r="F9" s="1115">
        <f t="shared" si="4"/>
        <v>9704.8359999999993</v>
      </c>
      <c r="G9" s="1115">
        <f t="shared" si="5"/>
        <v>778.41099999999994</v>
      </c>
      <c r="H9" s="1115">
        <f t="shared" si="6"/>
        <v>8926.4249999999993</v>
      </c>
      <c r="I9" s="1115">
        <f t="shared" si="7"/>
        <v>778.41099999999994</v>
      </c>
      <c r="L9" s="94" t="s">
        <v>556</v>
      </c>
      <c r="M9" s="840">
        <v>778411</v>
      </c>
      <c r="N9" s="1115">
        <f t="shared" si="8"/>
        <v>778.41099999999994</v>
      </c>
      <c r="Q9" s="94" t="s">
        <v>556</v>
      </c>
      <c r="R9" s="840">
        <v>9704836</v>
      </c>
      <c r="S9" s="840">
        <v>1556822</v>
      </c>
      <c r="T9" s="840">
        <v>8148014</v>
      </c>
      <c r="U9" s="840">
        <v>1556822</v>
      </c>
      <c r="V9" s="169">
        <f t="shared" si="9"/>
        <v>9704.8359999999993</v>
      </c>
      <c r="W9" s="169">
        <f t="shared" si="10"/>
        <v>1556.8219999999999</v>
      </c>
      <c r="X9" s="169">
        <f t="shared" si="11"/>
        <v>8148.0140000000001</v>
      </c>
      <c r="Y9" s="169">
        <f t="shared" si="12"/>
        <v>1556.8219999999999</v>
      </c>
      <c r="AB9" s="1390" t="s">
        <v>556</v>
      </c>
      <c r="AC9" s="1391">
        <v>778411</v>
      </c>
      <c r="AD9" s="169">
        <f t="shared" si="13"/>
        <v>778.41099999999994</v>
      </c>
      <c r="AG9" s="1390" t="s">
        <v>556</v>
      </c>
      <c r="AH9" s="1391">
        <v>9704836</v>
      </c>
      <c r="AI9" s="1391">
        <v>2335233</v>
      </c>
      <c r="AJ9" s="1391">
        <v>2335233</v>
      </c>
      <c r="AK9" s="1391">
        <v>7369603</v>
      </c>
      <c r="AL9" s="1407">
        <f t="shared" si="14"/>
        <v>9704.8359999999993</v>
      </c>
      <c r="AM9" s="1407">
        <f t="shared" si="15"/>
        <v>2335.2330000000002</v>
      </c>
      <c r="AN9" s="1407">
        <f t="shared" si="16"/>
        <v>2335.2330000000002</v>
      </c>
      <c r="AO9" s="1407">
        <f t="shared" si="17"/>
        <v>7369.6030000000001</v>
      </c>
      <c r="AR9" s="1390" t="s">
        <v>556</v>
      </c>
      <c r="AS9" s="169">
        <v>778411</v>
      </c>
      <c r="AT9" s="169">
        <f t="shared" si="18"/>
        <v>778.41099999999994</v>
      </c>
      <c r="AW9" s="1390" t="s">
        <v>556</v>
      </c>
      <c r="AX9" s="840">
        <v>9704836</v>
      </c>
      <c r="AY9" s="840">
        <v>3113644</v>
      </c>
      <c r="AZ9" s="840">
        <v>3113644</v>
      </c>
      <c r="BA9" s="840">
        <v>6591192</v>
      </c>
      <c r="BB9" s="169">
        <f t="shared" si="19"/>
        <v>9704.8359999999993</v>
      </c>
      <c r="BC9" s="169">
        <f t="shared" si="20"/>
        <v>3113.6439999999998</v>
      </c>
      <c r="BD9" s="169">
        <f t="shared" si="21"/>
        <v>3113.6439999999998</v>
      </c>
      <c r="BE9" s="169">
        <f t="shared" si="22"/>
        <v>6591.192</v>
      </c>
    </row>
    <row r="10" spans="1:57" ht="15" customHeight="1" x14ac:dyDescent="0.35">
      <c r="A10" s="841" t="s">
        <v>557</v>
      </c>
      <c r="B10" s="1115">
        <v>3624196</v>
      </c>
      <c r="C10" s="1115">
        <v>177466</v>
      </c>
      <c r="D10" s="1115">
        <v>3446730</v>
      </c>
      <c r="E10" s="1115">
        <v>177466</v>
      </c>
      <c r="F10" s="1115">
        <f t="shared" si="4"/>
        <v>3624.1959999999999</v>
      </c>
      <c r="G10" s="1115">
        <f t="shared" si="5"/>
        <v>177.46600000000001</v>
      </c>
      <c r="H10" s="1115">
        <f t="shared" si="6"/>
        <v>3446.73</v>
      </c>
      <c r="I10" s="1115">
        <f t="shared" si="7"/>
        <v>177.46600000000001</v>
      </c>
      <c r="L10" s="94" t="s">
        <v>557</v>
      </c>
      <c r="M10" s="840">
        <v>177466</v>
      </c>
      <c r="N10" s="1115">
        <f t="shared" si="8"/>
        <v>177.46600000000001</v>
      </c>
      <c r="Q10" s="94" t="s">
        <v>557</v>
      </c>
      <c r="R10" s="840">
        <v>3624196</v>
      </c>
      <c r="S10" s="840">
        <v>354932</v>
      </c>
      <c r="T10" s="840">
        <v>3269264</v>
      </c>
      <c r="U10" s="840">
        <v>354932</v>
      </c>
      <c r="V10" s="169">
        <f t="shared" si="9"/>
        <v>3624.1959999999999</v>
      </c>
      <c r="W10" s="169">
        <f t="shared" si="10"/>
        <v>354.93200000000002</v>
      </c>
      <c r="X10" s="169">
        <f t="shared" si="11"/>
        <v>3269.2640000000001</v>
      </c>
      <c r="Y10" s="169">
        <f t="shared" si="12"/>
        <v>354.93200000000002</v>
      </c>
      <c r="AB10" s="1390" t="s">
        <v>557</v>
      </c>
      <c r="AC10" s="1391">
        <v>177466</v>
      </c>
      <c r="AD10" s="169">
        <f t="shared" si="13"/>
        <v>177.46600000000001</v>
      </c>
      <c r="AG10" s="1390" t="s">
        <v>557</v>
      </c>
      <c r="AH10" s="1391">
        <v>3624196</v>
      </c>
      <c r="AI10" s="1391">
        <v>532398</v>
      </c>
      <c r="AJ10" s="1391">
        <v>532398</v>
      </c>
      <c r="AK10" s="1391">
        <v>3091798</v>
      </c>
      <c r="AL10" s="1407">
        <f t="shared" si="14"/>
        <v>3624.1959999999999</v>
      </c>
      <c r="AM10" s="1407">
        <f t="shared" si="15"/>
        <v>532.39800000000002</v>
      </c>
      <c r="AN10" s="1407">
        <f t="shared" si="16"/>
        <v>532.39800000000002</v>
      </c>
      <c r="AO10" s="1407">
        <f t="shared" si="17"/>
        <v>3091.7979999999998</v>
      </c>
      <c r="AR10" s="1390" t="s">
        <v>557</v>
      </c>
      <c r="AS10" s="169">
        <v>177466</v>
      </c>
      <c r="AT10" s="169">
        <f t="shared" si="18"/>
        <v>177.46600000000001</v>
      </c>
      <c r="AW10" s="1390" t="s">
        <v>557</v>
      </c>
      <c r="AX10" s="840">
        <v>3624196</v>
      </c>
      <c r="AY10" s="840">
        <v>709864</v>
      </c>
      <c r="AZ10" s="840">
        <v>709864</v>
      </c>
      <c r="BA10" s="840">
        <v>2914332</v>
      </c>
      <c r="BB10" s="169">
        <f t="shared" si="19"/>
        <v>3624.1959999999999</v>
      </c>
      <c r="BC10" s="169">
        <f t="shared" si="20"/>
        <v>709.86400000000003</v>
      </c>
      <c r="BD10" s="169">
        <f t="shared" si="21"/>
        <v>709.86400000000003</v>
      </c>
      <c r="BE10" s="169">
        <f t="shared" si="22"/>
        <v>2914.3319999999999</v>
      </c>
    </row>
    <row r="11" spans="1:57" ht="15" customHeight="1" x14ac:dyDescent="0.35">
      <c r="A11" s="841" t="s">
        <v>558</v>
      </c>
      <c r="B11" s="1115">
        <v>63244340</v>
      </c>
      <c r="C11" s="1115">
        <v>3675880</v>
      </c>
      <c r="D11" s="1115">
        <v>59568460</v>
      </c>
      <c r="E11" s="1115">
        <v>3675880</v>
      </c>
      <c r="F11" s="1115">
        <f t="shared" si="4"/>
        <v>63244.34</v>
      </c>
      <c r="G11" s="1115">
        <f t="shared" si="5"/>
        <v>3675.88</v>
      </c>
      <c r="H11" s="1115">
        <f t="shared" si="6"/>
        <v>59568.46</v>
      </c>
      <c r="I11" s="1115">
        <f t="shared" si="7"/>
        <v>3675.88</v>
      </c>
      <c r="L11" s="94" t="s">
        <v>558</v>
      </c>
      <c r="M11" s="840">
        <v>3675880</v>
      </c>
      <c r="N11" s="1115">
        <f t="shared" si="8"/>
        <v>3675.88</v>
      </c>
      <c r="Q11" s="94" t="s">
        <v>558</v>
      </c>
      <c r="R11" s="840">
        <v>63244340</v>
      </c>
      <c r="S11" s="840">
        <v>7351760</v>
      </c>
      <c r="T11" s="840">
        <v>55892580</v>
      </c>
      <c r="U11" s="840">
        <v>7351760</v>
      </c>
      <c r="V11" s="169">
        <f t="shared" si="9"/>
        <v>63244.34</v>
      </c>
      <c r="W11" s="169">
        <f t="shared" si="10"/>
        <v>7351.76</v>
      </c>
      <c r="X11" s="169">
        <f t="shared" si="11"/>
        <v>55892.58</v>
      </c>
      <c r="Y11" s="169">
        <f t="shared" si="12"/>
        <v>7351.76</v>
      </c>
      <c r="AB11" s="1390" t="s">
        <v>558</v>
      </c>
      <c r="AC11" s="1391">
        <v>5318044</v>
      </c>
      <c r="AD11" s="169">
        <f t="shared" si="13"/>
        <v>5318.0439999999999</v>
      </c>
      <c r="AG11" s="1390" t="s">
        <v>558</v>
      </c>
      <c r="AH11" s="1391">
        <v>63244340</v>
      </c>
      <c r="AI11" s="1391">
        <v>12669804</v>
      </c>
      <c r="AJ11" s="1391">
        <v>12669804</v>
      </c>
      <c r="AK11" s="1391">
        <v>50574536</v>
      </c>
      <c r="AL11" s="1407">
        <f t="shared" si="14"/>
        <v>63244.34</v>
      </c>
      <c r="AM11" s="1407">
        <f t="shared" si="15"/>
        <v>12669.804</v>
      </c>
      <c r="AN11" s="1407">
        <f t="shared" si="16"/>
        <v>12669.804</v>
      </c>
      <c r="AO11" s="1407">
        <f t="shared" si="17"/>
        <v>50574.536</v>
      </c>
      <c r="AR11" s="1390" t="s">
        <v>558</v>
      </c>
      <c r="AS11" s="169">
        <v>3675880</v>
      </c>
      <c r="AT11" s="169">
        <f t="shared" si="18"/>
        <v>3675.88</v>
      </c>
      <c r="AW11" s="1390" t="s">
        <v>558</v>
      </c>
      <c r="AX11" s="840">
        <v>63244340</v>
      </c>
      <c r="AY11" s="840">
        <v>16345684</v>
      </c>
      <c r="AZ11" s="840">
        <v>16345684</v>
      </c>
      <c r="BA11" s="840">
        <v>46898656</v>
      </c>
      <c r="BB11" s="169">
        <f t="shared" si="19"/>
        <v>63244.34</v>
      </c>
      <c r="BC11" s="169">
        <f t="shared" si="20"/>
        <v>16345.683999999999</v>
      </c>
      <c r="BD11" s="169">
        <f t="shared" si="21"/>
        <v>16345.683999999999</v>
      </c>
      <c r="BE11" s="169">
        <f t="shared" si="22"/>
        <v>46898.656000000003</v>
      </c>
    </row>
    <row r="12" spans="1:57" ht="15" customHeight="1" x14ac:dyDescent="0.35">
      <c r="A12" s="841" t="s">
        <v>559</v>
      </c>
      <c r="B12" s="1115">
        <v>94261556</v>
      </c>
      <c r="C12" s="1115">
        <v>6082551</v>
      </c>
      <c r="D12" s="1115">
        <v>88179005</v>
      </c>
      <c r="E12" s="1115">
        <v>6082551</v>
      </c>
      <c r="F12" s="1115">
        <f t="shared" si="4"/>
        <v>94261.555999999997</v>
      </c>
      <c r="G12" s="1115">
        <f t="shared" si="5"/>
        <v>6082.5510000000004</v>
      </c>
      <c r="H12" s="1115">
        <f t="shared" si="6"/>
        <v>88179.005000000005</v>
      </c>
      <c r="I12" s="1115">
        <f t="shared" si="7"/>
        <v>6082.5510000000004</v>
      </c>
      <c r="L12" s="94" t="s">
        <v>559</v>
      </c>
      <c r="M12" s="840">
        <v>6082551</v>
      </c>
      <c r="N12" s="1115">
        <f t="shared" si="8"/>
        <v>6082.5510000000004</v>
      </c>
      <c r="Q12" s="94" t="s">
        <v>559</v>
      </c>
      <c r="R12" s="840">
        <v>94261556</v>
      </c>
      <c r="S12" s="840">
        <v>12165102</v>
      </c>
      <c r="T12" s="840">
        <v>82096454</v>
      </c>
      <c r="U12" s="840">
        <v>12165102</v>
      </c>
      <c r="V12" s="169">
        <f t="shared" si="9"/>
        <v>94261.555999999997</v>
      </c>
      <c r="W12" s="169">
        <f t="shared" si="10"/>
        <v>12165.102000000001</v>
      </c>
      <c r="X12" s="169">
        <f t="shared" si="11"/>
        <v>82096.453999999998</v>
      </c>
      <c r="Y12" s="169">
        <f t="shared" si="12"/>
        <v>12165.102000000001</v>
      </c>
      <c r="AB12" s="1390" t="s">
        <v>559</v>
      </c>
      <c r="AC12" s="1391">
        <v>6655745</v>
      </c>
      <c r="AD12" s="169">
        <f t="shared" si="13"/>
        <v>6655.7449999999999</v>
      </c>
      <c r="AG12" s="1390" t="s">
        <v>559</v>
      </c>
      <c r="AH12" s="1391">
        <v>94261556</v>
      </c>
      <c r="AI12" s="1391">
        <v>18820847</v>
      </c>
      <c r="AJ12" s="1391">
        <v>18820847</v>
      </c>
      <c r="AK12" s="1391">
        <v>75440709</v>
      </c>
      <c r="AL12" s="1407">
        <f t="shared" si="14"/>
        <v>94261.555999999997</v>
      </c>
      <c r="AM12" s="1407">
        <f t="shared" si="15"/>
        <v>18820.847000000002</v>
      </c>
      <c r="AN12" s="1407">
        <f t="shared" si="16"/>
        <v>18820.847000000002</v>
      </c>
      <c r="AO12" s="1407">
        <f t="shared" si="17"/>
        <v>75440.709000000003</v>
      </c>
      <c r="AR12" s="1390" t="s">
        <v>559</v>
      </c>
      <c r="AS12" s="169">
        <v>6084438</v>
      </c>
      <c r="AT12" s="169">
        <f t="shared" si="18"/>
        <v>6084.4380000000001</v>
      </c>
      <c r="AW12" s="1390" t="s">
        <v>559</v>
      </c>
      <c r="AX12" s="840">
        <v>94261556</v>
      </c>
      <c r="AY12" s="840">
        <v>24905285</v>
      </c>
      <c r="AZ12" s="840">
        <v>24905285</v>
      </c>
      <c r="BA12" s="840">
        <v>69356271</v>
      </c>
      <c r="BB12" s="169">
        <f t="shared" si="19"/>
        <v>94261.555999999997</v>
      </c>
      <c r="BC12" s="169">
        <f t="shared" si="20"/>
        <v>24905.285</v>
      </c>
      <c r="BD12" s="169">
        <f t="shared" si="21"/>
        <v>24905.285</v>
      </c>
      <c r="BE12" s="169">
        <f t="shared" si="22"/>
        <v>69356.270999999993</v>
      </c>
    </row>
    <row r="13" spans="1:57" ht="15" customHeight="1" x14ac:dyDescent="0.35">
      <c r="A13" s="841" t="s">
        <v>560</v>
      </c>
      <c r="B13" s="1115">
        <v>234364651</v>
      </c>
      <c r="C13" s="1115">
        <v>15443431</v>
      </c>
      <c r="D13" s="1115">
        <v>218921220</v>
      </c>
      <c r="E13" s="1115">
        <v>15443431</v>
      </c>
      <c r="F13" s="1115">
        <f t="shared" si="4"/>
        <v>234364.65100000001</v>
      </c>
      <c r="G13" s="1115">
        <f t="shared" si="5"/>
        <v>15443.431</v>
      </c>
      <c r="H13" s="1115">
        <f t="shared" si="6"/>
        <v>218921.22</v>
      </c>
      <c r="I13" s="1115">
        <f t="shared" si="7"/>
        <v>15443.431</v>
      </c>
      <c r="L13" s="94" t="s">
        <v>560</v>
      </c>
      <c r="M13" s="840">
        <v>15443431</v>
      </c>
      <c r="N13" s="1115">
        <f t="shared" si="8"/>
        <v>15443.431</v>
      </c>
      <c r="Q13" s="94" t="s">
        <v>560</v>
      </c>
      <c r="R13" s="840">
        <v>234364651</v>
      </c>
      <c r="S13" s="840">
        <v>30886862</v>
      </c>
      <c r="T13" s="840">
        <v>203477789</v>
      </c>
      <c r="U13" s="840">
        <v>30886862</v>
      </c>
      <c r="V13" s="169">
        <f t="shared" si="9"/>
        <v>234364.65100000001</v>
      </c>
      <c r="W13" s="169">
        <f t="shared" si="10"/>
        <v>30886.862000000001</v>
      </c>
      <c r="X13" s="169">
        <f t="shared" si="11"/>
        <v>203477.78899999999</v>
      </c>
      <c r="Y13" s="169">
        <f t="shared" si="12"/>
        <v>30886.862000000001</v>
      </c>
      <c r="AB13" s="1390" t="s">
        <v>560</v>
      </c>
      <c r="AC13" s="1391">
        <v>15443431</v>
      </c>
      <c r="AD13" s="169">
        <f t="shared" si="13"/>
        <v>15443.431</v>
      </c>
      <c r="AG13" s="1390" t="s">
        <v>560</v>
      </c>
      <c r="AH13" s="1391">
        <v>234364651</v>
      </c>
      <c r="AI13" s="1391">
        <v>46330293</v>
      </c>
      <c r="AJ13" s="1391">
        <v>46330293</v>
      </c>
      <c r="AK13" s="1391">
        <v>188034358</v>
      </c>
      <c r="AL13" s="1407">
        <f t="shared" si="14"/>
        <v>234364.65100000001</v>
      </c>
      <c r="AM13" s="1407">
        <f t="shared" si="15"/>
        <v>46330.292999999998</v>
      </c>
      <c r="AN13" s="1407">
        <f t="shared" si="16"/>
        <v>46330.292999999998</v>
      </c>
      <c r="AO13" s="1407">
        <f t="shared" si="17"/>
        <v>188034.35800000001</v>
      </c>
      <c r="AR13" s="1390" t="s">
        <v>560</v>
      </c>
      <c r="AS13" s="169">
        <v>15443431</v>
      </c>
      <c r="AT13" s="169">
        <f t="shared" si="18"/>
        <v>15443.431</v>
      </c>
      <c r="AW13" s="1390" t="s">
        <v>560</v>
      </c>
      <c r="AX13" s="840">
        <v>234364651</v>
      </c>
      <c r="AY13" s="840">
        <v>61773724</v>
      </c>
      <c r="AZ13" s="840">
        <v>61773724</v>
      </c>
      <c r="BA13" s="840">
        <v>172590927</v>
      </c>
      <c r="BB13" s="169">
        <f t="shared" si="19"/>
        <v>234364.65100000001</v>
      </c>
      <c r="BC13" s="169">
        <f t="shared" si="20"/>
        <v>61773.724000000002</v>
      </c>
      <c r="BD13" s="169">
        <f t="shared" si="21"/>
        <v>61773.724000000002</v>
      </c>
      <c r="BE13" s="169">
        <f t="shared" si="22"/>
        <v>172590.927</v>
      </c>
    </row>
    <row r="14" spans="1:57" ht="15" customHeight="1" x14ac:dyDescent="0.35">
      <c r="A14" s="841" t="s">
        <v>561</v>
      </c>
      <c r="B14" s="1115">
        <v>75479017</v>
      </c>
      <c r="C14" s="1115">
        <v>0</v>
      </c>
      <c r="D14" s="1115">
        <v>75479017</v>
      </c>
      <c r="E14" s="1115">
        <v>0</v>
      </c>
      <c r="F14" s="1115">
        <f t="shared" si="4"/>
        <v>75479.017000000007</v>
      </c>
      <c r="G14" s="1115">
        <f t="shared" si="5"/>
        <v>0</v>
      </c>
      <c r="H14" s="1115">
        <f t="shared" si="6"/>
        <v>75479.017000000007</v>
      </c>
      <c r="I14" s="1115">
        <f t="shared" si="7"/>
        <v>0</v>
      </c>
      <c r="L14" s="94" t="s">
        <v>562</v>
      </c>
      <c r="M14" s="840">
        <v>854460</v>
      </c>
      <c r="N14" s="1115">
        <f t="shared" si="8"/>
        <v>854.46</v>
      </c>
      <c r="Q14" s="94" t="s">
        <v>561</v>
      </c>
      <c r="R14" s="840">
        <v>75479017</v>
      </c>
      <c r="S14" s="840">
        <v>0</v>
      </c>
      <c r="T14" s="840">
        <v>75479017</v>
      </c>
      <c r="U14" s="840">
        <v>0</v>
      </c>
      <c r="V14" s="169">
        <f t="shared" si="9"/>
        <v>75479.017000000007</v>
      </c>
      <c r="W14" s="169">
        <f t="shared" si="10"/>
        <v>0</v>
      </c>
      <c r="X14" s="169">
        <f t="shared" si="11"/>
        <v>75479.017000000007</v>
      </c>
      <c r="Y14" s="169">
        <f t="shared" si="12"/>
        <v>0</v>
      </c>
      <c r="AB14" s="1390" t="s">
        <v>561</v>
      </c>
      <c r="AC14" s="1391">
        <v>14936298</v>
      </c>
      <c r="AD14" s="169">
        <f t="shared" si="13"/>
        <v>14936.298000000001</v>
      </c>
      <c r="AG14" s="1390" t="s">
        <v>561</v>
      </c>
      <c r="AH14" s="1391">
        <v>75479017</v>
      </c>
      <c r="AI14" s="1391">
        <v>14936298</v>
      </c>
      <c r="AJ14" s="1391">
        <v>14936298</v>
      </c>
      <c r="AK14" s="1391">
        <v>60542719</v>
      </c>
      <c r="AL14" s="1407">
        <f t="shared" si="14"/>
        <v>75479.017000000007</v>
      </c>
      <c r="AM14" s="1407">
        <f t="shared" si="15"/>
        <v>14936.298000000001</v>
      </c>
      <c r="AN14" s="1407">
        <f t="shared" si="16"/>
        <v>14936.298000000001</v>
      </c>
      <c r="AO14" s="1407">
        <f t="shared" si="17"/>
        <v>60542.718999999997</v>
      </c>
      <c r="AR14" s="1390" t="s">
        <v>561</v>
      </c>
      <c r="AS14" s="169">
        <v>0</v>
      </c>
      <c r="AT14" s="169">
        <f t="shared" si="18"/>
        <v>0</v>
      </c>
      <c r="AW14" s="1390" t="s">
        <v>561</v>
      </c>
      <c r="AX14" s="840">
        <v>75479017</v>
      </c>
      <c r="AY14" s="840">
        <v>14936298</v>
      </c>
      <c r="AZ14" s="840">
        <v>14936298</v>
      </c>
      <c r="BA14" s="840">
        <v>60542719</v>
      </c>
      <c r="BB14" s="169">
        <f t="shared" si="19"/>
        <v>75479.017000000007</v>
      </c>
      <c r="BC14" s="169">
        <f t="shared" si="20"/>
        <v>14936.298000000001</v>
      </c>
      <c r="BD14" s="169">
        <f t="shared" si="21"/>
        <v>14936.298000000001</v>
      </c>
      <c r="BE14" s="169">
        <f t="shared" si="22"/>
        <v>60542.718999999997</v>
      </c>
    </row>
    <row r="15" spans="1:57" ht="15" customHeight="1" x14ac:dyDescent="0.35">
      <c r="A15" s="841" t="s">
        <v>562</v>
      </c>
      <c r="B15" s="1115">
        <v>22953239</v>
      </c>
      <c r="C15" s="1115">
        <v>854460</v>
      </c>
      <c r="D15" s="1115">
        <v>22098779</v>
      </c>
      <c r="E15" s="1115">
        <v>854460</v>
      </c>
      <c r="F15" s="1115">
        <f t="shared" si="4"/>
        <v>22953.239000000001</v>
      </c>
      <c r="G15" s="1115">
        <f t="shared" si="5"/>
        <v>854.46</v>
      </c>
      <c r="H15" s="1115">
        <f t="shared" si="6"/>
        <v>22098.778999999999</v>
      </c>
      <c r="I15" s="1115">
        <f t="shared" si="7"/>
        <v>854.46</v>
      </c>
      <c r="L15" s="94" t="s">
        <v>991</v>
      </c>
      <c r="M15" s="840">
        <v>2112000</v>
      </c>
      <c r="N15" s="1115">
        <f t="shared" si="8"/>
        <v>2112</v>
      </c>
      <c r="Q15" s="94" t="s">
        <v>562</v>
      </c>
      <c r="R15" s="840">
        <v>22953239</v>
      </c>
      <c r="S15" s="840">
        <v>1708920</v>
      </c>
      <c r="T15" s="840">
        <v>21244319</v>
      </c>
      <c r="U15" s="840">
        <v>1708920</v>
      </c>
      <c r="V15" s="169">
        <f t="shared" si="9"/>
        <v>22953.239000000001</v>
      </c>
      <c r="W15" s="169">
        <f t="shared" si="10"/>
        <v>1708.92</v>
      </c>
      <c r="X15" s="169">
        <f t="shared" si="11"/>
        <v>21244.319</v>
      </c>
      <c r="Y15" s="169">
        <f t="shared" si="12"/>
        <v>1708.92</v>
      </c>
      <c r="AB15" s="1390" t="s">
        <v>562</v>
      </c>
      <c r="AC15" s="1391">
        <v>854460</v>
      </c>
      <c r="AD15" s="169">
        <f t="shared" si="13"/>
        <v>854.46</v>
      </c>
      <c r="AG15" s="1390" t="s">
        <v>562</v>
      </c>
      <c r="AH15" s="1391">
        <v>22953239</v>
      </c>
      <c r="AI15" s="1391">
        <v>2563380</v>
      </c>
      <c r="AJ15" s="1391">
        <v>2563380</v>
      </c>
      <c r="AK15" s="1391">
        <v>20389859</v>
      </c>
      <c r="AL15" s="1407">
        <f t="shared" si="14"/>
        <v>22953.239000000001</v>
      </c>
      <c r="AM15" s="1407">
        <f t="shared" si="15"/>
        <v>2563.38</v>
      </c>
      <c r="AN15" s="1407">
        <f t="shared" si="16"/>
        <v>2563.38</v>
      </c>
      <c r="AO15" s="1407">
        <f t="shared" si="17"/>
        <v>20389.859</v>
      </c>
      <c r="AR15" s="1390" t="s">
        <v>562</v>
      </c>
      <c r="AS15" s="169">
        <v>854460</v>
      </c>
      <c r="AT15" s="169">
        <f t="shared" si="18"/>
        <v>854.46</v>
      </c>
      <c r="AW15" s="1390" t="s">
        <v>562</v>
      </c>
      <c r="AX15" s="840">
        <v>22953239</v>
      </c>
      <c r="AY15" s="840">
        <v>3417840</v>
      </c>
      <c r="AZ15" s="840">
        <v>3417840</v>
      </c>
      <c r="BA15" s="840">
        <v>19535399</v>
      </c>
      <c r="BB15" s="169">
        <f t="shared" si="19"/>
        <v>22953.239000000001</v>
      </c>
      <c r="BC15" s="169">
        <f t="shared" si="20"/>
        <v>3417.84</v>
      </c>
      <c r="BD15" s="169">
        <f t="shared" si="21"/>
        <v>3417.84</v>
      </c>
      <c r="BE15" s="169">
        <f t="shared" si="22"/>
        <v>19535.399000000001</v>
      </c>
    </row>
    <row r="16" spans="1:57" ht="15" customHeight="1" x14ac:dyDescent="0.35">
      <c r="A16" s="841" t="s">
        <v>991</v>
      </c>
      <c r="B16" s="1115">
        <v>2112000</v>
      </c>
      <c r="C16" s="1115">
        <v>2112000</v>
      </c>
      <c r="D16" s="1115">
        <v>0</v>
      </c>
      <c r="E16" s="1115">
        <v>2112000</v>
      </c>
      <c r="F16" s="1115">
        <f t="shared" si="4"/>
        <v>2112</v>
      </c>
      <c r="G16" s="1115">
        <f t="shared" si="5"/>
        <v>2112</v>
      </c>
      <c r="H16" s="1115">
        <f t="shared" si="6"/>
        <v>0</v>
      </c>
      <c r="I16" s="1115">
        <f t="shared" si="7"/>
        <v>2112</v>
      </c>
      <c r="L16" s="94" t="s">
        <v>358</v>
      </c>
      <c r="M16" s="840">
        <v>1657172</v>
      </c>
      <c r="N16" s="1115">
        <f t="shared" si="8"/>
        <v>1657.172</v>
      </c>
      <c r="Q16" s="94" t="s">
        <v>991</v>
      </c>
      <c r="R16" s="840">
        <v>25344000</v>
      </c>
      <c r="S16" s="840">
        <v>4224000</v>
      </c>
      <c r="T16" s="840">
        <v>21120000</v>
      </c>
      <c r="U16" s="840">
        <v>4224000</v>
      </c>
      <c r="V16" s="169">
        <f t="shared" si="9"/>
        <v>25344</v>
      </c>
      <c r="W16" s="169">
        <f t="shared" si="10"/>
        <v>4224</v>
      </c>
      <c r="X16" s="169">
        <f t="shared" si="11"/>
        <v>21120</v>
      </c>
      <c r="Y16" s="169">
        <f t="shared" si="12"/>
        <v>4224</v>
      </c>
      <c r="AB16" s="1390" t="s">
        <v>991</v>
      </c>
      <c r="AC16" s="1391">
        <v>2112000</v>
      </c>
      <c r="AD16" s="169">
        <f t="shared" si="13"/>
        <v>2112</v>
      </c>
      <c r="AG16" s="1390" t="s">
        <v>991</v>
      </c>
      <c r="AH16" s="1391">
        <v>25344000</v>
      </c>
      <c r="AI16" s="1391">
        <v>6336000</v>
      </c>
      <c r="AJ16" s="1391">
        <v>6336000</v>
      </c>
      <c r="AK16" s="1391">
        <v>19008000</v>
      </c>
      <c r="AL16" s="1407">
        <f t="shared" si="14"/>
        <v>25344</v>
      </c>
      <c r="AM16" s="1407">
        <f t="shared" si="15"/>
        <v>6336</v>
      </c>
      <c r="AN16" s="1407">
        <f t="shared" si="16"/>
        <v>6336</v>
      </c>
      <c r="AO16" s="1407">
        <f t="shared" si="17"/>
        <v>19008</v>
      </c>
      <c r="AR16" s="1390" t="s">
        <v>991</v>
      </c>
      <c r="AS16" s="169">
        <v>2112000</v>
      </c>
      <c r="AT16" s="169">
        <f t="shared" si="18"/>
        <v>2112</v>
      </c>
      <c r="AW16" s="1390" t="s">
        <v>991</v>
      </c>
      <c r="AX16" s="840">
        <v>25344000</v>
      </c>
      <c r="AY16" s="840">
        <v>8448000</v>
      </c>
      <c r="AZ16" s="840">
        <v>8448000</v>
      </c>
      <c r="BA16" s="840">
        <v>16896000</v>
      </c>
      <c r="BB16" s="169">
        <f t="shared" si="19"/>
        <v>25344</v>
      </c>
      <c r="BC16" s="169">
        <f t="shared" si="20"/>
        <v>8448</v>
      </c>
      <c r="BD16" s="169">
        <f t="shared" si="21"/>
        <v>8448</v>
      </c>
      <c r="BE16" s="169">
        <f t="shared" si="22"/>
        <v>16896</v>
      </c>
    </row>
    <row r="17" spans="1:57" ht="15" customHeight="1" x14ac:dyDescent="0.35">
      <c r="A17" s="841" t="s">
        <v>923</v>
      </c>
      <c r="B17" s="1115">
        <v>0</v>
      </c>
      <c r="C17" s="1115">
        <v>0</v>
      </c>
      <c r="D17" s="1115">
        <v>0</v>
      </c>
      <c r="E17" s="1115">
        <v>0</v>
      </c>
      <c r="F17" s="1115">
        <f t="shared" si="4"/>
        <v>0</v>
      </c>
      <c r="G17" s="1115">
        <f t="shared" si="5"/>
        <v>0</v>
      </c>
      <c r="H17" s="1115">
        <f t="shared" si="6"/>
        <v>0</v>
      </c>
      <c r="I17" s="1115">
        <f t="shared" si="7"/>
        <v>0</v>
      </c>
      <c r="L17" s="94" t="s">
        <v>563</v>
      </c>
      <c r="M17" s="840">
        <v>126100</v>
      </c>
      <c r="N17" s="1115">
        <f t="shared" si="8"/>
        <v>126.1</v>
      </c>
      <c r="Q17" s="94" t="s">
        <v>923</v>
      </c>
      <c r="R17" s="840">
        <v>0</v>
      </c>
      <c r="S17" s="840">
        <v>0</v>
      </c>
      <c r="T17" s="840">
        <v>0</v>
      </c>
      <c r="U17" s="840">
        <v>0</v>
      </c>
      <c r="V17" s="169">
        <f t="shared" si="9"/>
        <v>0</v>
      </c>
      <c r="W17" s="169">
        <f t="shared" si="10"/>
        <v>0</v>
      </c>
      <c r="X17" s="169">
        <f t="shared" si="11"/>
        <v>0</v>
      </c>
      <c r="Y17" s="169">
        <f t="shared" si="12"/>
        <v>0</v>
      </c>
      <c r="AB17" s="1390" t="s">
        <v>358</v>
      </c>
      <c r="AC17" s="1391">
        <v>1990904</v>
      </c>
      <c r="AD17" s="169">
        <f t="shared" si="13"/>
        <v>1990.904</v>
      </c>
      <c r="AG17" s="1390" t="s">
        <v>923</v>
      </c>
      <c r="AH17" s="1391">
        <v>0</v>
      </c>
      <c r="AI17" s="1391">
        <v>0</v>
      </c>
      <c r="AJ17" s="1391">
        <v>0</v>
      </c>
      <c r="AK17" s="1391">
        <v>0</v>
      </c>
      <c r="AL17" s="1407">
        <f t="shared" si="14"/>
        <v>0</v>
      </c>
      <c r="AM17" s="1407">
        <f t="shared" si="15"/>
        <v>0</v>
      </c>
      <c r="AN17" s="1407">
        <f t="shared" si="16"/>
        <v>0</v>
      </c>
      <c r="AO17" s="1407">
        <f t="shared" si="17"/>
        <v>0</v>
      </c>
      <c r="AR17" s="1390" t="s">
        <v>358</v>
      </c>
      <c r="AS17" s="169">
        <v>1560926</v>
      </c>
      <c r="AT17" s="169">
        <f t="shared" si="18"/>
        <v>1560.9259999999999</v>
      </c>
      <c r="AW17" s="1390" t="s">
        <v>923</v>
      </c>
      <c r="AX17" s="840">
        <v>0</v>
      </c>
      <c r="AY17" s="840">
        <v>0</v>
      </c>
      <c r="AZ17" s="840">
        <v>0</v>
      </c>
      <c r="BA17" s="840">
        <v>0</v>
      </c>
      <c r="BB17" s="169">
        <f t="shared" si="19"/>
        <v>0</v>
      </c>
      <c r="BC17" s="169">
        <f t="shared" si="20"/>
        <v>0</v>
      </c>
      <c r="BD17" s="169">
        <f t="shared" si="21"/>
        <v>0</v>
      </c>
      <c r="BE17" s="169">
        <f t="shared" si="22"/>
        <v>0</v>
      </c>
    </row>
    <row r="18" spans="1:57" ht="15" customHeight="1" x14ac:dyDescent="0.35">
      <c r="A18" s="841" t="s">
        <v>358</v>
      </c>
      <c r="B18" s="1115">
        <v>31358285</v>
      </c>
      <c r="C18" s="1115">
        <v>1522957</v>
      </c>
      <c r="D18" s="1115">
        <v>29835328</v>
      </c>
      <c r="E18" s="1115">
        <v>1522957</v>
      </c>
      <c r="F18" s="1115">
        <f t="shared" si="4"/>
        <v>31358.285</v>
      </c>
      <c r="G18" s="1115">
        <f t="shared" si="5"/>
        <v>1522.9570000000001</v>
      </c>
      <c r="H18" s="1115">
        <f t="shared" si="6"/>
        <v>29835.328000000001</v>
      </c>
      <c r="I18" s="1115">
        <f t="shared" si="7"/>
        <v>1522.9570000000001</v>
      </c>
      <c r="L18" s="94" t="s">
        <v>564</v>
      </c>
      <c r="M18" s="840">
        <v>1531072</v>
      </c>
      <c r="N18" s="1115">
        <f t="shared" si="8"/>
        <v>1531.0719999999999</v>
      </c>
      <c r="Q18" s="94" t="s">
        <v>358</v>
      </c>
      <c r="R18" s="840">
        <v>31358285</v>
      </c>
      <c r="S18" s="840">
        <v>3180129</v>
      </c>
      <c r="T18" s="840">
        <v>28178156</v>
      </c>
      <c r="U18" s="840">
        <v>3180129</v>
      </c>
      <c r="V18" s="169">
        <f t="shared" si="9"/>
        <v>31358.285</v>
      </c>
      <c r="W18" s="169">
        <f t="shared" si="10"/>
        <v>3180.1289999999999</v>
      </c>
      <c r="X18" s="169">
        <f t="shared" si="11"/>
        <v>28178.155999999999</v>
      </c>
      <c r="Y18" s="169">
        <f t="shared" si="12"/>
        <v>3180.1289999999999</v>
      </c>
      <c r="AB18" s="1390" t="s">
        <v>563</v>
      </c>
      <c r="AC18" s="1391">
        <v>252200</v>
      </c>
      <c r="AD18" s="169">
        <f t="shared" si="13"/>
        <v>252.2</v>
      </c>
      <c r="AG18" s="1390" t="s">
        <v>358</v>
      </c>
      <c r="AH18" s="1391">
        <v>31358285</v>
      </c>
      <c r="AI18" s="1391">
        <v>5171033</v>
      </c>
      <c r="AJ18" s="1391">
        <v>5171033</v>
      </c>
      <c r="AK18" s="1391">
        <v>26187252</v>
      </c>
      <c r="AL18" s="1407">
        <f t="shared" si="14"/>
        <v>31358.285</v>
      </c>
      <c r="AM18" s="1407">
        <f t="shared" si="15"/>
        <v>5171.0330000000004</v>
      </c>
      <c r="AN18" s="1407">
        <f t="shared" si="16"/>
        <v>5171.0330000000004</v>
      </c>
      <c r="AO18" s="1407">
        <f t="shared" si="17"/>
        <v>26187.252</v>
      </c>
      <c r="AR18" s="1390" t="s">
        <v>564</v>
      </c>
      <c r="AS18" s="169">
        <v>1560926</v>
      </c>
      <c r="AT18" s="169">
        <f t="shared" si="18"/>
        <v>1560.9259999999999</v>
      </c>
      <c r="AW18" s="1390" t="s">
        <v>358</v>
      </c>
      <c r="AX18" s="840">
        <v>31358285</v>
      </c>
      <c r="AY18" s="840">
        <v>6731959</v>
      </c>
      <c r="AZ18" s="840">
        <v>6731959</v>
      </c>
      <c r="BA18" s="840">
        <v>24626326</v>
      </c>
      <c r="BB18" s="169">
        <f t="shared" si="19"/>
        <v>31358.285</v>
      </c>
      <c r="BC18" s="169">
        <f t="shared" si="20"/>
        <v>6731.9589999999998</v>
      </c>
      <c r="BD18" s="169">
        <f t="shared" si="21"/>
        <v>6731.9589999999998</v>
      </c>
      <c r="BE18" s="169">
        <f t="shared" si="22"/>
        <v>24626.326000000001</v>
      </c>
    </row>
    <row r="19" spans="1:57" ht="15" customHeight="1" x14ac:dyDescent="0.35">
      <c r="A19" s="841" t="s">
        <v>563</v>
      </c>
      <c r="B19" s="1115">
        <v>7117165</v>
      </c>
      <c r="C19" s="1115">
        <v>0</v>
      </c>
      <c r="D19" s="1115">
        <v>7117165</v>
      </c>
      <c r="E19" s="1115">
        <v>0</v>
      </c>
      <c r="F19" s="1115">
        <f t="shared" si="4"/>
        <v>7117.165</v>
      </c>
      <c r="G19" s="1115">
        <f t="shared" si="5"/>
        <v>0</v>
      </c>
      <c r="H19" s="1115">
        <f t="shared" si="6"/>
        <v>7117.165</v>
      </c>
      <c r="I19" s="1115">
        <f t="shared" si="7"/>
        <v>0</v>
      </c>
      <c r="L19" s="94" t="s">
        <v>360</v>
      </c>
      <c r="M19" s="840">
        <v>12230030</v>
      </c>
      <c r="N19" s="1115">
        <f t="shared" si="8"/>
        <v>12230.03</v>
      </c>
      <c r="Q19" s="94" t="s">
        <v>563</v>
      </c>
      <c r="R19" s="840">
        <v>7117165</v>
      </c>
      <c r="S19" s="840">
        <v>126100</v>
      </c>
      <c r="T19" s="840">
        <v>6991065</v>
      </c>
      <c r="U19" s="840">
        <v>126100</v>
      </c>
      <c r="V19" s="169">
        <f t="shared" si="9"/>
        <v>7117.165</v>
      </c>
      <c r="W19" s="169">
        <f t="shared" si="10"/>
        <v>126.1</v>
      </c>
      <c r="X19" s="169">
        <f t="shared" si="11"/>
        <v>6991.0649999999996</v>
      </c>
      <c r="Y19" s="169">
        <f t="shared" si="12"/>
        <v>126.1</v>
      </c>
      <c r="AB19" s="1390" t="s">
        <v>564</v>
      </c>
      <c r="AC19" s="1391">
        <v>1738704</v>
      </c>
      <c r="AD19" s="169">
        <f t="shared" si="13"/>
        <v>1738.704</v>
      </c>
      <c r="AG19" s="1390" t="s">
        <v>563</v>
      </c>
      <c r="AH19" s="1391">
        <v>7117165</v>
      </c>
      <c r="AI19" s="1391">
        <v>378300</v>
      </c>
      <c r="AJ19" s="1391">
        <v>378300</v>
      </c>
      <c r="AK19" s="1391">
        <v>6738865</v>
      </c>
      <c r="AL19" s="1407">
        <f t="shared" si="14"/>
        <v>7117.165</v>
      </c>
      <c r="AM19" s="1407">
        <f t="shared" si="15"/>
        <v>378.3</v>
      </c>
      <c r="AN19" s="1407">
        <f t="shared" si="16"/>
        <v>378.3</v>
      </c>
      <c r="AO19" s="1407">
        <f t="shared" si="17"/>
        <v>6738.8649999999998</v>
      </c>
      <c r="AR19" s="1390" t="s">
        <v>565</v>
      </c>
      <c r="AS19" s="169">
        <v>0</v>
      </c>
      <c r="AT19" s="169">
        <f t="shared" si="18"/>
        <v>0</v>
      </c>
      <c r="AW19" s="1390" t="s">
        <v>563</v>
      </c>
      <c r="AX19" s="840">
        <v>7117165</v>
      </c>
      <c r="AY19" s="840">
        <v>378300</v>
      </c>
      <c r="AZ19" s="840">
        <v>378300</v>
      </c>
      <c r="BA19" s="840">
        <v>6738865</v>
      </c>
      <c r="BB19" s="169">
        <f t="shared" si="19"/>
        <v>7117.165</v>
      </c>
      <c r="BC19" s="169">
        <f t="shared" si="20"/>
        <v>378.3</v>
      </c>
      <c r="BD19" s="169">
        <f t="shared" si="21"/>
        <v>378.3</v>
      </c>
      <c r="BE19" s="169">
        <f t="shared" si="22"/>
        <v>6738.8649999999998</v>
      </c>
    </row>
    <row r="20" spans="1:57" ht="15" customHeight="1" x14ac:dyDescent="0.35">
      <c r="A20" s="841" t="s">
        <v>564</v>
      </c>
      <c r="B20" s="1115">
        <v>24241120</v>
      </c>
      <c r="C20" s="1115">
        <v>1522957</v>
      </c>
      <c r="D20" s="1115">
        <v>22718163</v>
      </c>
      <c r="E20" s="1115">
        <v>1522957</v>
      </c>
      <c r="F20" s="1115">
        <f t="shared" si="4"/>
        <v>24241.119999999999</v>
      </c>
      <c r="G20" s="1115">
        <f t="shared" si="5"/>
        <v>1522.9570000000001</v>
      </c>
      <c r="H20" s="1115">
        <f t="shared" si="6"/>
        <v>22718.163</v>
      </c>
      <c r="I20" s="1115">
        <f t="shared" si="7"/>
        <v>1522.9570000000001</v>
      </c>
      <c r="L20" s="94" t="s">
        <v>567</v>
      </c>
      <c r="M20" s="840">
        <v>9889322</v>
      </c>
      <c r="N20" s="1115">
        <f t="shared" si="8"/>
        <v>9889.3220000000001</v>
      </c>
      <c r="Q20" s="94" t="s">
        <v>564</v>
      </c>
      <c r="R20" s="840">
        <v>24241120</v>
      </c>
      <c r="S20" s="840">
        <v>3054029</v>
      </c>
      <c r="T20" s="840">
        <v>21187091</v>
      </c>
      <c r="U20" s="840">
        <v>3054029</v>
      </c>
      <c r="V20" s="169">
        <f t="shared" si="9"/>
        <v>24241.119999999999</v>
      </c>
      <c r="W20" s="169">
        <f t="shared" si="10"/>
        <v>3054.029</v>
      </c>
      <c r="X20" s="169">
        <f t="shared" si="11"/>
        <v>21187.091</v>
      </c>
      <c r="Y20" s="169">
        <f t="shared" si="12"/>
        <v>3054.029</v>
      </c>
      <c r="AB20" s="1390" t="s">
        <v>565</v>
      </c>
      <c r="AC20" s="1391">
        <v>14313438</v>
      </c>
      <c r="AD20" s="169">
        <f t="shared" si="13"/>
        <v>14313.438</v>
      </c>
      <c r="AG20" s="1390" t="s">
        <v>564</v>
      </c>
      <c r="AH20" s="1391">
        <v>24241120</v>
      </c>
      <c r="AI20" s="1391">
        <v>4792733</v>
      </c>
      <c r="AJ20" s="1391">
        <v>4792733</v>
      </c>
      <c r="AK20" s="1391">
        <v>19448387</v>
      </c>
      <c r="AL20" s="1407">
        <f t="shared" si="14"/>
        <v>24241.119999999999</v>
      </c>
      <c r="AM20" s="1407">
        <f t="shared" si="15"/>
        <v>4792.7330000000002</v>
      </c>
      <c r="AN20" s="1407">
        <f t="shared" si="16"/>
        <v>4792.7330000000002</v>
      </c>
      <c r="AO20" s="1407">
        <f t="shared" si="17"/>
        <v>19448.386999999999</v>
      </c>
      <c r="AR20" s="1390" t="s">
        <v>566</v>
      </c>
      <c r="AS20" s="169">
        <v>0</v>
      </c>
      <c r="AT20" s="169">
        <f t="shared" si="18"/>
        <v>0</v>
      </c>
      <c r="AW20" s="1390" t="s">
        <v>564</v>
      </c>
      <c r="AX20" s="840">
        <v>24241120</v>
      </c>
      <c r="AY20" s="840">
        <v>6353659</v>
      </c>
      <c r="AZ20" s="840">
        <v>6353659</v>
      </c>
      <c r="BA20" s="840">
        <v>17887461</v>
      </c>
      <c r="BB20" s="169">
        <f t="shared" si="19"/>
        <v>24241.119999999999</v>
      </c>
      <c r="BC20" s="169">
        <f t="shared" si="20"/>
        <v>6353.6589999999997</v>
      </c>
      <c r="BD20" s="169">
        <f t="shared" si="21"/>
        <v>6353.6589999999997</v>
      </c>
      <c r="BE20" s="169">
        <f t="shared" si="22"/>
        <v>17887.460999999999</v>
      </c>
    </row>
    <row r="21" spans="1:57" ht="15" customHeight="1" x14ac:dyDescent="0.35">
      <c r="A21" s="841" t="s">
        <v>565</v>
      </c>
      <c r="B21" s="1115">
        <v>73869234</v>
      </c>
      <c r="C21" s="1115">
        <v>0</v>
      </c>
      <c r="D21" s="1115">
        <v>73869234</v>
      </c>
      <c r="E21" s="1115">
        <v>0</v>
      </c>
      <c r="F21" s="1115">
        <f t="shared" si="4"/>
        <v>73869.233999999997</v>
      </c>
      <c r="G21" s="1115">
        <f t="shared" si="5"/>
        <v>0</v>
      </c>
      <c r="H21" s="1115">
        <f t="shared" si="6"/>
        <v>73869.233999999997</v>
      </c>
      <c r="I21" s="1115">
        <f t="shared" si="7"/>
        <v>0</v>
      </c>
      <c r="L21" s="94" t="s">
        <v>568</v>
      </c>
      <c r="M21" s="840">
        <v>29255</v>
      </c>
      <c r="N21" s="1115">
        <f t="shared" si="8"/>
        <v>29.254999999999999</v>
      </c>
      <c r="Q21" s="94" t="s">
        <v>565</v>
      </c>
      <c r="R21" s="840">
        <v>73869234</v>
      </c>
      <c r="S21" s="840">
        <v>0</v>
      </c>
      <c r="T21" s="840">
        <v>73869234</v>
      </c>
      <c r="U21" s="840">
        <v>0</v>
      </c>
      <c r="V21" s="169">
        <f t="shared" si="9"/>
        <v>73869.233999999997</v>
      </c>
      <c r="W21" s="169">
        <f t="shared" si="10"/>
        <v>0</v>
      </c>
      <c r="X21" s="169">
        <f t="shared" si="11"/>
        <v>73869.233999999997</v>
      </c>
      <c r="Y21" s="169">
        <f t="shared" si="12"/>
        <v>0</v>
      </c>
      <c r="AB21" s="1390" t="s">
        <v>566</v>
      </c>
      <c r="AC21" s="1391">
        <v>7218003</v>
      </c>
      <c r="AD21" s="169">
        <f t="shared" si="13"/>
        <v>7218.0029999999997</v>
      </c>
      <c r="AG21" s="1390" t="s">
        <v>565</v>
      </c>
      <c r="AH21" s="1391">
        <v>73869234</v>
      </c>
      <c r="AI21" s="1391">
        <v>14313438</v>
      </c>
      <c r="AJ21" s="1391">
        <v>14313438</v>
      </c>
      <c r="AK21" s="1391">
        <v>59555796</v>
      </c>
      <c r="AL21" s="1407">
        <f t="shared" si="14"/>
        <v>73869.233999999997</v>
      </c>
      <c r="AM21" s="1407">
        <f t="shared" si="15"/>
        <v>14313.438</v>
      </c>
      <c r="AN21" s="1407">
        <f t="shared" si="16"/>
        <v>14313.438</v>
      </c>
      <c r="AO21" s="1407">
        <f t="shared" si="17"/>
        <v>59555.796000000002</v>
      </c>
      <c r="AR21" s="1390" t="s">
        <v>359</v>
      </c>
      <c r="AS21" s="169">
        <v>0</v>
      </c>
      <c r="AT21" s="169">
        <f t="shared" si="18"/>
        <v>0</v>
      </c>
      <c r="AW21" s="1390" t="s">
        <v>565</v>
      </c>
      <c r="AX21" s="840">
        <v>73869234</v>
      </c>
      <c r="AY21" s="840">
        <v>14313438</v>
      </c>
      <c r="AZ21" s="840">
        <v>14313438</v>
      </c>
      <c r="BA21" s="840">
        <v>59555796</v>
      </c>
      <c r="BB21" s="169">
        <f t="shared" si="19"/>
        <v>73869.233999999997</v>
      </c>
      <c r="BC21" s="169">
        <f t="shared" si="20"/>
        <v>14313.438</v>
      </c>
      <c r="BD21" s="169">
        <f t="shared" si="21"/>
        <v>14313.438</v>
      </c>
      <c r="BE21" s="169">
        <f t="shared" si="22"/>
        <v>59555.796000000002</v>
      </c>
    </row>
    <row r="22" spans="1:57" ht="15" customHeight="1" x14ac:dyDescent="0.35">
      <c r="A22" s="841" t="s">
        <v>566</v>
      </c>
      <c r="B22" s="1115">
        <v>36552784</v>
      </c>
      <c r="C22" s="1115">
        <v>0</v>
      </c>
      <c r="D22" s="1115">
        <v>36552784</v>
      </c>
      <c r="E22" s="1115">
        <v>0</v>
      </c>
      <c r="F22" s="1115">
        <f t="shared" si="4"/>
        <v>36552.784</v>
      </c>
      <c r="G22" s="1115">
        <f t="shared" si="5"/>
        <v>0</v>
      </c>
      <c r="H22" s="1115">
        <f t="shared" si="6"/>
        <v>36552.784</v>
      </c>
      <c r="I22" s="1115">
        <f t="shared" si="7"/>
        <v>0</v>
      </c>
      <c r="L22" s="94" t="s">
        <v>623</v>
      </c>
      <c r="M22" s="840">
        <v>2311453</v>
      </c>
      <c r="N22" s="1115">
        <f t="shared" si="8"/>
        <v>2311.453</v>
      </c>
      <c r="Q22" s="94" t="s">
        <v>566</v>
      </c>
      <c r="R22" s="840">
        <v>36552784</v>
      </c>
      <c r="S22" s="840">
        <v>0</v>
      </c>
      <c r="T22" s="840">
        <v>36552784</v>
      </c>
      <c r="U22" s="840">
        <v>0</v>
      </c>
      <c r="V22" s="169">
        <f t="shared" si="9"/>
        <v>36552.784</v>
      </c>
      <c r="W22" s="169">
        <f t="shared" si="10"/>
        <v>0</v>
      </c>
      <c r="X22" s="169">
        <f t="shared" si="11"/>
        <v>36552.784</v>
      </c>
      <c r="Y22" s="169">
        <f t="shared" si="12"/>
        <v>0</v>
      </c>
      <c r="AB22" s="1390" t="s">
        <v>359</v>
      </c>
      <c r="AC22" s="1391">
        <v>7095435</v>
      </c>
      <c r="AD22" s="169">
        <f t="shared" si="13"/>
        <v>7095.4350000000004</v>
      </c>
      <c r="AG22" s="1390" t="s">
        <v>566</v>
      </c>
      <c r="AH22" s="1391">
        <v>36552784</v>
      </c>
      <c r="AI22" s="1391">
        <v>7218003</v>
      </c>
      <c r="AJ22" s="1391">
        <v>7218003</v>
      </c>
      <c r="AK22" s="1391">
        <v>29334781</v>
      </c>
      <c r="AL22" s="1407">
        <f t="shared" si="14"/>
        <v>36552.784</v>
      </c>
      <c r="AM22" s="1407">
        <f t="shared" si="15"/>
        <v>7218.0029999999997</v>
      </c>
      <c r="AN22" s="1407">
        <f t="shared" si="16"/>
        <v>7218.0029999999997</v>
      </c>
      <c r="AO22" s="1407">
        <f t="shared" si="17"/>
        <v>29334.780999999999</v>
      </c>
      <c r="AR22" s="1390" t="s">
        <v>360</v>
      </c>
      <c r="AS22" s="169">
        <v>10513401</v>
      </c>
      <c r="AT22" s="169">
        <f t="shared" si="18"/>
        <v>10513.401</v>
      </c>
      <c r="AW22" s="1390" t="s">
        <v>566</v>
      </c>
      <c r="AX22" s="840">
        <v>36552784</v>
      </c>
      <c r="AY22" s="840">
        <v>7218003</v>
      </c>
      <c r="AZ22" s="840">
        <v>7218003</v>
      </c>
      <c r="BA22" s="840">
        <v>29334781</v>
      </c>
      <c r="BB22" s="169">
        <f t="shared" si="19"/>
        <v>36552.784</v>
      </c>
      <c r="BC22" s="169">
        <f t="shared" si="20"/>
        <v>7218.0029999999997</v>
      </c>
      <c r="BD22" s="169">
        <f t="shared" si="21"/>
        <v>7218.0029999999997</v>
      </c>
      <c r="BE22" s="169">
        <f t="shared" si="22"/>
        <v>29334.780999999999</v>
      </c>
    </row>
    <row r="23" spans="1:57" ht="15" customHeight="1" x14ac:dyDescent="0.35">
      <c r="A23" s="841" t="s">
        <v>359</v>
      </c>
      <c r="B23" s="1115">
        <v>37316450</v>
      </c>
      <c r="C23" s="1115">
        <v>0</v>
      </c>
      <c r="D23" s="1115">
        <v>37316450</v>
      </c>
      <c r="E23" s="1115">
        <v>0</v>
      </c>
      <c r="F23" s="1115">
        <f t="shared" si="4"/>
        <v>37316.449999999997</v>
      </c>
      <c r="G23" s="1115">
        <f t="shared" si="5"/>
        <v>0</v>
      </c>
      <c r="H23" s="1115">
        <f t="shared" si="6"/>
        <v>37316.449999999997</v>
      </c>
      <c r="I23" s="1115">
        <f t="shared" si="7"/>
        <v>0</v>
      </c>
      <c r="L23" s="94" t="s">
        <v>364</v>
      </c>
      <c r="M23" s="840">
        <v>1070462609</v>
      </c>
      <c r="N23" s="1115">
        <f t="shared" si="8"/>
        <v>1070462.6089999999</v>
      </c>
      <c r="Q23" s="94" t="s">
        <v>359</v>
      </c>
      <c r="R23" s="840">
        <v>37316450</v>
      </c>
      <c r="S23" s="840">
        <v>0</v>
      </c>
      <c r="T23" s="840">
        <v>37316450</v>
      </c>
      <c r="U23" s="840">
        <v>0</v>
      </c>
      <c r="V23" s="169">
        <f t="shared" si="9"/>
        <v>37316.449999999997</v>
      </c>
      <c r="W23" s="169">
        <f t="shared" si="10"/>
        <v>0</v>
      </c>
      <c r="X23" s="169">
        <f t="shared" si="11"/>
        <v>37316.449999999997</v>
      </c>
      <c r="Y23" s="169">
        <f t="shared" si="12"/>
        <v>0</v>
      </c>
      <c r="AB23" s="1390" t="s">
        <v>360</v>
      </c>
      <c r="AC23" s="1391">
        <v>10464899</v>
      </c>
      <c r="AD23" s="169">
        <f t="shared" si="13"/>
        <v>10464.898999999999</v>
      </c>
      <c r="AG23" s="1390" t="s">
        <v>359</v>
      </c>
      <c r="AH23" s="1391">
        <v>37316450</v>
      </c>
      <c r="AI23" s="1391">
        <v>7095435</v>
      </c>
      <c r="AJ23" s="1391">
        <v>7095435</v>
      </c>
      <c r="AK23" s="1391">
        <v>30221015</v>
      </c>
      <c r="AL23" s="1407">
        <f t="shared" si="14"/>
        <v>37316.449999999997</v>
      </c>
      <c r="AM23" s="1407">
        <f t="shared" si="15"/>
        <v>7095.4350000000004</v>
      </c>
      <c r="AN23" s="1407">
        <f t="shared" si="16"/>
        <v>7095.4350000000004</v>
      </c>
      <c r="AO23" s="1407">
        <f t="shared" si="17"/>
        <v>30221.014999999999</v>
      </c>
      <c r="AR23" s="1390" t="s">
        <v>567</v>
      </c>
      <c r="AS23" s="169">
        <v>9889322</v>
      </c>
      <c r="AT23" s="169">
        <f t="shared" si="18"/>
        <v>9889.3220000000001</v>
      </c>
      <c r="AW23" s="1390" t="s">
        <v>359</v>
      </c>
      <c r="AX23" s="840">
        <v>37316450</v>
      </c>
      <c r="AY23" s="840">
        <v>7095435</v>
      </c>
      <c r="AZ23" s="840">
        <v>7095435</v>
      </c>
      <c r="BA23" s="840">
        <v>30221015</v>
      </c>
      <c r="BB23" s="169">
        <f t="shared" si="19"/>
        <v>37316.449999999997</v>
      </c>
      <c r="BC23" s="169">
        <f t="shared" si="20"/>
        <v>7095.4350000000004</v>
      </c>
      <c r="BD23" s="169">
        <f t="shared" si="21"/>
        <v>7095.4350000000004</v>
      </c>
      <c r="BE23" s="169">
        <f t="shared" si="22"/>
        <v>30221.014999999999</v>
      </c>
    </row>
    <row r="24" spans="1:57" ht="15" customHeight="1" x14ac:dyDescent="0.35">
      <c r="A24" s="841" t="s">
        <v>360</v>
      </c>
      <c r="B24" s="1115">
        <v>206697507</v>
      </c>
      <c r="C24" s="1115">
        <v>10392494</v>
      </c>
      <c r="D24" s="1115">
        <v>196305013</v>
      </c>
      <c r="E24" s="1115">
        <v>10392494</v>
      </c>
      <c r="F24" s="1115">
        <f t="shared" si="4"/>
        <v>206697.50700000001</v>
      </c>
      <c r="G24" s="1115">
        <f t="shared" si="5"/>
        <v>10392.494000000001</v>
      </c>
      <c r="H24" s="1115">
        <f t="shared" si="6"/>
        <v>196305.01300000001</v>
      </c>
      <c r="I24" s="1115">
        <f t="shared" si="7"/>
        <v>10392.494000000001</v>
      </c>
      <c r="L24" s="94" t="s">
        <v>365</v>
      </c>
      <c r="M24" s="840">
        <v>988181991</v>
      </c>
      <c r="N24" s="1115">
        <f t="shared" si="8"/>
        <v>988181.99100000004</v>
      </c>
      <c r="Q24" s="94" t="s">
        <v>360</v>
      </c>
      <c r="R24" s="840">
        <v>206497506</v>
      </c>
      <c r="S24" s="840">
        <v>22622524</v>
      </c>
      <c r="T24" s="840">
        <v>183874982</v>
      </c>
      <c r="U24" s="840">
        <v>22622524</v>
      </c>
      <c r="V24" s="169">
        <f t="shared" si="9"/>
        <v>206497.50599999999</v>
      </c>
      <c r="W24" s="169">
        <f t="shared" si="10"/>
        <v>22622.524000000001</v>
      </c>
      <c r="X24" s="169">
        <f t="shared" si="11"/>
        <v>183874.98199999999</v>
      </c>
      <c r="Y24" s="169">
        <f t="shared" si="12"/>
        <v>22622.524000000001</v>
      </c>
      <c r="AB24" s="1390" t="s">
        <v>567</v>
      </c>
      <c r="AC24" s="1391">
        <v>9889322</v>
      </c>
      <c r="AD24" s="169">
        <f t="shared" si="13"/>
        <v>9889.3220000000001</v>
      </c>
      <c r="AG24" s="1390" t="s">
        <v>360</v>
      </c>
      <c r="AH24" s="1391">
        <v>206197506</v>
      </c>
      <c r="AI24" s="1391">
        <v>33087423</v>
      </c>
      <c r="AJ24" s="1391">
        <v>33087423</v>
      </c>
      <c r="AK24" s="1391">
        <v>173110083</v>
      </c>
      <c r="AL24" s="1407">
        <f t="shared" si="14"/>
        <v>206197.50599999999</v>
      </c>
      <c r="AM24" s="1407">
        <f t="shared" si="15"/>
        <v>33087.423000000003</v>
      </c>
      <c r="AN24" s="1407">
        <f t="shared" si="16"/>
        <v>33087.423000000003</v>
      </c>
      <c r="AO24" s="1407">
        <f t="shared" si="17"/>
        <v>173110.08300000001</v>
      </c>
      <c r="AR24" s="1390" t="s">
        <v>568</v>
      </c>
      <c r="AS24" s="169">
        <v>152357</v>
      </c>
      <c r="AT24" s="169">
        <f t="shared" si="18"/>
        <v>152.357</v>
      </c>
      <c r="AW24" s="1390" t="s">
        <v>360</v>
      </c>
      <c r="AX24" s="840">
        <v>204715160</v>
      </c>
      <c r="AY24" s="840">
        <v>43600824</v>
      </c>
      <c r="AZ24" s="840">
        <v>43600824</v>
      </c>
      <c r="BA24" s="840">
        <v>161114336</v>
      </c>
      <c r="BB24" s="169">
        <f t="shared" si="19"/>
        <v>204715.16</v>
      </c>
      <c r="BC24" s="169">
        <f t="shared" si="20"/>
        <v>43600.824000000001</v>
      </c>
      <c r="BD24" s="169">
        <f t="shared" si="21"/>
        <v>43600.824000000001</v>
      </c>
      <c r="BE24" s="169">
        <f t="shared" si="22"/>
        <v>161114.33600000001</v>
      </c>
    </row>
    <row r="25" spans="1:57" ht="15" customHeight="1" x14ac:dyDescent="0.35">
      <c r="A25" s="841" t="s">
        <v>567</v>
      </c>
      <c r="B25" s="1115">
        <v>187398500</v>
      </c>
      <c r="C25" s="1115">
        <v>9889322</v>
      </c>
      <c r="D25" s="1115">
        <v>177509178</v>
      </c>
      <c r="E25" s="1115">
        <v>9889322</v>
      </c>
      <c r="F25" s="1115">
        <f t="shared" si="4"/>
        <v>187398.5</v>
      </c>
      <c r="G25" s="1115">
        <f t="shared" si="5"/>
        <v>9889.3220000000001</v>
      </c>
      <c r="H25" s="1115">
        <f t="shared" si="6"/>
        <v>177509.17800000001</v>
      </c>
      <c r="I25" s="1115">
        <f t="shared" si="7"/>
        <v>9889.3220000000001</v>
      </c>
      <c r="L25" s="94" t="s">
        <v>366</v>
      </c>
      <c r="M25" s="840">
        <v>234821625</v>
      </c>
      <c r="N25" s="1115">
        <f t="shared" si="8"/>
        <v>234821.625</v>
      </c>
      <c r="Q25" s="94" t="s">
        <v>567</v>
      </c>
      <c r="R25" s="840">
        <v>187398500</v>
      </c>
      <c r="S25" s="840">
        <v>19778644</v>
      </c>
      <c r="T25" s="840">
        <v>167619856</v>
      </c>
      <c r="U25" s="840">
        <v>19778644</v>
      </c>
      <c r="V25" s="169">
        <f t="shared" si="9"/>
        <v>187398.5</v>
      </c>
      <c r="W25" s="169">
        <f t="shared" si="10"/>
        <v>19778.644</v>
      </c>
      <c r="X25" s="169">
        <f t="shared" si="11"/>
        <v>167619.856</v>
      </c>
      <c r="Y25" s="169">
        <f t="shared" si="12"/>
        <v>19778.644</v>
      </c>
      <c r="AB25" s="1390" t="s">
        <v>568</v>
      </c>
      <c r="AC25" s="1391">
        <v>40957</v>
      </c>
      <c r="AD25" s="169">
        <f t="shared" si="13"/>
        <v>40.957000000000001</v>
      </c>
      <c r="AG25" s="1390" t="s">
        <v>567</v>
      </c>
      <c r="AH25" s="1391">
        <v>187398500</v>
      </c>
      <c r="AI25" s="1391">
        <v>29667966</v>
      </c>
      <c r="AJ25" s="1391">
        <v>29667966</v>
      </c>
      <c r="AK25" s="1391">
        <v>157730534</v>
      </c>
      <c r="AL25" s="1407">
        <f t="shared" si="14"/>
        <v>187398.5</v>
      </c>
      <c r="AM25" s="1407">
        <f t="shared" si="15"/>
        <v>29667.966</v>
      </c>
      <c r="AN25" s="1407">
        <f t="shared" si="16"/>
        <v>29667.966</v>
      </c>
      <c r="AO25" s="1407">
        <f t="shared" si="17"/>
        <v>157730.53400000001</v>
      </c>
      <c r="AR25" s="1390" t="s">
        <v>623</v>
      </c>
      <c r="AS25" s="169">
        <v>471722</v>
      </c>
      <c r="AT25" s="169">
        <f t="shared" si="18"/>
        <v>471.72199999999998</v>
      </c>
      <c r="AW25" s="1390" t="s">
        <v>567</v>
      </c>
      <c r="AX25" s="840">
        <v>187398500</v>
      </c>
      <c r="AY25" s="840">
        <v>39557288</v>
      </c>
      <c r="AZ25" s="840">
        <v>39557288</v>
      </c>
      <c r="BA25" s="840">
        <v>147841212</v>
      </c>
      <c r="BB25" s="169">
        <f t="shared" si="19"/>
        <v>187398.5</v>
      </c>
      <c r="BC25" s="169">
        <f t="shared" si="20"/>
        <v>39557.288</v>
      </c>
      <c r="BD25" s="169">
        <f t="shared" si="21"/>
        <v>39557.288</v>
      </c>
      <c r="BE25" s="169">
        <f t="shared" si="22"/>
        <v>147841.212</v>
      </c>
    </row>
    <row r="26" spans="1:57" ht="15" customHeight="1" x14ac:dyDescent="0.35">
      <c r="A26" s="841" t="s">
        <v>568</v>
      </c>
      <c r="B26" s="1115">
        <v>7599000</v>
      </c>
      <c r="C26" s="1115">
        <v>0</v>
      </c>
      <c r="D26" s="1115">
        <v>7599000</v>
      </c>
      <c r="E26" s="1115">
        <v>0</v>
      </c>
      <c r="F26" s="1115">
        <f t="shared" si="4"/>
        <v>7599</v>
      </c>
      <c r="G26" s="1115">
        <f t="shared" si="5"/>
        <v>0</v>
      </c>
      <c r="H26" s="1115">
        <f t="shared" si="6"/>
        <v>7599</v>
      </c>
      <c r="I26" s="1115">
        <f t="shared" si="7"/>
        <v>0</v>
      </c>
      <c r="L26" s="94" t="s">
        <v>570</v>
      </c>
      <c r="M26" s="840">
        <v>9990594</v>
      </c>
      <c r="N26" s="1115">
        <f t="shared" si="8"/>
        <v>9990.5939999999991</v>
      </c>
      <c r="Q26" s="94" t="s">
        <v>568</v>
      </c>
      <c r="R26" s="840">
        <v>7599000</v>
      </c>
      <c r="S26" s="840">
        <v>29255</v>
      </c>
      <c r="T26" s="840">
        <v>7569745</v>
      </c>
      <c r="U26" s="840">
        <v>29255</v>
      </c>
      <c r="V26" s="169">
        <f t="shared" si="9"/>
        <v>7599</v>
      </c>
      <c r="W26" s="169">
        <f t="shared" si="10"/>
        <v>29.254999999999999</v>
      </c>
      <c r="X26" s="169">
        <f t="shared" si="11"/>
        <v>7569.7449999999999</v>
      </c>
      <c r="Y26" s="169">
        <f t="shared" si="12"/>
        <v>29.254999999999999</v>
      </c>
      <c r="AB26" s="1390" t="s">
        <v>623</v>
      </c>
      <c r="AC26" s="1391">
        <v>534620</v>
      </c>
      <c r="AD26" s="169">
        <f t="shared" si="13"/>
        <v>534.62</v>
      </c>
      <c r="AG26" s="1390" t="s">
        <v>568</v>
      </c>
      <c r="AH26" s="1391">
        <v>7599000</v>
      </c>
      <c r="AI26" s="1391">
        <v>70212</v>
      </c>
      <c r="AJ26" s="1391">
        <v>70212</v>
      </c>
      <c r="AK26" s="1391">
        <v>7528788</v>
      </c>
      <c r="AL26" s="1407">
        <f t="shared" si="14"/>
        <v>7599</v>
      </c>
      <c r="AM26" s="1407">
        <f t="shared" si="15"/>
        <v>70.212000000000003</v>
      </c>
      <c r="AN26" s="1407">
        <f t="shared" si="16"/>
        <v>70.212000000000003</v>
      </c>
      <c r="AO26" s="1407">
        <f t="shared" si="17"/>
        <v>7528.7879999999996</v>
      </c>
      <c r="AR26" s="1390" t="s">
        <v>361</v>
      </c>
      <c r="AS26" s="169">
        <v>0</v>
      </c>
      <c r="AT26" s="169">
        <f t="shared" si="18"/>
        <v>0</v>
      </c>
      <c r="AW26" s="1390" t="s">
        <v>568</v>
      </c>
      <c r="AX26" s="840">
        <v>7599000</v>
      </c>
      <c r="AY26" s="840">
        <v>222569</v>
      </c>
      <c r="AZ26" s="840">
        <v>222569</v>
      </c>
      <c r="BA26" s="840">
        <v>7376431</v>
      </c>
      <c r="BB26" s="169">
        <f t="shared" si="19"/>
        <v>7599</v>
      </c>
      <c r="BC26" s="169">
        <f t="shared" si="20"/>
        <v>222.56899999999999</v>
      </c>
      <c r="BD26" s="169">
        <f t="shared" si="21"/>
        <v>222.56899999999999</v>
      </c>
      <c r="BE26" s="169">
        <f t="shared" si="22"/>
        <v>7376.4309999999996</v>
      </c>
    </row>
    <row r="27" spans="1:57" ht="15" customHeight="1" x14ac:dyDescent="0.35">
      <c r="A27" s="841" t="s">
        <v>623</v>
      </c>
      <c r="B27" s="1115">
        <v>9200007</v>
      </c>
      <c r="C27" s="1115">
        <v>503172</v>
      </c>
      <c r="D27" s="1115">
        <v>8696835</v>
      </c>
      <c r="E27" s="1115">
        <v>503172</v>
      </c>
      <c r="F27" s="1115">
        <f t="shared" si="4"/>
        <v>9200.0069999999996</v>
      </c>
      <c r="G27" s="1115">
        <f t="shared" si="5"/>
        <v>503.17200000000003</v>
      </c>
      <c r="H27" s="1115">
        <f t="shared" si="6"/>
        <v>8696.8349999999991</v>
      </c>
      <c r="I27" s="1115">
        <f t="shared" si="7"/>
        <v>503.17200000000003</v>
      </c>
      <c r="L27" s="94" t="s">
        <v>367</v>
      </c>
      <c r="M27" s="840">
        <v>164750169</v>
      </c>
      <c r="N27" s="1115">
        <f t="shared" si="8"/>
        <v>164750.16899999999</v>
      </c>
      <c r="Q27" s="94" t="s">
        <v>623</v>
      </c>
      <c r="R27" s="840">
        <v>9000006</v>
      </c>
      <c r="S27" s="840">
        <v>2814625</v>
      </c>
      <c r="T27" s="840">
        <v>6185381</v>
      </c>
      <c r="U27" s="840">
        <v>2814625</v>
      </c>
      <c r="V27" s="169">
        <f t="shared" si="9"/>
        <v>9000.0059999999994</v>
      </c>
      <c r="W27" s="169">
        <f t="shared" si="10"/>
        <v>2814.625</v>
      </c>
      <c r="X27" s="169">
        <f t="shared" si="11"/>
        <v>6185.3810000000003</v>
      </c>
      <c r="Y27" s="169">
        <f t="shared" si="12"/>
        <v>2814.625</v>
      </c>
      <c r="AB27" s="1390" t="s">
        <v>361</v>
      </c>
      <c r="AC27" s="1391">
        <v>157932</v>
      </c>
      <c r="AD27" s="169">
        <f t="shared" si="13"/>
        <v>157.93199999999999</v>
      </c>
      <c r="AG27" s="1390" t="s">
        <v>623</v>
      </c>
      <c r="AH27" s="1391">
        <v>8700006</v>
      </c>
      <c r="AI27" s="1391">
        <v>3349245</v>
      </c>
      <c r="AJ27" s="1391">
        <v>3349245</v>
      </c>
      <c r="AK27" s="1391">
        <v>5350761</v>
      </c>
      <c r="AL27" s="1407">
        <f t="shared" si="14"/>
        <v>8700.0059999999994</v>
      </c>
      <c r="AM27" s="1407">
        <f t="shared" si="15"/>
        <v>3349.2449999999999</v>
      </c>
      <c r="AN27" s="1407">
        <f t="shared" si="16"/>
        <v>3349.2449999999999</v>
      </c>
      <c r="AO27" s="1407">
        <f t="shared" si="17"/>
        <v>5350.7610000000004</v>
      </c>
      <c r="AR27" s="1390" t="s">
        <v>481</v>
      </c>
      <c r="AS27" s="169">
        <v>0</v>
      </c>
      <c r="AT27" s="169">
        <f t="shared" si="18"/>
        <v>0</v>
      </c>
      <c r="AW27" s="1390" t="s">
        <v>623</v>
      </c>
      <c r="AX27" s="840">
        <v>7217660</v>
      </c>
      <c r="AY27" s="840">
        <v>3820967</v>
      </c>
      <c r="AZ27" s="840">
        <v>3820967</v>
      </c>
      <c r="BA27" s="840">
        <v>3396693</v>
      </c>
      <c r="BB27" s="169">
        <f t="shared" si="19"/>
        <v>7217.66</v>
      </c>
      <c r="BC27" s="169">
        <f t="shared" si="20"/>
        <v>3820.9670000000001</v>
      </c>
      <c r="BD27" s="169">
        <f t="shared" si="21"/>
        <v>3820.9670000000001</v>
      </c>
      <c r="BE27" s="169">
        <f t="shared" si="22"/>
        <v>3396.6930000000002</v>
      </c>
    </row>
    <row r="28" spans="1:57" ht="15" customHeight="1" x14ac:dyDescent="0.35">
      <c r="A28" s="841" t="s">
        <v>569</v>
      </c>
      <c r="B28" s="1115">
        <v>2500000</v>
      </c>
      <c r="C28" s="1115">
        <v>0</v>
      </c>
      <c r="D28" s="1115">
        <v>2500000</v>
      </c>
      <c r="E28" s="1115">
        <v>0</v>
      </c>
      <c r="F28" s="1115">
        <f t="shared" si="4"/>
        <v>2500</v>
      </c>
      <c r="G28" s="1115">
        <f t="shared" si="5"/>
        <v>0</v>
      </c>
      <c r="H28" s="1115">
        <f t="shared" si="6"/>
        <v>2500</v>
      </c>
      <c r="I28" s="1115">
        <f t="shared" si="7"/>
        <v>0</v>
      </c>
      <c r="L28" s="94" t="s">
        <v>368</v>
      </c>
      <c r="M28" s="840">
        <v>22604443</v>
      </c>
      <c r="N28" s="1115">
        <f t="shared" si="8"/>
        <v>22604.442999999999</v>
      </c>
      <c r="Q28" s="94" t="s">
        <v>569</v>
      </c>
      <c r="R28" s="840">
        <v>2500000</v>
      </c>
      <c r="S28" s="840">
        <v>0</v>
      </c>
      <c r="T28" s="840">
        <v>2500000</v>
      </c>
      <c r="U28" s="840">
        <v>0</v>
      </c>
      <c r="V28" s="169">
        <f t="shared" si="9"/>
        <v>2500</v>
      </c>
      <c r="W28" s="169">
        <f t="shared" si="10"/>
        <v>0</v>
      </c>
      <c r="X28" s="169">
        <f t="shared" si="11"/>
        <v>2500</v>
      </c>
      <c r="Y28" s="169">
        <f t="shared" si="12"/>
        <v>0</v>
      </c>
      <c r="AB28" s="1390" t="s">
        <v>481</v>
      </c>
      <c r="AC28" s="1391">
        <v>157932</v>
      </c>
      <c r="AD28" s="169">
        <f t="shared" si="13"/>
        <v>157.93199999999999</v>
      </c>
      <c r="AG28" s="1390" t="s">
        <v>569</v>
      </c>
      <c r="AH28" s="1391">
        <v>2500000</v>
      </c>
      <c r="AI28" s="1391">
        <v>0</v>
      </c>
      <c r="AJ28" s="1391">
        <v>0</v>
      </c>
      <c r="AK28" s="1391">
        <v>2500000</v>
      </c>
      <c r="AL28" s="1407">
        <f t="shared" si="14"/>
        <v>2500</v>
      </c>
      <c r="AM28" s="1407">
        <f t="shared" si="15"/>
        <v>0</v>
      </c>
      <c r="AN28" s="1407">
        <f t="shared" si="16"/>
        <v>0</v>
      </c>
      <c r="AO28" s="1407">
        <f t="shared" si="17"/>
        <v>2500</v>
      </c>
      <c r="AR28" s="1390" t="s">
        <v>364</v>
      </c>
      <c r="AS28" s="169">
        <v>1076451519</v>
      </c>
      <c r="AT28" s="169">
        <f t="shared" si="18"/>
        <v>1076451.5190000001</v>
      </c>
      <c r="AW28" s="1390" t="s">
        <v>569</v>
      </c>
      <c r="AX28" s="840">
        <v>2500000</v>
      </c>
      <c r="AY28" s="840">
        <v>0</v>
      </c>
      <c r="AZ28" s="840">
        <v>0</v>
      </c>
      <c r="BA28" s="840">
        <v>2500000</v>
      </c>
      <c r="BB28" s="169">
        <f t="shared" si="19"/>
        <v>2500</v>
      </c>
      <c r="BC28" s="169">
        <f t="shared" si="20"/>
        <v>0</v>
      </c>
      <c r="BD28" s="169">
        <f t="shared" si="21"/>
        <v>0</v>
      </c>
      <c r="BE28" s="169">
        <f t="shared" si="22"/>
        <v>2500</v>
      </c>
    </row>
    <row r="29" spans="1:57" ht="15" customHeight="1" x14ac:dyDescent="0.35">
      <c r="A29" s="841" t="s">
        <v>361</v>
      </c>
      <c r="B29" s="1115">
        <v>4470574</v>
      </c>
      <c r="C29" s="1115">
        <v>0</v>
      </c>
      <c r="D29" s="1115">
        <v>4470574</v>
      </c>
      <c r="E29" s="1115">
        <v>0</v>
      </c>
      <c r="F29" s="1115">
        <f t="shared" si="4"/>
        <v>4470.5739999999996</v>
      </c>
      <c r="G29" s="1115">
        <f t="shared" si="5"/>
        <v>0</v>
      </c>
      <c r="H29" s="1115">
        <f t="shared" si="6"/>
        <v>4470.5739999999996</v>
      </c>
      <c r="I29" s="1115">
        <f t="shared" si="7"/>
        <v>0</v>
      </c>
      <c r="L29" s="94" t="s">
        <v>572</v>
      </c>
      <c r="M29" s="840">
        <v>10836394</v>
      </c>
      <c r="N29" s="1115">
        <f t="shared" si="8"/>
        <v>10836.394</v>
      </c>
      <c r="Q29" s="94" t="s">
        <v>361</v>
      </c>
      <c r="R29" s="840">
        <v>4470574</v>
      </c>
      <c r="S29" s="840">
        <v>0</v>
      </c>
      <c r="T29" s="840">
        <v>4470574</v>
      </c>
      <c r="U29" s="840">
        <v>0</v>
      </c>
      <c r="V29" s="169">
        <f t="shared" si="9"/>
        <v>4470.5739999999996</v>
      </c>
      <c r="W29" s="169">
        <f t="shared" si="10"/>
        <v>0</v>
      </c>
      <c r="X29" s="169">
        <f t="shared" si="11"/>
        <v>4470.5739999999996</v>
      </c>
      <c r="Y29" s="169">
        <f t="shared" si="12"/>
        <v>0</v>
      </c>
      <c r="AB29" s="1390" t="s">
        <v>364</v>
      </c>
      <c r="AC29" s="1391">
        <v>1880957310</v>
      </c>
      <c r="AD29" s="169">
        <f t="shared" si="13"/>
        <v>1880957.31</v>
      </c>
      <c r="AG29" s="1390" t="s">
        <v>361</v>
      </c>
      <c r="AH29" s="1391">
        <v>4470574</v>
      </c>
      <c r="AI29" s="1391">
        <v>157932</v>
      </c>
      <c r="AJ29" s="1391">
        <v>157932</v>
      </c>
      <c r="AK29" s="1391">
        <v>4312642</v>
      </c>
      <c r="AL29" s="1407">
        <f t="shared" si="14"/>
        <v>4470.5739999999996</v>
      </c>
      <c r="AM29" s="1407">
        <f t="shared" si="15"/>
        <v>157.93199999999999</v>
      </c>
      <c r="AN29" s="1407">
        <f t="shared" si="16"/>
        <v>157.93199999999999</v>
      </c>
      <c r="AO29" s="1407">
        <f t="shared" si="17"/>
        <v>4312.6419999999998</v>
      </c>
      <c r="AR29" s="1390" t="s">
        <v>365</v>
      </c>
      <c r="AS29" s="169">
        <v>998134551</v>
      </c>
      <c r="AT29" s="169">
        <f t="shared" si="18"/>
        <v>998134.55099999998</v>
      </c>
      <c r="AW29" s="1390" t="s">
        <v>361</v>
      </c>
      <c r="AX29" s="840">
        <v>4470574</v>
      </c>
      <c r="AY29" s="840">
        <v>157932</v>
      </c>
      <c r="AZ29" s="840">
        <v>157932</v>
      </c>
      <c r="BA29" s="840">
        <v>4312642</v>
      </c>
      <c r="BB29" s="169">
        <f t="shared" si="19"/>
        <v>4470.5739999999996</v>
      </c>
      <c r="BC29" s="169">
        <f t="shared" si="20"/>
        <v>157.93199999999999</v>
      </c>
      <c r="BD29" s="169">
        <f t="shared" si="21"/>
        <v>157.93199999999999</v>
      </c>
      <c r="BE29" s="169">
        <f t="shared" si="22"/>
        <v>4312.6419999999998</v>
      </c>
    </row>
    <row r="30" spans="1:57" ht="15" customHeight="1" x14ac:dyDescent="0.35">
      <c r="A30" s="841" t="s">
        <v>362</v>
      </c>
      <c r="B30" s="1115">
        <v>803736</v>
      </c>
      <c r="C30" s="1115">
        <v>0</v>
      </c>
      <c r="D30" s="1115">
        <v>803736</v>
      </c>
      <c r="E30" s="1115">
        <v>0</v>
      </c>
      <c r="F30" s="1115">
        <f t="shared" si="4"/>
        <v>803.73599999999999</v>
      </c>
      <c r="G30" s="1115">
        <f t="shared" si="5"/>
        <v>0</v>
      </c>
      <c r="H30" s="1115">
        <f t="shared" si="6"/>
        <v>803.73599999999999</v>
      </c>
      <c r="I30" s="1115">
        <f t="shared" si="7"/>
        <v>0</v>
      </c>
      <c r="L30" s="94" t="s">
        <v>573</v>
      </c>
      <c r="M30" s="840">
        <v>158198913</v>
      </c>
      <c r="N30" s="1115">
        <f t="shared" si="8"/>
        <v>158198.913</v>
      </c>
      <c r="Q30" s="94" t="s">
        <v>362</v>
      </c>
      <c r="R30" s="840">
        <v>803736</v>
      </c>
      <c r="S30" s="840">
        <v>0</v>
      </c>
      <c r="T30" s="840">
        <v>803736</v>
      </c>
      <c r="U30" s="840">
        <v>0</v>
      </c>
      <c r="V30" s="169">
        <f t="shared" si="9"/>
        <v>803.73599999999999</v>
      </c>
      <c r="W30" s="169">
        <f t="shared" si="10"/>
        <v>0</v>
      </c>
      <c r="X30" s="169">
        <f t="shared" si="11"/>
        <v>803.73599999999999</v>
      </c>
      <c r="Y30" s="169">
        <f t="shared" si="12"/>
        <v>0</v>
      </c>
      <c r="AB30" s="1390" t="s">
        <v>365</v>
      </c>
      <c r="AC30" s="1391">
        <v>1432801168</v>
      </c>
      <c r="AD30" s="169">
        <f t="shared" si="13"/>
        <v>1432801.1680000001</v>
      </c>
      <c r="AG30" s="1390" t="s">
        <v>362</v>
      </c>
      <c r="AH30" s="1391">
        <v>803736</v>
      </c>
      <c r="AI30" s="1391">
        <v>0</v>
      </c>
      <c r="AJ30" s="1391">
        <v>0</v>
      </c>
      <c r="AK30" s="1391">
        <v>803736</v>
      </c>
      <c r="AL30" s="1407">
        <f t="shared" si="14"/>
        <v>803.73599999999999</v>
      </c>
      <c r="AM30" s="1407">
        <f t="shared" si="15"/>
        <v>0</v>
      </c>
      <c r="AN30" s="1407">
        <f t="shared" si="16"/>
        <v>0</v>
      </c>
      <c r="AO30" s="1407">
        <f t="shared" si="17"/>
        <v>803.73599999999999</v>
      </c>
      <c r="AR30" s="1390" t="s">
        <v>366</v>
      </c>
      <c r="AS30" s="169">
        <v>237138597</v>
      </c>
      <c r="AT30" s="169">
        <f t="shared" si="18"/>
        <v>237138.59700000001</v>
      </c>
      <c r="AW30" s="1390" t="s">
        <v>362</v>
      </c>
      <c r="AX30" s="840">
        <v>803736</v>
      </c>
      <c r="AY30" s="840">
        <v>0</v>
      </c>
      <c r="AZ30" s="840">
        <v>0</v>
      </c>
      <c r="BA30" s="840">
        <v>803736</v>
      </c>
      <c r="BB30" s="169">
        <f t="shared" si="19"/>
        <v>803.73599999999999</v>
      </c>
      <c r="BC30" s="169">
        <f t="shared" si="20"/>
        <v>0</v>
      </c>
      <c r="BD30" s="169">
        <f t="shared" si="21"/>
        <v>0</v>
      </c>
      <c r="BE30" s="169">
        <f t="shared" si="22"/>
        <v>803.73599999999999</v>
      </c>
    </row>
    <row r="31" spans="1:57" ht="15" customHeight="1" x14ac:dyDescent="0.35">
      <c r="A31" s="841" t="s">
        <v>481</v>
      </c>
      <c r="B31" s="1115">
        <v>545738</v>
      </c>
      <c r="C31" s="1115">
        <v>0</v>
      </c>
      <c r="D31" s="1115">
        <v>545738</v>
      </c>
      <c r="E31" s="1115">
        <v>0</v>
      </c>
      <c r="F31" s="1115">
        <f t="shared" si="4"/>
        <v>545.73800000000006</v>
      </c>
      <c r="G31" s="1115">
        <f t="shared" si="5"/>
        <v>0</v>
      </c>
      <c r="H31" s="1115">
        <f t="shared" si="6"/>
        <v>545.73800000000006</v>
      </c>
      <c r="I31" s="1115">
        <f t="shared" si="7"/>
        <v>0</v>
      </c>
      <c r="L31" s="94" t="s">
        <v>574</v>
      </c>
      <c r="M31" s="840">
        <v>373903053</v>
      </c>
      <c r="N31" s="1115">
        <f t="shared" si="8"/>
        <v>373903.05300000001</v>
      </c>
      <c r="Q31" s="94" t="s">
        <v>481</v>
      </c>
      <c r="R31" s="840">
        <v>545738</v>
      </c>
      <c r="S31" s="840">
        <v>0</v>
      </c>
      <c r="T31" s="840">
        <v>545738</v>
      </c>
      <c r="U31" s="840">
        <v>0</v>
      </c>
      <c r="V31" s="169">
        <f t="shared" si="9"/>
        <v>545.73800000000006</v>
      </c>
      <c r="W31" s="169">
        <f t="shared" si="10"/>
        <v>0</v>
      </c>
      <c r="X31" s="169">
        <f t="shared" si="11"/>
        <v>545.73800000000006</v>
      </c>
      <c r="Y31" s="169">
        <f t="shared" si="12"/>
        <v>0</v>
      </c>
      <c r="AB31" s="1390" t="s">
        <v>366</v>
      </c>
      <c r="AC31" s="1391">
        <v>235453357</v>
      </c>
      <c r="AD31" s="169">
        <f t="shared" si="13"/>
        <v>235453.35699999999</v>
      </c>
      <c r="AG31" s="1390" t="s">
        <v>481</v>
      </c>
      <c r="AH31" s="1391">
        <v>545738</v>
      </c>
      <c r="AI31" s="1391">
        <v>157932</v>
      </c>
      <c r="AJ31" s="1391">
        <v>157932</v>
      </c>
      <c r="AK31" s="1391">
        <v>387806</v>
      </c>
      <c r="AL31" s="1407">
        <f t="shared" si="14"/>
        <v>545.73800000000006</v>
      </c>
      <c r="AM31" s="1407">
        <f t="shared" si="15"/>
        <v>157.93199999999999</v>
      </c>
      <c r="AN31" s="1407">
        <f t="shared" si="16"/>
        <v>157.93199999999999</v>
      </c>
      <c r="AO31" s="1407">
        <f t="shared" si="17"/>
        <v>387.80599999999998</v>
      </c>
      <c r="AR31" s="1390" t="s">
        <v>570</v>
      </c>
      <c r="AS31" s="169">
        <v>10293193</v>
      </c>
      <c r="AT31" s="169">
        <f t="shared" si="18"/>
        <v>10293.192999999999</v>
      </c>
      <c r="AW31" s="1390" t="s">
        <v>481</v>
      </c>
      <c r="AX31" s="840">
        <v>545738</v>
      </c>
      <c r="AY31" s="840">
        <v>157932</v>
      </c>
      <c r="AZ31" s="840">
        <v>157932</v>
      </c>
      <c r="BA31" s="840">
        <v>387806</v>
      </c>
      <c r="BB31" s="169">
        <f t="shared" si="19"/>
        <v>545.73800000000006</v>
      </c>
      <c r="BC31" s="169">
        <f t="shared" si="20"/>
        <v>157.93199999999999</v>
      </c>
      <c r="BD31" s="169">
        <f t="shared" si="21"/>
        <v>157.93199999999999</v>
      </c>
      <c r="BE31" s="169">
        <f t="shared" si="22"/>
        <v>387.80599999999998</v>
      </c>
    </row>
    <row r="32" spans="1:57" ht="15" customHeight="1" x14ac:dyDescent="0.35">
      <c r="A32" s="841" t="s">
        <v>363</v>
      </c>
      <c r="B32" s="1115">
        <v>3121100</v>
      </c>
      <c r="C32" s="1115">
        <v>0</v>
      </c>
      <c r="D32" s="1115">
        <v>3121100</v>
      </c>
      <c r="E32" s="1115">
        <v>0</v>
      </c>
      <c r="F32" s="1115">
        <f t="shared" si="4"/>
        <v>3121.1</v>
      </c>
      <c r="G32" s="1115">
        <f t="shared" si="5"/>
        <v>0</v>
      </c>
      <c r="H32" s="1115">
        <f t="shared" si="6"/>
        <v>3121.1</v>
      </c>
      <c r="I32" s="1115">
        <f t="shared" si="7"/>
        <v>0</v>
      </c>
      <c r="L32" s="94" t="s">
        <v>992</v>
      </c>
      <c r="M32" s="840">
        <v>13076800</v>
      </c>
      <c r="N32" s="1115">
        <f t="shared" si="8"/>
        <v>13076.8</v>
      </c>
      <c r="Q32" s="94" t="s">
        <v>363</v>
      </c>
      <c r="R32" s="840">
        <v>3121100</v>
      </c>
      <c r="S32" s="840">
        <v>0</v>
      </c>
      <c r="T32" s="840">
        <v>3121100</v>
      </c>
      <c r="U32" s="840">
        <v>0</v>
      </c>
      <c r="V32" s="169">
        <f t="shared" si="9"/>
        <v>3121.1</v>
      </c>
      <c r="W32" s="169">
        <f t="shared" si="10"/>
        <v>0</v>
      </c>
      <c r="X32" s="169">
        <f t="shared" si="11"/>
        <v>3121.1</v>
      </c>
      <c r="Y32" s="169">
        <f t="shared" si="12"/>
        <v>0</v>
      </c>
      <c r="AB32" s="1390" t="s">
        <v>570</v>
      </c>
      <c r="AC32" s="1391">
        <v>10184384</v>
      </c>
      <c r="AD32" s="169">
        <f t="shared" si="13"/>
        <v>10184.384</v>
      </c>
      <c r="AG32" s="1390" t="s">
        <v>363</v>
      </c>
      <c r="AH32" s="1391">
        <v>3121100</v>
      </c>
      <c r="AI32" s="1391">
        <v>0</v>
      </c>
      <c r="AJ32" s="1391">
        <v>0</v>
      </c>
      <c r="AK32" s="1391">
        <v>3121100</v>
      </c>
      <c r="AL32" s="1407">
        <f t="shared" si="14"/>
        <v>3121.1</v>
      </c>
      <c r="AM32" s="1407">
        <f t="shared" si="15"/>
        <v>0</v>
      </c>
      <c r="AN32" s="1407">
        <f t="shared" si="16"/>
        <v>0</v>
      </c>
      <c r="AO32" s="1407">
        <f t="shared" si="17"/>
        <v>3121.1</v>
      </c>
      <c r="AR32" s="1390" t="s">
        <v>367</v>
      </c>
      <c r="AS32" s="169">
        <v>166452664</v>
      </c>
      <c r="AT32" s="169">
        <f t="shared" si="18"/>
        <v>166452.66399999999</v>
      </c>
      <c r="AW32" s="1390" t="s">
        <v>363</v>
      </c>
      <c r="AX32" s="840">
        <v>3121100</v>
      </c>
      <c r="AY32" s="840">
        <v>0</v>
      </c>
      <c r="AZ32" s="840">
        <v>0</v>
      </c>
      <c r="BA32" s="840">
        <v>3121100</v>
      </c>
      <c r="BB32" s="169">
        <f t="shared" si="19"/>
        <v>3121.1</v>
      </c>
      <c r="BC32" s="169">
        <f t="shared" si="20"/>
        <v>0</v>
      </c>
      <c r="BD32" s="169">
        <f t="shared" si="21"/>
        <v>0</v>
      </c>
      <c r="BE32" s="169">
        <f t="shared" si="22"/>
        <v>3121.1</v>
      </c>
    </row>
    <row r="33" spans="1:57" ht="15" customHeight="1" x14ac:dyDescent="0.35">
      <c r="A33" s="841" t="s">
        <v>364</v>
      </c>
      <c r="B33" s="1115">
        <v>14824050877</v>
      </c>
      <c r="C33" s="1115">
        <v>1046906383</v>
      </c>
      <c r="D33" s="1115">
        <v>13777144494</v>
      </c>
      <c r="E33" s="1115">
        <v>1046906383</v>
      </c>
      <c r="F33" s="1115">
        <f t="shared" si="4"/>
        <v>14824050.877</v>
      </c>
      <c r="G33" s="1115">
        <f t="shared" si="5"/>
        <v>1046906.383</v>
      </c>
      <c r="H33" s="1115">
        <f t="shared" si="6"/>
        <v>13777144.494000001</v>
      </c>
      <c r="I33" s="1115">
        <f t="shared" si="7"/>
        <v>1046906.383</v>
      </c>
      <c r="L33" s="94" t="s">
        <v>369</v>
      </c>
      <c r="M33" s="840">
        <v>40059061</v>
      </c>
      <c r="N33" s="1115">
        <f t="shared" si="8"/>
        <v>40059.061000000002</v>
      </c>
      <c r="Q33" s="94" t="s">
        <v>364</v>
      </c>
      <c r="R33" s="840">
        <v>14801018878</v>
      </c>
      <c r="S33" s="840">
        <v>2117368992</v>
      </c>
      <c r="T33" s="840">
        <v>12683649886</v>
      </c>
      <c r="U33" s="840">
        <v>2117368992</v>
      </c>
      <c r="V33" s="169">
        <f t="shared" si="9"/>
        <v>14801018.878</v>
      </c>
      <c r="W33" s="169">
        <f t="shared" si="10"/>
        <v>2117368.9920000001</v>
      </c>
      <c r="X33" s="169">
        <f t="shared" si="11"/>
        <v>12683649.886</v>
      </c>
      <c r="Y33" s="169">
        <f t="shared" si="12"/>
        <v>2117368.9920000001</v>
      </c>
      <c r="AB33" s="1390" t="s">
        <v>367</v>
      </c>
      <c r="AC33" s="1391">
        <v>165216686</v>
      </c>
      <c r="AD33" s="169">
        <f t="shared" si="13"/>
        <v>165216.68599999999</v>
      </c>
      <c r="AG33" s="1390" t="s">
        <v>364</v>
      </c>
      <c r="AH33" s="1391">
        <v>14801518878</v>
      </c>
      <c r="AI33" s="1391">
        <v>3998326302</v>
      </c>
      <c r="AJ33" s="1391">
        <v>3998326302</v>
      </c>
      <c r="AK33" s="1391">
        <v>10803192576</v>
      </c>
      <c r="AL33" s="1407">
        <f t="shared" si="14"/>
        <v>14801518.878</v>
      </c>
      <c r="AM33" s="1407">
        <f t="shared" si="15"/>
        <v>3998326.3020000001</v>
      </c>
      <c r="AN33" s="1407">
        <f t="shared" si="16"/>
        <v>3998326.3020000001</v>
      </c>
      <c r="AO33" s="1407">
        <f t="shared" si="17"/>
        <v>10803192.575999999</v>
      </c>
      <c r="AR33" s="1390" t="s">
        <v>368</v>
      </c>
      <c r="AS33" s="169">
        <v>22604443</v>
      </c>
      <c r="AT33" s="169">
        <f t="shared" si="18"/>
        <v>22604.442999999999</v>
      </c>
      <c r="AW33" s="1390" t="s">
        <v>364</v>
      </c>
      <c r="AX33" s="840">
        <v>14802801224</v>
      </c>
      <c r="AY33" s="840">
        <v>5074777821</v>
      </c>
      <c r="AZ33" s="840">
        <v>5074777821</v>
      </c>
      <c r="BA33" s="840">
        <v>9728023403</v>
      </c>
      <c r="BB33" s="169">
        <f t="shared" si="19"/>
        <v>14802801.223999999</v>
      </c>
      <c r="BC33" s="169">
        <f t="shared" si="20"/>
        <v>5074777.8210000005</v>
      </c>
      <c r="BD33" s="169">
        <f t="shared" si="21"/>
        <v>5074777.8210000005</v>
      </c>
      <c r="BE33" s="169">
        <f t="shared" si="22"/>
        <v>9728023.4030000009</v>
      </c>
    </row>
    <row r="34" spans="1:57" ht="15" customHeight="1" x14ac:dyDescent="0.35">
      <c r="A34" s="841" t="s">
        <v>365</v>
      </c>
      <c r="B34" s="1115">
        <v>12418776130</v>
      </c>
      <c r="C34" s="1115">
        <v>984236066</v>
      </c>
      <c r="D34" s="1115">
        <v>11434540064</v>
      </c>
      <c r="E34" s="1115">
        <v>984236066</v>
      </c>
      <c r="F34" s="1115">
        <f t="shared" si="4"/>
        <v>12418776.130000001</v>
      </c>
      <c r="G34" s="1115">
        <f t="shared" si="5"/>
        <v>984236.06599999999</v>
      </c>
      <c r="H34" s="1115">
        <f t="shared" si="6"/>
        <v>11434540.063999999</v>
      </c>
      <c r="I34" s="1115">
        <f t="shared" si="7"/>
        <v>984236.06599999999</v>
      </c>
      <c r="L34" s="94" t="s">
        <v>578</v>
      </c>
      <c r="M34" s="840">
        <v>3291210</v>
      </c>
      <c r="N34" s="1115">
        <f t="shared" si="8"/>
        <v>3291.21</v>
      </c>
      <c r="Q34" s="94" t="s">
        <v>365</v>
      </c>
      <c r="R34" s="840">
        <v>12395544130</v>
      </c>
      <c r="S34" s="840">
        <v>1972418057</v>
      </c>
      <c r="T34" s="840">
        <v>10423126073</v>
      </c>
      <c r="U34" s="840">
        <v>1972418057</v>
      </c>
      <c r="V34" s="169">
        <f t="shared" si="9"/>
        <v>12395544.130000001</v>
      </c>
      <c r="W34" s="169">
        <f t="shared" si="10"/>
        <v>1972418.057</v>
      </c>
      <c r="X34" s="169">
        <f t="shared" si="11"/>
        <v>10423126.073000001</v>
      </c>
      <c r="Y34" s="169">
        <f t="shared" si="12"/>
        <v>1972418.057</v>
      </c>
      <c r="AB34" s="1390" t="s">
        <v>368</v>
      </c>
      <c r="AC34" s="1391">
        <v>22623252</v>
      </c>
      <c r="AD34" s="169">
        <f t="shared" si="13"/>
        <v>22623.252</v>
      </c>
      <c r="AG34" s="1390" t="s">
        <v>365</v>
      </c>
      <c r="AH34" s="1391">
        <v>12395544130</v>
      </c>
      <c r="AI34" s="1391">
        <v>3405219225</v>
      </c>
      <c r="AJ34" s="1391">
        <v>3405219225</v>
      </c>
      <c r="AK34" s="1391">
        <v>8990324905</v>
      </c>
      <c r="AL34" s="1407">
        <f t="shared" si="14"/>
        <v>12395544.130000001</v>
      </c>
      <c r="AM34" s="1407">
        <f t="shared" si="15"/>
        <v>3405219.2250000001</v>
      </c>
      <c r="AN34" s="1407">
        <f t="shared" si="16"/>
        <v>3405219.2250000001</v>
      </c>
      <c r="AO34" s="1407">
        <f t="shared" si="17"/>
        <v>8990324.9049999993</v>
      </c>
      <c r="AR34" s="1390" t="s">
        <v>572</v>
      </c>
      <c r="AS34" s="169">
        <v>10836394</v>
      </c>
      <c r="AT34" s="169">
        <f t="shared" si="18"/>
        <v>10836.394</v>
      </c>
      <c r="AW34" s="1390" t="s">
        <v>365</v>
      </c>
      <c r="AX34" s="840">
        <v>12395344130</v>
      </c>
      <c r="AY34" s="840">
        <v>4403353776</v>
      </c>
      <c r="AZ34" s="840">
        <v>4403353776</v>
      </c>
      <c r="BA34" s="840">
        <v>7991990354</v>
      </c>
      <c r="BB34" s="169">
        <f t="shared" si="19"/>
        <v>12395344.130000001</v>
      </c>
      <c r="BC34" s="169">
        <f t="shared" si="20"/>
        <v>4403353.7759999996</v>
      </c>
      <c r="BD34" s="169">
        <f t="shared" si="21"/>
        <v>4403353.7759999996</v>
      </c>
      <c r="BE34" s="169">
        <f t="shared" si="22"/>
        <v>7991990.3540000003</v>
      </c>
    </row>
    <row r="35" spans="1:57" ht="15" customHeight="1" x14ac:dyDescent="0.35">
      <c r="A35" s="841" t="s">
        <v>366</v>
      </c>
      <c r="B35" s="1115">
        <v>2971337700</v>
      </c>
      <c r="C35" s="1115">
        <v>234118868</v>
      </c>
      <c r="D35" s="1115">
        <v>2737218832</v>
      </c>
      <c r="E35" s="1115">
        <v>234118868</v>
      </c>
      <c r="F35" s="1115">
        <f t="shared" si="4"/>
        <v>2971337.7</v>
      </c>
      <c r="G35" s="1115">
        <f t="shared" si="5"/>
        <v>234118.86799999999</v>
      </c>
      <c r="H35" s="1115">
        <f t="shared" si="6"/>
        <v>2737218.8319999999</v>
      </c>
      <c r="I35" s="1115">
        <f t="shared" si="7"/>
        <v>234118.86799999999</v>
      </c>
      <c r="L35" s="94" t="s">
        <v>579</v>
      </c>
      <c r="M35" s="840">
        <v>36767851</v>
      </c>
      <c r="N35" s="1115">
        <f t="shared" si="8"/>
        <v>36767.851000000002</v>
      </c>
      <c r="Q35" s="94" t="s">
        <v>366</v>
      </c>
      <c r="R35" s="840">
        <v>2804260900</v>
      </c>
      <c r="S35" s="840">
        <v>468940493</v>
      </c>
      <c r="T35" s="840">
        <v>2335320407</v>
      </c>
      <c r="U35" s="840">
        <v>468940493</v>
      </c>
      <c r="V35" s="169">
        <f t="shared" si="9"/>
        <v>2804260.9</v>
      </c>
      <c r="W35" s="169">
        <f t="shared" si="10"/>
        <v>468940.49300000002</v>
      </c>
      <c r="X35" s="169">
        <f t="shared" si="11"/>
        <v>2335320.4070000001</v>
      </c>
      <c r="Y35" s="169">
        <f t="shared" si="12"/>
        <v>468940.49300000002</v>
      </c>
      <c r="AB35" s="1390" t="s">
        <v>572</v>
      </c>
      <c r="AC35" s="1391">
        <v>10836394</v>
      </c>
      <c r="AD35" s="169">
        <f t="shared" si="13"/>
        <v>10836.394</v>
      </c>
      <c r="AG35" s="1390" t="s">
        <v>366</v>
      </c>
      <c r="AH35" s="1391">
        <v>2804260900</v>
      </c>
      <c r="AI35" s="1391">
        <v>704393850</v>
      </c>
      <c r="AJ35" s="1391">
        <v>704393850</v>
      </c>
      <c r="AK35" s="1391">
        <v>2099867050</v>
      </c>
      <c r="AL35" s="1407">
        <f t="shared" si="14"/>
        <v>2804260.9</v>
      </c>
      <c r="AM35" s="1407">
        <f t="shared" si="15"/>
        <v>704393.85</v>
      </c>
      <c r="AN35" s="1407">
        <f t="shared" si="16"/>
        <v>704393.85</v>
      </c>
      <c r="AO35" s="1407">
        <f t="shared" si="17"/>
        <v>2099867.0499999998</v>
      </c>
      <c r="AR35" s="1390" t="s">
        <v>573</v>
      </c>
      <c r="AS35" s="169">
        <v>159791294</v>
      </c>
      <c r="AT35" s="169">
        <f t="shared" si="18"/>
        <v>159791.29399999999</v>
      </c>
      <c r="AW35" s="1390" t="s">
        <v>366</v>
      </c>
      <c r="AX35" s="840">
        <v>2804060900</v>
      </c>
      <c r="AY35" s="840">
        <v>941532447</v>
      </c>
      <c r="AZ35" s="840">
        <v>941532447</v>
      </c>
      <c r="BA35" s="840">
        <v>1862528453</v>
      </c>
      <c r="BB35" s="169">
        <f t="shared" si="19"/>
        <v>2804060.9</v>
      </c>
      <c r="BC35" s="169">
        <f t="shared" si="20"/>
        <v>941532.44700000004</v>
      </c>
      <c r="BD35" s="169">
        <f t="shared" si="21"/>
        <v>941532.44700000004</v>
      </c>
      <c r="BE35" s="169">
        <f t="shared" si="22"/>
        <v>1862528.453</v>
      </c>
    </row>
    <row r="36" spans="1:57" ht="15" customHeight="1" x14ac:dyDescent="0.35">
      <c r="A36" s="841" t="s">
        <v>570</v>
      </c>
      <c r="B36" s="1115">
        <v>126648201</v>
      </c>
      <c r="C36" s="1115">
        <v>9785930</v>
      </c>
      <c r="D36" s="1115">
        <v>116862271</v>
      </c>
      <c r="E36" s="1115">
        <v>9785930</v>
      </c>
      <c r="F36" s="1115">
        <f t="shared" si="4"/>
        <v>126648.201</v>
      </c>
      <c r="G36" s="1115">
        <f t="shared" si="5"/>
        <v>9785.93</v>
      </c>
      <c r="H36" s="1115">
        <f t="shared" si="6"/>
        <v>116862.27099999999</v>
      </c>
      <c r="I36" s="1115">
        <f t="shared" si="7"/>
        <v>9785.93</v>
      </c>
      <c r="L36" s="94" t="s">
        <v>371</v>
      </c>
      <c r="M36" s="840">
        <v>42221557</v>
      </c>
      <c r="N36" s="1115">
        <f t="shared" si="8"/>
        <v>42221.557000000001</v>
      </c>
      <c r="Q36" s="94" t="s">
        <v>570</v>
      </c>
      <c r="R36" s="840">
        <v>126648201</v>
      </c>
      <c r="S36" s="840">
        <v>19776524</v>
      </c>
      <c r="T36" s="840">
        <v>106871677</v>
      </c>
      <c r="U36" s="840">
        <v>19776524</v>
      </c>
      <c r="V36" s="169">
        <f t="shared" si="9"/>
        <v>126648.201</v>
      </c>
      <c r="W36" s="169">
        <f t="shared" si="10"/>
        <v>19776.524000000001</v>
      </c>
      <c r="X36" s="169">
        <f t="shared" si="11"/>
        <v>106871.677</v>
      </c>
      <c r="Y36" s="169">
        <f t="shared" si="12"/>
        <v>19776.524000000001</v>
      </c>
      <c r="AB36" s="1390" t="s">
        <v>573</v>
      </c>
      <c r="AC36" s="1391">
        <v>234434317</v>
      </c>
      <c r="AD36" s="169">
        <f t="shared" si="13"/>
        <v>234434.31700000001</v>
      </c>
      <c r="AG36" s="1390" t="s">
        <v>570</v>
      </c>
      <c r="AH36" s="1391">
        <v>126648201</v>
      </c>
      <c r="AI36" s="1391">
        <v>29960908</v>
      </c>
      <c r="AJ36" s="1391">
        <v>29960908</v>
      </c>
      <c r="AK36" s="1391">
        <v>96687293</v>
      </c>
      <c r="AL36" s="1407">
        <f t="shared" si="14"/>
        <v>126648.201</v>
      </c>
      <c r="AM36" s="1407">
        <f t="shared" si="15"/>
        <v>29960.907999999999</v>
      </c>
      <c r="AN36" s="1407">
        <f t="shared" si="16"/>
        <v>29960.907999999999</v>
      </c>
      <c r="AO36" s="1407">
        <f t="shared" si="17"/>
        <v>96687.293000000005</v>
      </c>
      <c r="AR36" s="1390" t="s">
        <v>574</v>
      </c>
      <c r="AS36" s="169">
        <v>377817966</v>
      </c>
      <c r="AT36" s="169">
        <f t="shared" si="18"/>
        <v>377817.96600000001</v>
      </c>
      <c r="AW36" s="1390" t="s">
        <v>570</v>
      </c>
      <c r="AX36" s="840">
        <v>126648201</v>
      </c>
      <c r="AY36" s="840">
        <v>40254101</v>
      </c>
      <c r="AZ36" s="840">
        <v>40254101</v>
      </c>
      <c r="BA36" s="840">
        <v>86394100</v>
      </c>
      <c r="BB36" s="169">
        <f t="shared" si="19"/>
        <v>126648.201</v>
      </c>
      <c r="BC36" s="169">
        <f t="shared" si="20"/>
        <v>40254.101000000002</v>
      </c>
      <c r="BD36" s="169">
        <f t="shared" si="21"/>
        <v>40254.101000000002</v>
      </c>
      <c r="BE36" s="169">
        <f t="shared" si="22"/>
        <v>86394.1</v>
      </c>
    </row>
    <row r="37" spans="1:57" ht="15" customHeight="1" x14ac:dyDescent="0.35">
      <c r="A37" s="841" t="s">
        <v>367</v>
      </c>
      <c r="B37" s="1115">
        <v>1992107137</v>
      </c>
      <c r="C37" s="1115">
        <v>163949740</v>
      </c>
      <c r="D37" s="1115">
        <v>1828157397</v>
      </c>
      <c r="E37" s="1115">
        <v>163949740</v>
      </c>
      <c r="F37" s="1115">
        <f t="shared" si="4"/>
        <v>1992107.1370000001</v>
      </c>
      <c r="G37" s="1115">
        <f t="shared" si="5"/>
        <v>163949.74</v>
      </c>
      <c r="H37" s="1115">
        <f t="shared" si="6"/>
        <v>1828157.3970000001</v>
      </c>
      <c r="I37" s="1115">
        <f t="shared" si="7"/>
        <v>163949.74</v>
      </c>
      <c r="L37" s="94" t="s">
        <v>582</v>
      </c>
      <c r="M37" s="840">
        <v>20003036</v>
      </c>
      <c r="N37" s="1115">
        <f t="shared" si="8"/>
        <v>20003.036</v>
      </c>
      <c r="Q37" s="94" t="s">
        <v>367</v>
      </c>
      <c r="R37" s="840">
        <v>1992107137</v>
      </c>
      <c r="S37" s="840">
        <v>328699909</v>
      </c>
      <c r="T37" s="840">
        <v>1663407228</v>
      </c>
      <c r="U37" s="840">
        <v>328699909</v>
      </c>
      <c r="V37" s="169">
        <f t="shared" si="9"/>
        <v>1992107.1370000001</v>
      </c>
      <c r="W37" s="169">
        <f t="shared" si="10"/>
        <v>328699.90899999999</v>
      </c>
      <c r="X37" s="169">
        <f t="shared" si="11"/>
        <v>1663407.2279999999</v>
      </c>
      <c r="Y37" s="169">
        <f t="shared" si="12"/>
        <v>328699.90899999999</v>
      </c>
      <c r="AB37" s="1390" t="s">
        <v>574</v>
      </c>
      <c r="AC37" s="1391">
        <v>374990855</v>
      </c>
      <c r="AD37" s="169">
        <f t="shared" si="13"/>
        <v>374990.85499999998</v>
      </c>
      <c r="AG37" s="1390" t="s">
        <v>367</v>
      </c>
      <c r="AH37" s="1391">
        <v>1992107137</v>
      </c>
      <c r="AI37" s="1391">
        <v>493916595</v>
      </c>
      <c r="AJ37" s="1391">
        <v>493916595</v>
      </c>
      <c r="AK37" s="1391">
        <v>1498190542</v>
      </c>
      <c r="AL37" s="1407">
        <f t="shared" si="14"/>
        <v>1992107.1370000001</v>
      </c>
      <c r="AM37" s="1407">
        <f t="shared" si="15"/>
        <v>493916.59499999997</v>
      </c>
      <c r="AN37" s="1407">
        <f t="shared" si="16"/>
        <v>493916.59499999997</v>
      </c>
      <c r="AO37" s="1407">
        <f t="shared" si="17"/>
        <v>1498190.5419999999</v>
      </c>
      <c r="AR37" s="1390" t="s">
        <v>575</v>
      </c>
      <c r="AS37" s="169">
        <v>0</v>
      </c>
      <c r="AT37" s="169">
        <f t="shared" si="18"/>
        <v>0</v>
      </c>
      <c r="AW37" s="1390" t="s">
        <v>367</v>
      </c>
      <c r="AX37" s="840">
        <v>1992107137</v>
      </c>
      <c r="AY37" s="840">
        <v>660369259</v>
      </c>
      <c r="AZ37" s="840">
        <v>660369259</v>
      </c>
      <c r="BA37" s="840">
        <v>1331737878</v>
      </c>
      <c r="BB37" s="169">
        <f t="shared" si="19"/>
        <v>1992107.1370000001</v>
      </c>
      <c r="BC37" s="169">
        <f t="shared" si="20"/>
        <v>660369.25899999996</v>
      </c>
      <c r="BD37" s="169">
        <f t="shared" si="21"/>
        <v>660369.25899999996</v>
      </c>
      <c r="BE37" s="169">
        <f t="shared" si="22"/>
        <v>1331737.878</v>
      </c>
    </row>
    <row r="38" spans="1:57" ht="15" customHeight="1" x14ac:dyDescent="0.35">
      <c r="A38" s="841" t="s">
        <v>368</v>
      </c>
      <c r="B38" s="1115">
        <v>278309698</v>
      </c>
      <c r="C38" s="1115">
        <v>22604443</v>
      </c>
      <c r="D38" s="1115">
        <v>255705255</v>
      </c>
      <c r="E38" s="1115">
        <v>22604443</v>
      </c>
      <c r="F38" s="1115">
        <f t="shared" si="4"/>
        <v>278309.69799999997</v>
      </c>
      <c r="G38" s="1115">
        <f t="shared" si="5"/>
        <v>22604.442999999999</v>
      </c>
      <c r="H38" s="1115">
        <f t="shared" si="6"/>
        <v>255705.255</v>
      </c>
      <c r="I38" s="1115">
        <f t="shared" si="7"/>
        <v>22604.442999999999</v>
      </c>
      <c r="L38" s="94" t="s">
        <v>583</v>
      </c>
      <c r="M38" s="840">
        <v>8433027</v>
      </c>
      <c r="N38" s="1115">
        <f t="shared" si="8"/>
        <v>8433.027</v>
      </c>
      <c r="Q38" s="94" t="s">
        <v>368</v>
      </c>
      <c r="R38" s="840">
        <v>278309698</v>
      </c>
      <c r="S38" s="840">
        <v>45208886</v>
      </c>
      <c r="T38" s="840">
        <v>233100812</v>
      </c>
      <c r="U38" s="840">
        <v>45208886</v>
      </c>
      <c r="V38" s="169">
        <f t="shared" si="9"/>
        <v>278309.69799999997</v>
      </c>
      <c r="W38" s="169">
        <f t="shared" si="10"/>
        <v>45208.885999999999</v>
      </c>
      <c r="X38" s="169">
        <f t="shared" si="11"/>
        <v>233100.81200000001</v>
      </c>
      <c r="Y38" s="169">
        <f t="shared" si="12"/>
        <v>45208.885999999999</v>
      </c>
      <c r="AB38" s="1390" t="s">
        <v>575</v>
      </c>
      <c r="AC38" s="1391">
        <v>353260716</v>
      </c>
      <c r="AD38" s="169">
        <f t="shared" si="13"/>
        <v>353260.71600000001</v>
      </c>
      <c r="AG38" s="1390" t="s">
        <v>368</v>
      </c>
      <c r="AH38" s="1391">
        <v>278309698</v>
      </c>
      <c r="AI38" s="1391">
        <v>67832138</v>
      </c>
      <c r="AJ38" s="1391">
        <v>67832138</v>
      </c>
      <c r="AK38" s="1391">
        <v>210477560</v>
      </c>
      <c r="AL38" s="1407">
        <f t="shared" si="14"/>
        <v>278309.69799999997</v>
      </c>
      <c r="AM38" s="1407">
        <f t="shared" si="15"/>
        <v>67832.138000000006</v>
      </c>
      <c r="AN38" s="1407">
        <f t="shared" si="16"/>
        <v>67832.138000000006</v>
      </c>
      <c r="AO38" s="1407">
        <f t="shared" si="17"/>
        <v>210477.56</v>
      </c>
      <c r="AR38" s="1390" t="s">
        <v>576</v>
      </c>
      <c r="AS38" s="169">
        <v>0</v>
      </c>
      <c r="AT38" s="169">
        <f t="shared" si="18"/>
        <v>0</v>
      </c>
      <c r="AW38" s="1390" t="s">
        <v>368</v>
      </c>
      <c r="AX38" s="840">
        <v>278309698</v>
      </c>
      <c r="AY38" s="840">
        <v>90436581</v>
      </c>
      <c r="AZ38" s="840">
        <v>90436581</v>
      </c>
      <c r="BA38" s="840">
        <v>187873117</v>
      </c>
      <c r="BB38" s="169">
        <f t="shared" si="19"/>
        <v>278309.69799999997</v>
      </c>
      <c r="BC38" s="169">
        <f t="shared" si="20"/>
        <v>90436.581000000006</v>
      </c>
      <c r="BD38" s="169">
        <f t="shared" si="21"/>
        <v>90436.581000000006</v>
      </c>
      <c r="BE38" s="169">
        <f t="shared" si="22"/>
        <v>187873.117</v>
      </c>
    </row>
    <row r="39" spans="1:57" ht="15" customHeight="1" x14ac:dyDescent="0.35">
      <c r="A39" s="841" t="s">
        <v>571</v>
      </c>
      <c r="B39" s="1115">
        <v>24742</v>
      </c>
      <c r="C39" s="1115">
        <v>0</v>
      </c>
      <c r="D39" s="1115">
        <v>24742</v>
      </c>
      <c r="E39" s="1115">
        <v>0</v>
      </c>
      <c r="F39" s="1115">
        <f t="shared" si="4"/>
        <v>24.742000000000001</v>
      </c>
      <c r="G39" s="1115">
        <f t="shared" si="5"/>
        <v>0</v>
      </c>
      <c r="H39" s="1115">
        <f t="shared" si="6"/>
        <v>24.742000000000001</v>
      </c>
      <c r="I39" s="1115">
        <f t="shared" si="7"/>
        <v>0</v>
      </c>
      <c r="L39" s="94" t="s">
        <v>624</v>
      </c>
      <c r="M39" s="840">
        <v>13785494</v>
      </c>
      <c r="N39" s="1115">
        <f t="shared" si="8"/>
        <v>13785.494000000001</v>
      </c>
      <c r="Q39" s="94" t="s">
        <v>571</v>
      </c>
      <c r="R39" s="840">
        <v>24742</v>
      </c>
      <c r="S39" s="840">
        <v>0</v>
      </c>
      <c r="T39" s="840">
        <v>24742</v>
      </c>
      <c r="U39" s="840">
        <v>0</v>
      </c>
      <c r="V39" s="169">
        <f t="shared" si="9"/>
        <v>24.742000000000001</v>
      </c>
      <c r="W39" s="169">
        <f t="shared" si="10"/>
        <v>0</v>
      </c>
      <c r="X39" s="169">
        <f t="shared" si="11"/>
        <v>24.742000000000001</v>
      </c>
      <c r="Y39" s="169">
        <f t="shared" si="12"/>
        <v>0</v>
      </c>
      <c r="AB39" s="1390" t="s">
        <v>576</v>
      </c>
      <c r="AC39" s="1391">
        <v>12566007</v>
      </c>
      <c r="AD39" s="169">
        <f t="shared" si="13"/>
        <v>12566.007</v>
      </c>
      <c r="AG39" s="1390" t="s">
        <v>571</v>
      </c>
      <c r="AH39" s="1391">
        <v>24742</v>
      </c>
      <c r="AI39" s="1391">
        <v>0</v>
      </c>
      <c r="AJ39" s="1391">
        <v>0</v>
      </c>
      <c r="AK39" s="1391">
        <v>24742</v>
      </c>
      <c r="AL39" s="1407">
        <f t="shared" si="14"/>
        <v>24.742000000000001</v>
      </c>
      <c r="AM39" s="1407">
        <f t="shared" si="15"/>
        <v>0</v>
      </c>
      <c r="AN39" s="1407">
        <f t="shared" si="16"/>
        <v>0</v>
      </c>
      <c r="AO39" s="1407">
        <f t="shared" si="17"/>
        <v>24.742000000000001</v>
      </c>
      <c r="AR39" s="1390" t="s">
        <v>992</v>
      </c>
      <c r="AS39" s="169">
        <v>13200000</v>
      </c>
      <c r="AT39" s="169">
        <f t="shared" si="18"/>
        <v>13200</v>
      </c>
      <c r="AW39" s="1390" t="s">
        <v>571</v>
      </c>
      <c r="AX39" s="840">
        <v>24742</v>
      </c>
      <c r="AY39" s="840">
        <v>0</v>
      </c>
      <c r="AZ39" s="840">
        <v>0</v>
      </c>
      <c r="BA39" s="840">
        <v>24742</v>
      </c>
      <c r="BB39" s="169">
        <f t="shared" si="19"/>
        <v>24.742000000000001</v>
      </c>
      <c r="BC39" s="169">
        <f t="shared" si="20"/>
        <v>0</v>
      </c>
      <c r="BD39" s="169">
        <f t="shared" si="21"/>
        <v>0</v>
      </c>
      <c r="BE39" s="169">
        <f t="shared" si="22"/>
        <v>24.742000000000001</v>
      </c>
    </row>
    <row r="40" spans="1:57" ht="15" customHeight="1" x14ac:dyDescent="0.35">
      <c r="A40" s="841" t="s">
        <v>572</v>
      </c>
      <c r="B40" s="1115">
        <v>144924040</v>
      </c>
      <c r="C40" s="1115">
        <v>10836394</v>
      </c>
      <c r="D40" s="1115">
        <v>134087646</v>
      </c>
      <c r="E40" s="1115">
        <v>10836394</v>
      </c>
      <c r="F40" s="1115">
        <f t="shared" si="4"/>
        <v>144924.04</v>
      </c>
      <c r="G40" s="1115">
        <f t="shared" si="5"/>
        <v>10836.394</v>
      </c>
      <c r="H40" s="1115">
        <f t="shared" si="6"/>
        <v>134087.64600000001</v>
      </c>
      <c r="I40" s="1115">
        <f t="shared" si="7"/>
        <v>10836.394</v>
      </c>
      <c r="L40" s="94" t="s">
        <v>375</v>
      </c>
      <c r="M40" s="840">
        <v>95423415</v>
      </c>
      <c r="N40" s="1115">
        <f t="shared" si="8"/>
        <v>95423.414999999994</v>
      </c>
      <c r="Q40" s="94" t="s">
        <v>572</v>
      </c>
      <c r="R40" s="840">
        <v>144924040</v>
      </c>
      <c r="S40" s="840">
        <v>21672788</v>
      </c>
      <c r="T40" s="840">
        <v>123251252</v>
      </c>
      <c r="U40" s="840">
        <v>21672788</v>
      </c>
      <c r="V40" s="169">
        <f t="shared" si="9"/>
        <v>144924.04</v>
      </c>
      <c r="W40" s="169">
        <f t="shared" si="10"/>
        <v>21672.788</v>
      </c>
      <c r="X40" s="169">
        <f t="shared" si="11"/>
        <v>123251.25199999999</v>
      </c>
      <c r="Y40" s="169">
        <f t="shared" si="12"/>
        <v>21672.788</v>
      </c>
      <c r="AB40" s="1390" t="s">
        <v>992</v>
      </c>
      <c r="AC40" s="1391">
        <v>13235200</v>
      </c>
      <c r="AD40" s="169">
        <f t="shared" si="13"/>
        <v>13235.2</v>
      </c>
      <c r="AG40" s="1390" t="s">
        <v>572</v>
      </c>
      <c r="AH40" s="1391">
        <v>144924040</v>
      </c>
      <c r="AI40" s="1391">
        <v>32509182</v>
      </c>
      <c r="AJ40" s="1391">
        <v>32509182</v>
      </c>
      <c r="AK40" s="1391">
        <v>112414858</v>
      </c>
      <c r="AL40" s="1407">
        <f t="shared" si="14"/>
        <v>144924.04</v>
      </c>
      <c r="AM40" s="1407">
        <f t="shared" si="15"/>
        <v>32509.182000000001</v>
      </c>
      <c r="AN40" s="1407">
        <f t="shared" si="16"/>
        <v>32509.182000000001</v>
      </c>
      <c r="AO40" s="1407">
        <f t="shared" si="17"/>
        <v>112414.85799999999</v>
      </c>
      <c r="AR40" s="1390" t="s">
        <v>369</v>
      </c>
      <c r="AS40" s="169">
        <v>37734107</v>
      </c>
      <c r="AT40" s="169">
        <f t="shared" si="18"/>
        <v>37734.107000000004</v>
      </c>
      <c r="AW40" s="1390" t="s">
        <v>572</v>
      </c>
      <c r="AX40" s="840">
        <v>144924040</v>
      </c>
      <c r="AY40" s="840">
        <v>43345576</v>
      </c>
      <c r="AZ40" s="840">
        <v>43345576</v>
      </c>
      <c r="BA40" s="840">
        <v>101578464</v>
      </c>
      <c r="BB40" s="169">
        <f t="shared" si="19"/>
        <v>144924.04</v>
      </c>
      <c r="BC40" s="169">
        <f t="shared" si="20"/>
        <v>43345.576000000001</v>
      </c>
      <c r="BD40" s="169">
        <f t="shared" si="21"/>
        <v>43345.576000000001</v>
      </c>
      <c r="BE40" s="169">
        <f t="shared" si="22"/>
        <v>101578.46400000001</v>
      </c>
    </row>
    <row r="41" spans="1:57" ht="15" customHeight="1" x14ac:dyDescent="0.35">
      <c r="A41" s="841" t="s">
        <v>573</v>
      </c>
      <c r="B41" s="1115">
        <v>2269566595</v>
      </c>
      <c r="C41" s="1115">
        <v>157558650</v>
      </c>
      <c r="D41" s="1115">
        <v>2112007945</v>
      </c>
      <c r="E41" s="1115">
        <v>157558650</v>
      </c>
      <c r="F41" s="1115">
        <f t="shared" si="4"/>
        <v>2269566.5950000002</v>
      </c>
      <c r="G41" s="1115">
        <f t="shared" si="5"/>
        <v>157558.65</v>
      </c>
      <c r="H41" s="1115">
        <f t="shared" si="6"/>
        <v>2112007.9449999998</v>
      </c>
      <c r="I41" s="1115">
        <f t="shared" si="7"/>
        <v>157558.65</v>
      </c>
      <c r="L41" s="94" t="s">
        <v>584</v>
      </c>
      <c r="M41" s="840">
        <v>93783863</v>
      </c>
      <c r="N41" s="1115">
        <f t="shared" si="8"/>
        <v>93783.862999999998</v>
      </c>
      <c r="Q41" s="94" t="s">
        <v>573</v>
      </c>
      <c r="R41" s="840">
        <v>2269566595</v>
      </c>
      <c r="S41" s="840">
        <v>315757563</v>
      </c>
      <c r="T41" s="840">
        <v>1953809032</v>
      </c>
      <c r="U41" s="840">
        <v>315757563</v>
      </c>
      <c r="V41" s="169">
        <f t="shared" si="9"/>
        <v>2269566.5950000002</v>
      </c>
      <c r="W41" s="169">
        <f t="shared" si="10"/>
        <v>315757.56300000002</v>
      </c>
      <c r="X41" s="169">
        <f t="shared" si="11"/>
        <v>1953809.0319999999</v>
      </c>
      <c r="Y41" s="169">
        <f t="shared" si="12"/>
        <v>315757.56300000002</v>
      </c>
      <c r="AB41" s="1390" t="s">
        <v>369</v>
      </c>
      <c r="AC41" s="1391">
        <v>58556413</v>
      </c>
      <c r="AD41" s="169">
        <f t="shared" si="13"/>
        <v>58556.413</v>
      </c>
      <c r="AG41" s="1390" t="s">
        <v>573</v>
      </c>
      <c r="AH41" s="1391">
        <v>2269566595</v>
      </c>
      <c r="AI41" s="1391">
        <v>550191880</v>
      </c>
      <c r="AJ41" s="1391">
        <v>550191880</v>
      </c>
      <c r="AK41" s="1391">
        <v>1719374715</v>
      </c>
      <c r="AL41" s="1407">
        <f t="shared" si="14"/>
        <v>2269566.5950000002</v>
      </c>
      <c r="AM41" s="1407">
        <f t="shared" si="15"/>
        <v>550191.88</v>
      </c>
      <c r="AN41" s="1407">
        <f t="shared" si="16"/>
        <v>550191.88</v>
      </c>
      <c r="AO41" s="1407">
        <f t="shared" si="17"/>
        <v>1719374.7150000001</v>
      </c>
      <c r="AR41" s="1390" t="s">
        <v>579</v>
      </c>
      <c r="AS41" s="169">
        <v>37734107</v>
      </c>
      <c r="AT41" s="169">
        <f t="shared" si="18"/>
        <v>37734.107000000004</v>
      </c>
      <c r="AW41" s="1390" t="s">
        <v>573</v>
      </c>
      <c r="AX41" s="840">
        <v>2269566595</v>
      </c>
      <c r="AY41" s="840">
        <v>709983174</v>
      </c>
      <c r="AZ41" s="840">
        <v>709983174</v>
      </c>
      <c r="BA41" s="840">
        <v>1559583421</v>
      </c>
      <c r="BB41" s="169">
        <f t="shared" si="19"/>
        <v>2269566.5950000002</v>
      </c>
      <c r="BC41" s="169">
        <f t="shared" si="20"/>
        <v>709983.174</v>
      </c>
      <c r="BD41" s="169">
        <f t="shared" si="21"/>
        <v>709983.174</v>
      </c>
      <c r="BE41" s="169">
        <f t="shared" si="22"/>
        <v>1559583.4210000001</v>
      </c>
    </row>
    <row r="42" spans="1:57" ht="15" customHeight="1" x14ac:dyDescent="0.35">
      <c r="A42" s="841" t="s">
        <v>574</v>
      </c>
      <c r="B42" s="1115">
        <v>3085589911</v>
      </c>
      <c r="C42" s="1115">
        <v>372446041</v>
      </c>
      <c r="D42" s="1115">
        <v>2713143870</v>
      </c>
      <c r="E42" s="1115">
        <v>372446041</v>
      </c>
      <c r="F42" s="1115">
        <f t="shared" si="4"/>
        <v>3085589.9109999998</v>
      </c>
      <c r="G42" s="1115">
        <f t="shared" si="5"/>
        <v>372446.04100000003</v>
      </c>
      <c r="H42" s="1115">
        <f t="shared" si="6"/>
        <v>2713143.87</v>
      </c>
      <c r="I42" s="1115">
        <f t="shared" si="7"/>
        <v>372446.04100000003</v>
      </c>
      <c r="L42" s="94" t="s">
        <v>585</v>
      </c>
      <c r="M42" s="840">
        <v>90134707</v>
      </c>
      <c r="N42" s="1115">
        <f t="shared" si="8"/>
        <v>90134.706999999995</v>
      </c>
      <c r="Q42" s="94" t="s">
        <v>574</v>
      </c>
      <c r="R42" s="840">
        <v>3085589911</v>
      </c>
      <c r="S42" s="840">
        <v>746349094</v>
      </c>
      <c r="T42" s="840">
        <v>2339240817</v>
      </c>
      <c r="U42" s="840">
        <v>746349094</v>
      </c>
      <c r="V42" s="169">
        <f t="shared" si="9"/>
        <v>3085589.9109999998</v>
      </c>
      <c r="W42" s="169">
        <f t="shared" si="10"/>
        <v>746349.09400000004</v>
      </c>
      <c r="X42" s="169">
        <f t="shared" si="11"/>
        <v>2339240.8169999998</v>
      </c>
      <c r="Y42" s="169">
        <f t="shared" si="12"/>
        <v>746349.09400000004</v>
      </c>
      <c r="AB42" s="1390" t="s">
        <v>578</v>
      </c>
      <c r="AC42" s="1391">
        <v>6733740</v>
      </c>
      <c r="AD42" s="169">
        <f t="shared" si="13"/>
        <v>6733.74</v>
      </c>
      <c r="AG42" s="1390" t="s">
        <v>574</v>
      </c>
      <c r="AH42" s="1391">
        <v>3085589911</v>
      </c>
      <c r="AI42" s="1391">
        <v>1121339949</v>
      </c>
      <c r="AJ42" s="1391">
        <v>1121339949</v>
      </c>
      <c r="AK42" s="1391">
        <v>1964249962</v>
      </c>
      <c r="AL42" s="1407">
        <f t="shared" si="14"/>
        <v>3085589.9109999998</v>
      </c>
      <c r="AM42" s="1407">
        <f t="shared" si="15"/>
        <v>1121339.949</v>
      </c>
      <c r="AN42" s="1407">
        <f t="shared" si="16"/>
        <v>1121339.949</v>
      </c>
      <c r="AO42" s="1407">
        <f t="shared" si="17"/>
        <v>1964249.9620000001</v>
      </c>
      <c r="AR42" s="1390" t="s">
        <v>580</v>
      </c>
      <c r="AS42" s="169">
        <v>0</v>
      </c>
      <c r="AT42" s="169">
        <f t="shared" si="18"/>
        <v>0</v>
      </c>
      <c r="AW42" s="1390" t="s">
        <v>574</v>
      </c>
      <c r="AX42" s="840">
        <v>3085589911</v>
      </c>
      <c r="AY42" s="840">
        <v>1499157915</v>
      </c>
      <c r="AZ42" s="840">
        <v>1499157915</v>
      </c>
      <c r="BA42" s="840">
        <v>1586431996</v>
      </c>
      <c r="BB42" s="169">
        <f t="shared" si="19"/>
        <v>3085589.9109999998</v>
      </c>
      <c r="BC42" s="169">
        <f t="shared" si="20"/>
        <v>1499157.915</v>
      </c>
      <c r="BD42" s="169">
        <f t="shared" si="21"/>
        <v>1499157.915</v>
      </c>
      <c r="BE42" s="169">
        <f t="shared" si="22"/>
        <v>1586431.996</v>
      </c>
    </row>
    <row r="43" spans="1:57" ht="15" customHeight="1" x14ac:dyDescent="0.35">
      <c r="A43" s="841" t="s">
        <v>575</v>
      </c>
      <c r="B43" s="1115">
        <v>1431430245</v>
      </c>
      <c r="C43" s="1115">
        <v>0</v>
      </c>
      <c r="D43" s="1115">
        <v>1431430245</v>
      </c>
      <c r="E43" s="1115">
        <v>0</v>
      </c>
      <c r="F43" s="1115">
        <f t="shared" si="4"/>
        <v>1431430.2450000001</v>
      </c>
      <c r="G43" s="1115">
        <f t="shared" si="5"/>
        <v>0</v>
      </c>
      <c r="H43" s="1115">
        <f t="shared" si="6"/>
        <v>1431430.2450000001</v>
      </c>
      <c r="I43" s="1115">
        <f t="shared" si="7"/>
        <v>0</v>
      </c>
      <c r="L43" s="94" t="s">
        <v>586</v>
      </c>
      <c r="M43" s="840">
        <v>3649156</v>
      </c>
      <c r="N43" s="1115">
        <f t="shared" si="8"/>
        <v>3649.1559999999999</v>
      </c>
      <c r="Q43" s="94" t="s">
        <v>575</v>
      </c>
      <c r="R43" s="840">
        <v>1431430245</v>
      </c>
      <c r="S43" s="840">
        <v>0</v>
      </c>
      <c r="T43" s="840">
        <v>1431430245</v>
      </c>
      <c r="U43" s="840">
        <v>0</v>
      </c>
      <c r="V43" s="169">
        <f t="shared" si="9"/>
        <v>1431430.2450000001</v>
      </c>
      <c r="W43" s="169">
        <f t="shared" si="10"/>
        <v>0</v>
      </c>
      <c r="X43" s="169">
        <f t="shared" si="11"/>
        <v>1431430.2450000001</v>
      </c>
      <c r="Y43" s="169">
        <f t="shared" si="12"/>
        <v>0</v>
      </c>
      <c r="AB43" s="1390" t="s">
        <v>579</v>
      </c>
      <c r="AC43" s="1391">
        <v>51822673</v>
      </c>
      <c r="AD43" s="169">
        <f t="shared" si="13"/>
        <v>51822.673000000003</v>
      </c>
      <c r="AG43" s="1390" t="s">
        <v>575</v>
      </c>
      <c r="AH43" s="1391">
        <v>1431430245</v>
      </c>
      <c r="AI43" s="1391">
        <v>353260716</v>
      </c>
      <c r="AJ43" s="1391">
        <v>353260716</v>
      </c>
      <c r="AK43" s="1391">
        <v>1078169529</v>
      </c>
      <c r="AL43" s="1407">
        <f t="shared" si="14"/>
        <v>1431430.2450000001</v>
      </c>
      <c r="AM43" s="1407">
        <f t="shared" si="15"/>
        <v>353260.71600000001</v>
      </c>
      <c r="AN43" s="1407">
        <f t="shared" si="16"/>
        <v>353260.71600000001</v>
      </c>
      <c r="AO43" s="1407">
        <f t="shared" si="17"/>
        <v>1078169.5290000001</v>
      </c>
      <c r="AR43" s="1390" t="s">
        <v>581</v>
      </c>
      <c r="AS43" s="169">
        <v>0</v>
      </c>
      <c r="AT43" s="169">
        <f t="shared" si="18"/>
        <v>0</v>
      </c>
      <c r="AW43" s="1390" t="s">
        <v>575</v>
      </c>
      <c r="AX43" s="840">
        <v>1431430245</v>
      </c>
      <c r="AY43" s="840">
        <v>353260716</v>
      </c>
      <c r="AZ43" s="840">
        <v>353260716</v>
      </c>
      <c r="BA43" s="840">
        <v>1078169529</v>
      </c>
      <c r="BB43" s="169">
        <f t="shared" si="19"/>
        <v>1431430.2450000001</v>
      </c>
      <c r="BC43" s="169">
        <f t="shared" si="20"/>
        <v>353260.71600000001</v>
      </c>
      <c r="BD43" s="169">
        <f t="shared" si="21"/>
        <v>353260.71600000001</v>
      </c>
      <c r="BE43" s="169">
        <f t="shared" si="22"/>
        <v>1078169.5290000001</v>
      </c>
    </row>
    <row r="44" spans="1:57" ht="15" customHeight="1" x14ac:dyDescent="0.35">
      <c r="A44" s="841" t="s">
        <v>576</v>
      </c>
      <c r="B44" s="1115">
        <v>50666759</v>
      </c>
      <c r="C44" s="1115">
        <v>0</v>
      </c>
      <c r="D44" s="1115">
        <v>50666759</v>
      </c>
      <c r="E44" s="1115">
        <v>0</v>
      </c>
      <c r="F44" s="1115">
        <f t="shared" si="4"/>
        <v>50666.758999999998</v>
      </c>
      <c r="G44" s="1115">
        <f t="shared" si="5"/>
        <v>0</v>
      </c>
      <c r="H44" s="1115">
        <f t="shared" si="6"/>
        <v>50666.758999999998</v>
      </c>
      <c r="I44" s="1115">
        <f t="shared" si="7"/>
        <v>0</v>
      </c>
      <c r="L44" s="94" t="s">
        <v>376</v>
      </c>
      <c r="M44" s="840">
        <v>1639552</v>
      </c>
      <c r="N44" s="1115">
        <f t="shared" si="8"/>
        <v>1639.5519999999999</v>
      </c>
      <c r="Q44" s="94" t="s">
        <v>576</v>
      </c>
      <c r="R44" s="840">
        <v>50666759</v>
      </c>
      <c r="S44" s="840">
        <v>0</v>
      </c>
      <c r="T44" s="840">
        <v>50666759</v>
      </c>
      <c r="U44" s="840">
        <v>0</v>
      </c>
      <c r="V44" s="169">
        <f t="shared" si="9"/>
        <v>50666.758999999998</v>
      </c>
      <c r="W44" s="169">
        <f t="shared" si="10"/>
        <v>0</v>
      </c>
      <c r="X44" s="169">
        <f t="shared" si="11"/>
        <v>50666.758999999998</v>
      </c>
      <c r="Y44" s="169">
        <f t="shared" si="12"/>
        <v>0</v>
      </c>
      <c r="AB44" s="1390" t="s">
        <v>580</v>
      </c>
      <c r="AC44" s="1391">
        <v>343288252</v>
      </c>
      <c r="AD44" s="169">
        <f t="shared" si="13"/>
        <v>343288.25199999998</v>
      </c>
      <c r="AG44" s="1390" t="s">
        <v>576</v>
      </c>
      <c r="AH44" s="1391">
        <v>50666759</v>
      </c>
      <c r="AI44" s="1391">
        <v>12566007</v>
      </c>
      <c r="AJ44" s="1391">
        <v>12566007</v>
      </c>
      <c r="AK44" s="1391">
        <v>38100752</v>
      </c>
      <c r="AL44" s="1407">
        <f t="shared" si="14"/>
        <v>50666.758999999998</v>
      </c>
      <c r="AM44" s="1407">
        <f t="shared" si="15"/>
        <v>12566.007</v>
      </c>
      <c r="AN44" s="1407">
        <f t="shared" si="16"/>
        <v>12566.007</v>
      </c>
      <c r="AO44" s="1407">
        <f t="shared" si="17"/>
        <v>38100.752</v>
      </c>
      <c r="AR44" s="1390" t="s">
        <v>370</v>
      </c>
      <c r="AS44" s="169">
        <v>0</v>
      </c>
      <c r="AT44" s="169">
        <f t="shared" si="18"/>
        <v>0</v>
      </c>
      <c r="AW44" s="1390" t="s">
        <v>576</v>
      </c>
      <c r="AX44" s="840">
        <v>50666759</v>
      </c>
      <c r="AY44" s="840">
        <v>12566007</v>
      </c>
      <c r="AZ44" s="840">
        <v>12566007</v>
      </c>
      <c r="BA44" s="840">
        <v>38100752</v>
      </c>
      <c r="BB44" s="169">
        <f t="shared" si="19"/>
        <v>50666.758999999998</v>
      </c>
      <c r="BC44" s="169">
        <f t="shared" si="20"/>
        <v>12566.007</v>
      </c>
      <c r="BD44" s="169">
        <f t="shared" si="21"/>
        <v>12566.007</v>
      </c>
      <c r="BE44" s="169">
        <f t="shared" si="22"/>
        <v>38100.752</v>
      </c>
    </row>
    <row r="45" spans="1:57" ht="15" customHeight="1" x14ac:dyDescent="0.35">
      <c r="A45" s="841" t="s">
        <v>577</v>
      </c>
      <c r="B45" s="1115">
        <v>55235102</v>
      </c>
      <c r="C45" s="1115">
        <v>0</v>
      </c>
      <c r="D45" s="1115">
        <v>55235102</v>
      </c>
      <c r="E45" s="1115">
        <v>0</v>
      </c>
      <c r="F45" s="1115">
        <f t="shared" si="4"/>
        <v>55235.101999999999</v>
      </c>
      <c r="G45" s="1115">
        <f t="shared" si="5"/>
        <v>0</v>
      </c>
      <c r="H45" s="1115">
        <f t="shared" si="6"/>
        <v>55235.101999999999</v>
      </c>
      <c r="I45" s="1115">
        <f t="shared" si="7"/>
        <v>0</v>
      </c>
      <c r="L45" s="94" t="s">
        <v>378</v>
      </c>
      <c r="M45" s="840">
        <v>81155466</v>
      </c>
      <c r="N45" s="1115">
        <f t="shared" si="8"/>
        <v>81155.466</v>
      </c>
      <c r="Q45" s="94" t="s">
        <v>577</v>
      </c>
      <c r="R45" s="840">
        <v>55235102</v>
      </c>
      <c r="S45" s="840">
        <v>0</v>
      </c>
      <c r="T45" s="840">
        <v>55235102</v>
      </c>
      <c r="U45" s="840">
        <v>0</v>
      </c>
      <c r="V45" s="169">
        <f t="shared" si="9"/>
        <v>55235.101999999999</v>
      </c>
      <c r="W45" s="169">
        <f t="shared" si="10"/>
        <v>0</v>
      </c>
      <c r="X45" s="169">
        <f t="shared" si="11"/>
        <v>55235.101999999999</v>
      </c>
      <c r="Y45" s="169">
        <f t="shared" si="12"/>
        <v>0</v>
      </c>
      <c r="AB45" s="1390" t="s">
        <v>581</v>
      </c>
      <c r="AC45" s="1391">
        <v>178985287</v>
      </c>
      <c r="AD45" s="169">
        <f t="shared" si="13"/>
        <v>178985.28700000001</v>
      </c>
      <c r="AG45" s="1390" t="s">
        <v>577</v>
      </c>
      <c r="AH45" s="1391">
        <v>55235102</v>
      </c>
      <c r="AI45" s="1391">
        <v>0</v>
      </c>
      <c r="AJ45" s="1391">
        <v>0</v>
      </c>
      <c r="AK45" s="1391">
        <v>55235102</v>
      </c>
      <c r="AL45" s="1407">
        <f t="shared" si="14"/>
        <v>55235.101999999999</v>
      </c>
      <c r="AM45" s="1407">
        <f t="shared" si="15"/>
        <v>0</v>
      </c>
      <c r="AN45" s="1407">
        <f t="shared" si="16"/>
        <v>0</v>
      </c>
      <c r="AO45" s="1407">
        <f t="shared" si="17"/>
        <v>55235.101999999999</v>
      </c>
      <c r="AR45" s="1390" t="s">
        <v>371</v>
      </c>
      <c r="AS45" s="169">
        <v>40582861</v>
      </c>
      <c r="AT45" s="169">
        <f t="shared" si="18"/>
        <v>40582.860999999997</v>
      </c>
      <c r="AW45" s="1390" t="s">
        <v>577</v>
      </c>
      <c r="AX45" s="840">
        <v>55235102</v>
      </c>
      <c r="AY45" s="840">
        <v>0</v>
      </c>
      <c r="AZ45" s="840">
        <v>0</v>
      </c>
      <c r="BA45" s="840">
        <v>55235102</v>
      </c>
      <c r="BB45" s="169">
        <f t="shared" si="19"/>
        <v>55235.101999999999</v>
      </c>
      <c r="BC45" s="169">
        <f t="shared" si="20"/>
        <v>0</v>
      </c>
      <c r="BD45" s="169">
        <f t="shared" si="21"/>
        <v>0</v>
      </c>
      <c r="BE45" s="169">
        <f t="shared" si="22"/>
        <v>55235.101999999999</v>
      </c>
    </row>
    <row r="46" spans="1:57" ht="15" customHeight="1" x14ac:dyDescent="0.35">
      <c r="A46" s="841" t="s">
        <v>992</v>
      </c>
      <c r="B46" s="1115">
        <v>12936000</v>
      </c>
      <c r="C46" s="1115">
        <v>12936000</v>
      </c>
      <c r="D46" s="1115">
        <v>0</v>
      </c>
      <c r="E46" s="1115">
        <v>12936000</v>
      </c>
      <c r="F46" s="1115">
        <f t="shared" si="4"/>
        <v>12936</v>
      </c>
      <c r="G46" s="1115">
        <f t="shared" si="5"/>
        <v>12936</v>
      </c>
      <c r="H46" s="1115">
        <f t="shared" si="6"/>
        <v>0</v>
      </c>
      <c r="I46" s="1115">
        <f t="shared" si="7"/>
        <v>12936</v>
      </c>
      <c r="L46" s="94" t="s">
        <v>379</v>
      </c>
      <c r="M46" s="840">
        <v>7043385</v>
      </c>
      <c r="N46" s="1115">
        <f t="shared" si="8"/>
        <v>7043.3850000000002</v>
      </c>
      <c r="Q46" s="94" t="s">
        <v>992</v>
      </c>
      <c r="R46" s="840">
        <v>156780800</v>
      </c>
      <c r="S46" s="840">
        <v>26012800</v>
      </c>
      <c r="T46" s="840">
        <v>130768000</v>
      </c>
      <c r="U46" s="840">
        <v>26012800</v>
      </c>
      <c r="V46" s="169">
        <f t="shared" si="9"/>
        <v>156780.79999999999</v>
      </c>
      <c r="W46" s="169">
        <f t="shared" si="10"/>
        <v>26012.799999999999</v>
      </c>
      <c r="X46" s="169">
        <f t="shared" si="11"/>
        <v>130768</v>
      </c>
      <c r="Y46" s="169">
        <f t="shared" si="12"/>
        <v>26012.799999999999</v>
      </c>
      <c r="AB46" s="1390" t="s">
        <v>370</v>
      </c>
      <c r="AC46" s="1391">
        <v>164302965</v>
      </c>
      <c r="AD46" s="169">
        <f t="shared" si="13"/>
        <v>164302.965</v>
      </c>
      <c r="AG46" s="1390" t="s">
        <v>992</v>
      </c>
      <c r="AH46" s="1391">
        <v>156780800</v>
      </c>
      <c r="AI46" s="1391">
        <v>39248000</v>
      </c>
      <c r="AJ46" s="1391">
        <v>39248000</v>
      </c>
      <c r="AK46" s="1391">
        <v>117532800</v>
      </c>
      <c r="AL46" s="1407">
        <f t="shared" si="14"/>
        <v>156780.79999999999</v>
      </c>
      <c r="AM46" s="1407">
        <f t="shared" si="15"/>
        <v>39248</v>
      </c>
      <c r="AN46" s="1407">
        <f t="shared" si="16"/>
        <v>39248</v>
      </c>
      <c r="AO46" s="1407">
        <f t="shared" si="17"/>
        <v>117532.8</v>
      </c>
      <c r="AR46" s="1390" t="s">
        <v>582</v>
      </c>
      <c r="AS46" s="169">
        <v>20792567</v>
      </c>
      <c r="AT46" s="169">
        <f t="shared" si="18"/>
        <v>20792.566999999999</v>
      </c>
      <c r="AW46" s="1390" t="s">
        <v>992</v>
      </c>
      <c r="AX46" s="840">
        <v>156780800</v>
      </c>
      <c r="AY46" s="840">
        <v>52448000</v>
      </c>
      <c r="AZ46" s="840">
        <v>52448000</v>
      </c>
      <c r="BA46" s="840">
        <v>104332800</v>
      </c>
      <c r="BB46" s="169">
        <f t="shared" si="19"/>
        <v>156780.79999999999</v>
      </c>
      <c r="BC46" s="169">
        <f t="shared" si="20"/>
        <v>52448</v>
      </c>
      <c r="BD46" s="169">
        <f t="shared" si="21"/>
        <v>52448</v>
      </c>
      <c r="BE46" s="169">
        <f t="shared" si="22"/>
        <v>104332.8</v>
      </c>
    </row>
    <row r="47" spans="1:57" ht="15" customHeight="1" x14ac:dyDescent="0.35">
      <c r="A47" s="841" t="s">
        <v>925</v>
      </c>
      <c r="B47" s="1115">
        <v>0</v>
      </c>
      <c r="C47" s="1115">
        <v>0</v>
      </c>
      <c r="D47" s="1115">
        <v>0</v>
      </c>
      <c r="E47" s="1115">
        <v>0</v>
      </c>
      <c r="F47" s="1115">
        <f t="shared" si="4"/>
        <v>0</v>
      </c>
      <c r="G47" s="1115">
        <f t="shared" si="5"/>
        <v>0</v>
      </c>
      <c r="H47" s="1115">
        <f t="shared" si="6"/>
        <v>0</v>
      </c>
      <c r="I47" s="1115">
        <f t="shared" si="7"/>
        <v>0</v>
      </c>
      <c r="L47" s="94" t="s">
        <v>588</v>
      </c>
      <c r="M47" s="840">
        <v>750280</v>
      </c>
      <c r="N47" s="1115">
        <f t="shared" si="8"/>
        <v>750.28</v>
      </c>
      <c r="Q47" s="94" t="s">
        <v>925</v>
      </c>
      <c r="R47" s="840">
        <v>0</v>
      </c>
      <c r="S47" s="840">
        <v>0</v>
      </c>
      <c r="T47" s="840">
        <v>0</v>
      </c>
      <c r="U47" s="840">
        <v>0</v>
      </c>
      <c r="V47" s="169">
        <f t="shared" si="9"/>
        <v>0</v>
      </c>
      <c r="W47" s="169">
        <f t="shared" si="10"/>
        <v>0</v>
      </c>
      <c r="X47" s="169">
        <f t="shared" si="11"/>
        <v>0</v>
      </c>
      <c r="Y47" s="169">
        <f t="shared" si="12"/>
        <v>0</v>
      </c>
      <c r="AB47" s="1390" t="s">
        <v>371</v>
      </c>
      <c r="AC47" s="1391">
        <v>38651775</v>
      </c>
      <c r="AD47" s="169">
        <f t="shared" si="13"/>
        <v>38651.775000000001</v>
      </c>
      <c r="AG47" s="1390" t="s">
        <v>925</v>
      </c>
      <c r="AH47" s="1391">
        <v>0</v>
      </c>
      <c r="AI47" s="1391">
        <v>0</v>
      </c>
      <c r="AJ47" s="1391">
        <v>0</v>
      </c>
      <c r="AK47" s="1391">
        <v>0</v>
      </c>
      <c r="AL47" s="1407">
        <f t="shared" si="14"/>
        <v>0</v>
      </c>
      <c r="AM47" s="1407">
        <f t="shared" si="15"/>
        <v>0</v>
      </c>
      <c r="AN47" s="1407">
        <f t="shared" si="16"/>
        <v>0</v>
      </c>
      <c r="AO47" s="1407">
        <f t="shared" si="17"/>
        <v>0</v>
      </c>
      <c r="AR47" s="1390" t="s">
        <v>583</v>
      </c>
      <c r="AS47" s="169">
        <v>7324087</v>
      </c>
      <c r="AT47" s="169">
        <f t="shared" si="18"/>
        <v>7324.0870000000004</v>
      </c>
      <c r="AW47" s="1390" t="s">
        <v>925</v>
      </c>
      <c r="AX47" s="840">
        <v>0</v>
      </c>
      <c r="AY47" s="840">
        <v>0</v>
      </c>
      <c r="AZ47" s="840">
        <v>0</v>
      </c>
      <c r="BA47" s="840">
        <v>0</v>
      </c>
      <c r="BB47" s="169">
        <f t="shared" si="19"/>
        <v>0</v>
      </c>
      <c r="BC47" s="169">
        <f t="shared" si="20"/>
        <v>0</v>
      </c>
      <c r="BD47" s="169">
        <f t="shared" si="21"/>
        <v>0</v>
      </c>
      <c r="BE47" s="169">
        <f t="shared" si="22"/>
        <v>0</v>
      </c>
    </row>
    <row r="48" spans="1:57" ht="15" customHeight="1" x14ac:dyDescent="0.35">
      <c r="A48" s="841" t="s">
        <v>369</v>
      </c>
      <c r="B48" s="1115">
        <v>584702254</v>
      </c>
      <c r="C48" s="1115">
        <v>36536023</v>
      </c>
      <c r="D48" s="1115">
        <v>548166231</v>
      </c>
      <c r="E48" s="1115">
        <v>36536023</v>
      </c>
      <c r="F48" s="1115">
        <f t="shared" si="4"/>
        <v>584702.25399999996</v>
      </c>
      <c r="G48" s="1115">
        <f t="shared" si="5"/>
        <v>36536.023000000001</v>
      </c>
      <c r="H48" s="1115">
        <f t="shared" si="6"/>
        <v>548166.23100000003</v>
      </c>
      <c r="I48" s="1115">
        <f t="shared" si="7"/>
        <v>36536.023000000001</v>
      </c>
      <c r="L48" s="94" t="s">
        <v>380</v>
      </c>
      <c r="M48" s="840">
        <v>6293105</v>
      </c>
      <c r="N48" s="1115">
        <f t="shared" si="8"/>
        <v>6293.1049999999996</v>
      </c>
      <c r="Q48" s="94" t="s">
        <v>369</v>
      </c>
      <c r="R48" s="840">
        <v>584702254</v>
      </c>
      <c r="S48" s="840">
        <v>76595084</v>
      </c>
      <c r="T48" s="840">
        <v>508107170</v>
      </c>
      <c r="U48" s="840">
        <v>76595084</v>
      </c>
      <c r="V48" s="169">
        <f t="shared" si="9"/>
        <v>584702.25399999996</v>
      </c>
      <c r="W48" s="169">
        <f t="shared" si="10"/>
        <v>76595.084000000003</v>
      </c>
      <c r="X48" s="169">
        <f t="shared" si="11"/>
        <v>508107.17</v>
      </c>
      <c r="Y48" s="169">
        <f t="shared" si="12"/>
        <v>76595.084000000003</v>
      </c>
      <c r="AB48" s="1390" t="s">
        <v>582</v>
      </c>
      <c r="AC48" s="1391">
        <v>20792567</v>
      </c>
      <c r="AD48" s="169">
        <f t="shared" si="13"/>
        <v>20792.566999999999</v>
      </c>
      <c r="AG48" s="1390" t="s">
        <v>369</v>
      </c>
      <c r="AH48" s="1391">
        <v>584702254</v>
      </c>
      <c r="AI48" s="1391">
        <v>135151497</v>
      </c>
      <c r="AJ48" s="1391">
        <v>135151497</v>
      </c>
      <c r="AK48" s="1391">
        <v>449550757</v>
      </c>
      <c r="AL48" s="1407">
        <f t="shared" si="14"/>
        <v>584702.25399999996</v>
      </c>
      <c r="AM48" s="1407">
        <f t="shared" si="15"/>
        <v>135151.497</v>
      </c>
      <c r="AN48" s="1407">
        <f t="shared" si="16"/>
        <v>135151.497</v>
      </c>
      <c r="AO48" s="1407">
        <f t="shared" si="17"/>
        <v>449550.75699999998</v>
      </c>
      <c r="AR48" s="1390" t="s">
        <v>624</v>
      </c>
      <c r="AS48" s="169">
        <v>12466207</v>
      </c>
      <c r="AT48" s="169">
        <f t="shared" si="18"/>
        <v>12466.207</v>
      </c>
      <c r="AW48" s="1390" t="s">
        <v>369</v>
      </c>
      <c r="AX48" s="840">
        <v>584702254</v>
      </c>
      <c r="AY48" s="840">
        <v>172885604</v>
      </c>
      <c r="AZ48" s="840">
        <v>172885604</v>
      </c>
      <c r="BA48" s="840">
        <v>411816650</v>
      </c>
      <c r="BB48" s="169">
        <f t="shared" si="19"/>
        <v>584702.25399999996</v>
      </c>
      <c r="BC48" s="169">
        <f t="shared" si="20"/>
        <v>172885.60399999999</v>
      </c>
      <c r="BD48" s="169">
        <f t="shared" si="21"/>
        <v>172885.60399999999</v>
      </c>
      <c r="BE48" s="169">
        <f t="shared" si="22"/>
        <v>411816.65</v>
      </c>
    </row>
    <row r="49" spans="1:57" ht="15" customHeight="1" x14ac:dyDescent="0.35">
      <c r="A49" s="841" t="s">
        <v>578</v>
      </c>
      <c r="B49" s="1115">
        <v>45733139</v>
      </c>
      <c r="C49" s="1115">
        <v>0</v>
      </c>
      <c r="D49" s="1115">
        <v>45733139</v>
      </c>
      <c r="E49" s="1115">
        <v>0</v>
      </c>
      <c r="F49" s="1115">
        <f t="shared" si="4"/>
        <v>45733.139000000003</v>
      </c>
      <c r="G49" s="1115">
        <f t="shared" si="5"/>
        <v>0</v>
      </c>
      <c r="H49" s="1115">
        <f t="shared" si="6"/>
        <v>45733.139000000003</v>
      </c>
      <c r="I49" s="1115">
        <f t="shared" si="7"/>
        <v>0</v>
      </c>
      <c r="L49" s="94" t="s">
        <v>381</v>
      </c>
      <c r="M49" s="840">
        <v>4658933</v>
      </c>
      <c r="N49" s="1115">
        <f t="shared" si="8"/>
        <v>4658.933</v>
      </c>
      <c r="Q49" s="94" t="s">
        <v>578</v>
      </c>
      <c r="R49" s="840">
        <v>45733139</v>
      </c>
      <c r="S49" s="840">
        <v>3291210</v>
      </c>
      <c r="T49" s="840">
        <v>42441929</v>
      </c>
      <c r="U49" s="840">
        <v>3291210</v>
      </c>
      <c r="V49" s="169">
        <f t="shared" si="9"/>
        <v>45733.139000000003</v>
      </c>
      <c r="W49" s="169">
        <f t="shared" si="10"/>
        <v>3291.21</v>
      </c>
      <c r="X49" s="169">
        <f t="shared" si="11"/>
        <v>42441.928999999996</v>
      </c>
      <c r="Y49" s="169">
        <f t="shared" si="12"/>
        <v>3291.21</v>
      </c>
      <c r="AB49" s="1390" t="s">
        <v>583</v>
      </c>
      <c r="AC49" s="1391">
        <v>5680934</v>
      </c>
      <c r="AD49" s="169">
        <f t="shared" si="13"/>
        <v>5680.9340000000002</v>
      </c>
      <c r="AG49" s="1390" t="s">
        <v>578</v>
      </c>
      <c r="AH49" s="1391">
        <v>45733139</v>
      </c>
      <c r="AI49" s="1391">
        <v>10024950</v>
      </c>
      <c r="AJ49" s="1391">
        <v>10024950</v>
      </c>
      <c r="AK49" s="1391">
        <v>35708189</v>
      </c>
      <c r="AL49" s="1407">
        <f t="shared" si="14"/>
        <v>45733.139000000003</v>
      </c>
      <c r="AM49" s="1407">
        <f t="shared" si="15"/>
        <v>10024.950000000001</v>
      </c>
      <c r="AN49" s="1407">
        <f t="shared" si="16"/>
        <v>10024.950000000001</v>
      </c>
      <c r="AO49" s="1407">
        <f t="shared" si="17"/>
        <v>35708.188999999998</v>
      </c>
      <c r="AR49" s="1390" t="s">
        <v>372</v>
      </c>
      <c r="AS49" s="169">
        <v>0</v>
      </c>
      <c r="AT49" s="169">
        <f t="shared" si="18"/>
        <v>0</v>
      </c>
      <c r="AW49" s="1390" t="s">
        <v>578</v>
      </c>
      <c r="AX49" s="840">
        <v>45733139</v>
      </c>
      <c r="AY49" s="840">
        <v>10024950</v>
      </c>
      <c r="AZ49" s="840">
        <v>10024950</v>
      </c>
      <c r="BA49" s="840">
        <v>35708189</v>
      </c>
      <c r="BB49" s="169">
        <f t="shared" si="19"/>
        <v>45733.139000000003</v>
      </c>
      <c r="BC49" s="169">
        <f t="shared" si="20"/>
        <v>10024.950000000001</v>
      </c>
      <c r="BD49" s="169">
        <f t="shared" si="21"/>
        <v>10024.950000000001</v>
      </c>
      <c r="BE49" s="169">
        <f t="shared" si="22"/>
        <v>35708.188999999998</v>
      </c>
    </row>
    <row r="50" spans="1:57" ht="15" customHeight="1" x14ac:dyDescent="0.35">
      <c r="A50" s="841" t="s">
        <v>579</v>
      </c>
      <c r="B50" s="1115">
        <v>538969115</v>
      </c>
      <c r="C50" s="1115">
        <v>36536023</v>
      </c>
      <c r="D50" s="1115">
        <v>502433092</v>
      </c>
      <c r="E50" s="1115">
        <v>36536023</v>
      </c>
      <c r="F50" s="1115">
        <f t="shared" si="4"/>
        <v>538969.11499999999</v>
      </c>
      <c r="G50" s="1115">
        <f t="shared" si="5"/>
        <v>36536.023000000001</v>
      </c>
      <c r="H50" s="1115">
        <f t="shared" si="6"/>
        <v>502433.092</v>
      </c>
      <c r="I50" s="1115">
        <f t="shared" si="7"/>
        <v>36536.023000000001</v>
      </c>
      <c r="L50" s="94" t="s">
        <v>382</v>
      </c>
      <c r="M50" s="840">
        <v>290360</v>
      </c>
      <c r="N50" s="1115">
        <f t="shared" si="8"/>
        <v>290.36</v>
      </c>
      <c r="Q50" s="94" t="s">
        <v>579</v>
      </c>
      <c r="R50" s="840">
        <v>538969115</v>
      </c>
      <c r="S50" s="840">
        <v>73303874</v>
      </c>
      <c r="T50" s="840">
        <v>465665241</v>
      </c>
      <c r="U50" s="840">
        <v>73303874</v>
      </c>
      <c r="V50" s="169">
        <f t="shared" si="9"/>
        <v>538969.11499999999</v>
      </c>
      <c r="W50" s="169">
        <f t="shared" si="10"/>
        <v>73303.873999999996</v>
      </c>
      <c r="X50" s="169">
        <f t="shared" si="11"/>
        <v>465665.24099999998</v>
      </c>
      <c r="Y50" s="169">
        <f t="shared" si="12"/>
        <v>73303.873999999996</v>
      </c>
      <c r="AB50" s="1390" t="s">
        <v>624</v>
      </c>
      <c r="AC50" s="1391">
        <v>12178274</v>
      </c>
      <c r="AD50" s="169">
        <f t="shared" si="13"/>
        <v>12178.273999999999</v>
      </c>
      <c r="AG50" s="1390" t="s">
        <v>579</v>
      </c>
      <c r="AH50" s="1391">
        <v>538969115</v>
      </c>
      <c r="AI50" s="1391">
        <v>125126547</v>
      </c>
      <c r="AJ50" s="1391">
        <v>125126547</v>
      </c>
      <c r="AK50" s="1391">
        <v>413842568</v>
      </c>
      <c r="AL50" s="1407">
        <f t="shared" si="14"/>
        <v>538969.11499999999</v>
      </c>
      <c r="AM50" s="1407">
        <f t="shared" si="15"/>
        <v>125126.54700000001</v>
      </c>
      <c r="AN50" s="1407">
        <f t="shared" si="16"/>
        <v>125126.54700000001</v>
      </c>
      <c r="AO50" s="1407">
        <f t="shared" si="17"/>
        <v>413842.56800000003</v>
      </c>
      <c r="AR50" s="1390" t="s">
        <v>482</v>
      </c>
      <c r="AS50" s="169">
        <v>0</v>
      </c>
      <c r="AT50" s="169">
        <f t="shared" si="18"/>
        <v>0</v>
      </c>
      <c r="AW50" s="1390" t="s">
        <v>579</v>
      </c>
      <c r="AX50" s="840">
        <v>538969115</v>
      </c>
      <c r="AY50" s="840">
        <v>162860654</v>
      </c>
      <c r="AZ50" s="840">
        <v>162860654</v>
      </c>
      <c r="BA50" s="840">
        <v>376108461</v>
      </c>
      <c r="BB50" s="169">
        <f t="shared" si="19"/>
        <v>538969.11499999999</v>
      </c>
      <c r="BC50" s="169">
        <f t="shared" si="20"/>
        <v>162860.65400000001</v>
      </c>
      <c r="BD50" s="169">
        <f t="shared" si="21"/>
        <v>162860.65400000001</v>
      </c>
      <c r="BE50" s="169">
        <f t="shared" si="22"/>
        <v>376108.46100000001</v>
      </c>
    </row>
    <row r="51" spans="1:57" ht="15" customHeight="1" x14ac:dyDescent="0.35">
      <c r="A51" s="841" t="s">
        <v>580</v>
      </c>
      <c r="B51" s="1115">
        <v>1366172385</v>
      </c>
      <c r="C51" s="1115">
        <v>0</v>
      </c>
      <c r="D51" s="1115">
        <v>1366172385</v>
      </c>
      <c r="E51" s="1115">
        <v>0</v>
      </c>
      <c r="F51" s="1115">
        <f t="shared" si="4"/>
        <v>1366172.385</v>
      </c>
      <c r="G51" s="1115">
        <f t="shared" si="5"/>
        <v>0</v>
      </c>
      <c r="H51" s="1115">
        <f t="shared" si="6"/>
        <v>1366172.385</v>
      </c>
      <c r="I51" s="1115">
        <f t="shared" si="7"/>
        <v>0</v>
      </c>
      <c r="L51" s="94" t="s">
        <v>589</v>
      </c>
      <c r="M51" s="840">
        <v>1606500</v>
      </c>
      <c r="N51" s="1115">
        <f t="shared" si="8"/>
        <v>1606.5</v>
      </c>
      <c r="Q51" s="94" t="s">
        <v>580</v>
      </c>
      <c r="R51" s="840">
        <v>1366172385</v>
      </c>
      <c r="S51" s="840">
        <v>0</v>
      </c>
      <c r="T51" s="840">
        <v>1366172385</v>
      </c>
      <c r="U51" s="840">
        <v>0</v>
      </c>
      <c r="V51" s="169">
        <f t="shared" si="9"/>
        <v>1366172.385</v>
      </c>
      <c r="W51" s="169">
        <f t="shared" si="10"/>
        <v>0</v>
      </c>
      <c r="X51" s="169">
        <f t="shared" si="11"/>
        <v>1366172.385</v>
      </c>
      <c r="Y51" s="169">
        <f t="shared" si="12"/>
        <v>0</v>
      </c>
      <c r="AB51" s="1390" t="s">
        <v>372</v>
      </c>
      <c r="AC51" s="1391">
        <v>7659702</v>
      </c>
      <c r="AD51" s="169">
        <f t="shared" si="13"/>
        <v>7659.7020000000002</v>
      </c>
      <c r="AG51" s="1390" t="s">
        <v>580</v>
      </c>
      <c r="AH51" s="1391">
        <v>1366172385</v>
      </c>
      <c r="AI51" s="1391">
        <v>343288252</v>
      </c>
      <c r="AJ51" s="1391">
        <v>343288252</v>
      </c>
      <c r="AK51" s="1391">
        <v>1022884133</v>
      </c>
      <c r="AL51" s="1407">
        <f t="shared" si="14"/>
        <v>1366172.385</v>
      </c>
      <c r="AM51" s="1407">
        <f t="shared" si="15"/>
        <v>343288.25199999998</v>
      </c>
      <c r="AN51" s="1407">
        <f t="shared" si="16"/>
        <v>343288.25199999998</v>
      </c>
      <c r="AO51" s="1407">
        <f t="shared" si="17"/>
        <v>1022884.133</v>
      </c>
      <c r="AR51" s="1390" t="s">
        <v>375</v>
      </c>
      <c r="AS51" s="169">
        <v>97707121</v>
      </c>
      <c r="AT51" s="169">
        <f t="shared" si="18"/>
        <v>97707.120999999999</v>
      </c>
      <c r="AW51" s="1390" t="s">
        <v>580</v>
      </c>
      <c r="AX51" s="840">
        <v>1366172385</v>
      </c>
      <c r="AY51" s="840">
        <v>343288252</v>
      </c>
      <c r="AZ51" s="840">
        <v>343288252</v>
      </c>
      <c r="BA51" s="840">
        <v>1022884133</v>
      </c>
      <c r="BB51" s="169">
        <f t="shared" si="19"/>
        <v>1366172.385</v>
      </c>
      <c r="BC51" s="169">
        <f t="shared" si="20"/>
        <v>343288.25199999998</v>
      </c>
      <c r="BD51" s="169">
        <f t="shared" si="21"/>
        <v>343288.25199999998</v>
      </c>
      <c r="BE51" s="169">
        <f t="shared" si="22"/>
        <v>1022884.133</v>
      </c>
    </row>
    <row r="52" spans="1:57" ht="15" customHeight="1" x14ac:dyDescent="0.35">
      <c r="A52" s="841" t="s">
        <v>581</v>
      </c>
      <c r="B52" s="1115">
        <v>726222693</v>
      </c>
      <c r="C52" s="1115">
        <v>0</v>
      </c>
      <c r="D52" s="1115">
        <v>726222693</v>
      </c>
      <c r="E52" s="1115">
        <v>0</v>
      </c>
      <c r="F52" s="1115">
        <f t="shared" si="4"/>
        <v>726222.69299999997</v>
      </c>
      <c r="G52" s="1115">
        <f t="shared" si="5"/>
        <v>0</v>
      </c>
      <c r="H52" s="1115">
        <f t="shared" si="6"/>
        <v>726222.69299999997</v>
      </c>
      <c r="I52" s="1115">
        <f t="shared" si="7"/>
        <v>0</v>
      </c>
      <c r="L52" s="94" t="s">
        <v>591</v>
      </c>
      <c r="M52" s="840">
        <v>940338</v>
      </c>
      <c r="N52" s="1115">
        <f t="shared" si="8"/>
        <v>940.33799999999997</v>
      </c>
      <c r="Q52" s="94" t="s">
        <v>581</v>
      </c>
      <c r="R52" s="840">
        <v>726222693</v>
      </c>
      <c r="S52" s="840">
        <v>0</v>
      </c>
      <c r="T52" s="840">
        <v>726222693</v>
      </c>
      <c r="U52" s="840">
        <v>0</v>
      </c>
      <c r="V52" s="169">
        <f t="shared" si="9"/>
        <v>726222.69299999997</v>
      </c>
      <c r="W52" s="169">
        <f t="shared" si="10"/>
        <v>0</v>
      </c>
      <c r="X52" s="169">
        <f t="shared" si="11"/>
        <v>726222.69299999997</v>
      </c>
      <c r="Y52" s="169">
        <f t="shared" si="12"/>
        <v>0</v>
      </c>
      <c r="AB52" s="1390" t="s">
        <v>482</v>
      </c>
      <c r="AC52" s="1391">
        <v>7659702</v>
      </c>
      <c r="AD52" s="169">
        <f t="shared" si="13"/>
        <v>7659.7020000000002</v>
      </c>
      <c r="AG52" s="1390" t="s">
        <v>581</v>
      </c>
      <c r="AH52" s="1391">
        <v>726222693</v>
      </c>
      <c r="AI52" s="1391">
        <v>178985287</v>
      </c>
      <c r="AJ52" s="1391">
        <v>178985287</v>
      </c>
      <c r="AK52" s="1391">
        <v>547237406</v>
      </c>
      <c r="AL52" s="1407">
        <f t="shared" si="14"/>
        <v>726222.69299999997</v>
      </c>
      <c r="AM52" s="1407">
        <f t="shared" si="15"/>
        <v>178985.28700000001</v>
      </c>
      <c r="AN52" s="1407">
        <f t="shared" si="16"/>
        <v>178985.28700000001</v>
      </c>
      <c r="AO52" s="1407">
        <f t="shared" si="17"/>
        <v>547237.40599999996</v>
      </c>
      <c r="AR52" s="1390" t="s">
        <v>584</v>
      </c>
      <c r="AS52" s="169">
        <v>97707121</v>
      </c>
      <c r="AT52" s="169">
        <f t="shared" si="18"/>
        <v>97707.120999999999</v>
      </c>
      <c r="AW52" s="1390" t="s">
        <v>581</v>
      </c>
      <c r="AX52" s="840">
        <v>726222693</v>
      </c>
      <c r="AY52" s="840">
        <v>178985287</v>
      </c>
      <c r="AZ52" s="840">
        <v>178985287</v>
      </c>
      <c r="BA52" s="840">
        <v>547237406</v>
      </c>
      <c r="BB52" s="169">
        <f t="shared" si="19"/>
        <v>726222.69299999997</v>
      </c>
      <c r="BC52" s="169">
        <f t="shared" si="20"/>
        <v>178985.28700000001</v>
      </c>
      <c r="BD52" s="169">
        <f t="shared" si="21"/>
        <v>178985.28700000001</v>
      </c>
      <c r="BE52" s="169">
        <f t="shared" si="22"/>
        <v>547237.40599999996</v>
      </c>
    </row>
    <row r="53" spans="1:57" ht="15" customHeight="1" x14ac:dyDescent="0.35">
      <c r="A53" s="841" t="s">
        <v>370</v>
      </c>
      <c r="B53" s="1115">
        <v>639949692</v>
      </c>
      <c r="C53" s="1115">
        <v>0</v>
      </c>
      <c r="D53" s="1115">
        <v>639949692</v>
      </c>
      <c r="E53" s="1115">
        <v>0</v>
      </c>
      <c r="F53" s="1115">
        <f t="shared" si="4"/>
        <v>639949.69200000004</v>
      </c>
      <c r="G53" s="1115">
        <f t="shared" si="5"/>
        <v>0</v>
      </c>
      <c r="H53" s="1115">
        <f t="shared" si="6"/>
        <v>639949.69200000004</v>
      </c>
      <c r="I53" s="1115">
        <f t="shared" si="7"/>
        <v>0</v>
      </c>
      <c r="L53" s="94" t="s">
        <v>593</v>
      </c>
      <c r="M53" s="840">
        <v>386000</v>
      </c>
      <c r="N53" s="1115">
        <f t="shared" si="8"/>
        <v>386</v>
      </c>
      <c r="Q53" s="94" t="s">
        <v>370</v>
      </c>
      <c r="R53" s="840">
        <v>639949692</v>
      </c>
      <c r="S53" s="840">
        <v>0</v>
      </c>
      <c r="T53" s="840">
        <v>639949692</v>
      </c>
      <c r="U53" s="840">
        <v>0</v>
      </c>
      <c r="V53" s="169">
        <f t="shared" si="9"/>
        <v>639949.69200000004</v>
      </c>
      <c r="W53" s="169">
        <f t="shared" si="10"/>
        <v>0</v>
      </c>
      <c r="X53" s="169">
        <f t="shared" si="11"/>
        <v>639949.69200000004</v>
      </c>
      <c r="Y53" s="169">
        <f t="shared" si="12"/>
        <v>0</v>
      </c>
      <c r="AB53" s="1390" t="s">
        <v>375</v>
      </c>
      <c r="AC53" s="1391">
        <v>98238779</v>
      </c>
      <c r="AD53" s="169">
        <f t="shared" si="13"/>
        <v>98238.778999999995</v>
      </c>
      <c r="AG53" s="1390" t="s">
        <v>370</v>
      </c>
      <c r="AH53" s="1391">
        <v>639949692</v>
      </c>
      <c r="AI53" s="1391">
        <v>164302965</v>
      </c>
      <c r="AJ53" s="1391">
        <v>164302965</v>
      </c>
      <c r="AK53" s="1391">
        <v>475646727</v>
      </c>
      <c r="AL53" s="1407">
        <f t="shared" si="14"/>
        <v>639949.69200000004</v>
      </c>
      <c r="AM53" s="1407">
        <f t="shared" si="15"/>
        <v>164302.965</v>
      </c>
      <c r="AN53" s="1407">
        <f t="shared" si="16"/>
        <v>164302.965</v>
      </c>
      <c r="AO53" s="1407">
        <f t="shared" si="17"/>
        <v>475646.72700000001</v>
      </c>
      <c r="AR53" s="1390" t="s">
        <v>585</v>
      </c>
      <c r="AS53" s="169">
        <v>95499014</v>
      </c>
      <c r="AT53" s="169">
        <f t="shared" si="18"/>
        <v>95499.013999999996</v>
      </c>
      <c r="AW53" s="1390" t="s">
        <v>370</v>
      </c>
      <c r="AX53" s="840">
        <v>639949692</v>
      </c>
      <c r="AY53" s="840">
        <v>164302965</v>
      </c>
      <c r="AZ53" s="840">
        <v>164302965</v>
      </c>
      <c r="BA53" s="840">
        <v>475646727</v>
      </c>
      <c r="BB53" s="169">
        <f t="shared" si="19"/>
        <v>639949.69200000004</v>
      </c>
      <c r="BC53" s="169">
        <f t="shared" si="20"/>
        <v>164302.965</v>
      </c>
      <c r="BD53" s="169">
        <f t="shared" si="21"/>
        <v>164302.965</v>
      </c>
      <c r="BE53" s="169">
        <f t="shared" si="22"/>
        <v>475646.72700000001</v>
      </c>
    </row>
    <row r="54" spans="1:57" ht="15" customHeight="1" x14ac:dyDescent="0.35">
      <c r="A54" s="841" t="s">
        <v>371</v>
      </c>
      <c r="B54" s="1115">
        <v>290726532</v>
      </c>
      <c r="C54" s="1115">
        <v>26134294</v>
      </c>
      <c r="D54" s="1115">
        <v>264592238</v>
      </c>
      <c r="E54" s="1115">
        <v>26134294</v>
      </c>
      <c r="F54" s="1115">
        <f t="shared" si="4"/>
        <v>290726.53200000001</v>
      </c>
      <c r="G54" s="1115">
        <f t="shared" si="5"/>
        <v>26134.294000000002</v>
      </c>
      <c r="H54" s="1115">
        <f t="shared" si="6"/>
        <v>264592.23800000001</v>
      </c>
      <c r="I54" s="1115">
        <f t="shared" si="7"/>
        <v>26134.294000000002</v>
      </c>
      <c r="L54" s="94" t="s">
        <v>385</v>
      </c>
      <c r="M54" s="840">
        <v>1435735</v>
      </c>
      <c r="N54" s="1115">
        <f t="shared" si="8"/>
        <v>1435.7349999999999</v>
      </c>
      <c r="Q54" s="94" t="s">
        <v>371</v>
      </c>
      <c r="R54" s="840">
        <v>290926533</v>
      </c>
      <c r="S54" s="840">
        <v>68355851</v>
      </c>
      <c r="T54" s="840">
        <v>222570682</v>
      </c>
      <c r="U54" s="840">
        <v>68355851</v>
      </c>
      <c r="V54" s="169">
        <f t="shared" si="9"/>
        <v>290926.533</v>
      </c>
      <c r="W54" s="169">
        <f t="shared" si="10"/>
        <v>68355.850999999995</v>
      </c>
      <c r="X54" s="169">
        <f t="shared" si="11"/>
        <v>222570.682</v>
      </c>
      <c r="Y54" s="169">
        <f t="shared" si="12"/>
        <v>68355.850999999995</v>
      </c>
      <c r="AB54" s="1390" t="s">
        <v>584</v>
      </c>
      <c r="AC54" s="1391">
        <v>97062979</v>
      </c>
      <c r="AD54" s="169">
        <f t="shared" si="13"/>
        <v>97062.979000000007</v>
      </c>
      <c r="AG54" s="1390" t="s">
        <v>371</v>
      </c>
      <c r="AH54" s="1391">
        <v>291426533</v>
      </c>
      <c r="AI54" s="1391">
        <v>107007626</v>
      </c>
      <c r="AJ54" s="1391">
        <v>107007626</v>
      </c>
      <c r="AK54" s="1391">
        <v>184418907</v>
      </c>
      <c r="AL54" s="1407">
        <f t="shared" si="14"/>
        <v>291426.533</v>
      </c>
      <c r="AM54" s="1407">
        <f t="shared" si="15"/>
        <v>107007.626</v>
      </c>
      <c r="AN54" s="1407">
        <f t="shared" si="16"/>
        <v>107007.626</v>
      </c>
      <c r="AO54" s="1407">
        <f t="shared" si="17"/>
        <v>184418.90700000001</v>
      </c>
      <c r="AR54" s="1390" t="s">
        <v>586</v>
      </c>
      <c r="AS54" s="169">
        <v>2208107</v>
      </c>
      <c r="AT54" s="169">
        <f t="shared" si="18"/>
        <v>2208.107</v>
      </c>
      <c r="AW54" s="1390" t="s">
        <v>371</v>
      </c>
      <c r="AX54" s="840">
        <v>292908879</v>
      </c>
      <c r="AY54" s="840">
        <v>147590487</v>
      </c>
      <c r="AZ54" s="840">
        <v>147590487</v>
      </c>
      <c r="BA54" s="840">
        <v>145318392</v>
      </c>
      <c r="BB54" s="169">
        <f t="shared" si="19"/>
        <v>292908.87900000002</v>
      </c>
      <c r="BC54" s="169">
        <f t="shared" si="20"/>
        <v>147590.48699999999</v>
      </c>
      <c r="BD54" s="169">
        <f t="shared" si="21"/>
        <v>147590.48699999999</v>
      </c>
      <c r="BE54" s="169">
        <f t="shared" si="22"/>
        <v>145318.39199999999</v>
      </c>
    </row>
    <row r="55" spans="1:57" ht="15" customHeight="1" x14ac:dyDescent="0.35">
      <c r="A55" s="841" t="s">
        <v>582</v>
      </c>
      <c r="B55" s="1115">
        <v>187398500</v>
      </c>
      <c r="C55" s="1115">
        <v>20521419</v>
      </c>
      <c r="D55" s="1115">
        <v>166877081</v>
      </c>
      <c r="E55" s="1115">
        <v>20521419</v>
      </c>
      <c r="F55" s="1115">
        <f t="shared" si="4"/>
        <v>187398.5</v>
      </c>
      <c r="G55" s="1115">
        <f t="shared" si="5"/>
        <v>20521.419000000002</v>
      </c>
      <c r="H55" s="1115">
        <f t="shared" si="6"/>
        <v>166877.08100000001</v>
      </c>
      <c r="I55" s="1115">
        <f t="shared" si="7"/>
        <v>20521.419000000002</v>
      </c>
      <c r="L55" s="94" t="s">
        <v>386</v>
      </c>
      <c r="M55" s="840">
        <v>0</v>
      </c>
      <c r="N55" s="1115">
        <f t="shared" si="8"/>
        <v>0</v>
      </c>
      <c r="Q55" s="94" t="s">
        <v>582</v>
      </c>
      <c r="R55" s="840">
        <v>187398500</v>
      </c>
      <c r="S55" s="840">
        <v>40524455</v>
      </c>
      <c r="T55" s="840">
        <v>146874045</v>
      </c>
      <c r="U55" s="840">
        <v>40524455</v>
      </c>
      <c r="V55" s="169">
        <f t="shared" si="9"/>
        <v>187398.5</v>
      </c>
      <c r="W55" s="169">
        <f t="shared" si="10"/>
        <v>40524.455000000002</v>
      </c>
      <c r="X55" s="169">
        <f t="shared" si="11"/>
        <v>146874.04500000001</v>
      </c>
      <c r="Y55" s="169">
        <f t="shared" si="12"/>
        <v>40524.455000000002</v>
      </c>
      <c r="AB55" s="1390" t="s">
        <v>585</v>
      </c>
      <c r="AC55" s="1391">
        <v>95274381</v>
      </c>
      <c r="AD55" s="169">
        <f t="shared" si="13"/>
        <v>95274.380999999994</v>
      </c>
      <c r="AG55" s="1390" t="s">
        <v>582</v>
      </c>
      <c r="AH55" s="1391">
        <v>187398500</v>
      </c>
      <c r="AI55" s="1391">
        <v>61317022</v>
      </c>
      <c r="AJ55" s="1391">
        <v>61317022</v>
      </c>
      <c r="AK55" s="1391">
        <v>126081478</v>
      </c>
      <c r="AL55" s="1407">
        <f t="shared" si="14"/>
        <v>187398.5</v>
      </c>
      <c r="AM55" s="1407">
        <f t="shared" si="15"/>
        <v>61317.021999999997</v>
      </c>
      <c r="AN55" s="1407">
        <f t="shared" si="16"/>
        <v>61317.021999999997</v>
      </c>
      <c r="AO55" s="1407">
        <f t="shared" si="17"/>
        <v>126081.478</v>
      </c>
      <c r="AR55" s="1390" t="s">
        <v>376</v>
      </c>
      <c r="AS55" s="169">
        <v>0</v>
      </c>
      <c r="AT55" s="169">
        <f t="shared" si="18"/>
        <v>0</v>
      </c>
      <c r="AW55" s="1390" t="s">
        <v>582</v>
      </c>
      <c r="AX55" s="840">
        <v>187398500</v>
      </c>
      <c r="AY55" s="840">
        <v>82109589</v>
      </c>
      <c r="AZ55" s="840">
        <v>82109589</v>
      </c>
      <c r="BA55" s="840">
        <v>105288911</v>
      </c>
      <c r="BB55" s="169">
        <f t="shared" si="19"/>
        <v>187398.5</v>
      </c>
      <c r="BC55" s="169">
        <f t="shared" si="20"/>
        <v>82109.589000000007</v>
      </c>
      <c r="BD55" s="169">
        <f t="shared" si="21"/>
        <v>82109.589000000007</v>
      </c>
      <c r="BE55" s="169">
        <f t="shared" si="22"/>
        <v>105288.91099999999</v>
      </c>
    </row>
    <row r="56" spans="1:57" ht="15" customHeight="1" x14ac:dyDescent="0.35">
      <c r="A56" s="841" t="s">
        <v>583</v>
      </c>
      <c r="B56" s="1115">
        <v>50000000</v>
      </c>
      <c r="C56" s="1115">
        <v>695794</v>
      </c>
      <c r="D56" s="1115">
        <v>49304206</v>
      </c>
      <c r="E56" s="1115">
        <v>695794</v>
      </c>
      <c r="F56" s="1115">
        <f t="shared" si="4"/>
        <v>50000</v>
      </c>
      <c r="G56" s="1115">
        <f t="shared" si="5"/>
        <v>695.79399999999998</v>
      </c>
      <c r="H56" s="1115">
        <f t="shared" si="6"/>
        <v>49304.205999999998</v>
      </c>
      <c r="I56" s="1115">
        <f t="shared" si="7"/>
        <v>695.79399999999998</v>
      </c>
      <c r="L56" s="94" t="s">
        <v>387</v>
      </c>
      <c r="M56" s="840">
        <v>9494572</v>
      </c>
      <c r="N56" s="1115">
        <f t="shared" si="8"/>
        <v>9494.5720000000001</v>
      </c>
      <c r="Q56" s="94" t="s">
        <v>583</v>
      </c>
      <c r="R56" s="840">
        <v>50000000</v>
      </c>
      <c r="S56" s="840">
        <v>9128821</v>
      </c>
      <c r="T56" s="840">
        <v>40871179</v>
      </c>
      <c r="U56" s="840">
        <v>9128821</v>
      </c>
      <c r="V56" s="169">
        <f t="shared" si="9"/>
        <v>50000</v>
      </c>
      <c r="W56" s="169">
        <f t="shared" si="10"/>
        <v>9128.8209999999999</v>
      </c>
      <c r="X56" s="169">
        <f t="shared" si="11"/>
        <v>40871.178999999996</v>
      </c>
      <c r="Y56" s="169">
        <f t="shared" si="12"/>
        <v>9128.8209999999999</v>
      </c>
      <c r="AB56" s="1390" t="s">
        <v>586</v>
      </c>
      <c r="AC56" s="1391">
        <v>1788598</v>
      </c>
      <c r="AD56" s="169">
        <f t="shared" si="13"/>
        <v>1788.598</v>
      </c>
      <c r="AG56" s="1390" t="s">
        <v>583</v>
      </c>
      <c r="AH56" s="1391">
        <v>50000000</v>
      </c>
      <c r="AI56" s="1391">
        <v>14809755</v>
      </c>
      <c r="AJ56" s="1391">
        <v>14809755</v>
      </c>
      <c r="AK56" s="1391">
        <v>35190245</v>
      </c>
      <c r="AL56" s="1407">
        <f t="shared" si="14"/>
        <v>50000</v>
      </c>
      <c r="AM56" s="1407">
        <f t="shared" si="15"/>
        <v>14809.754999999999</v>
      </c>
      <c r="AN56" s="1407">
        <f t="shared" si="16"/>
        <v>14809.754999999999</v>
      </c>
      <c r="AO56" s="1407">
        <f t="shared" si="17"/>
        <v>35190.245000000003</v>
      </c>
      <c r="AR56" s="1390" t="s">
        <v>378</v>
      </c>
      <c r="AS56" s="169">
        <v>142889473</v>
      </c>
      <c r="AT56" s="169">
        <f t="shared" si="18"/>
        <v>142889.473</v>
      </c>
      <c r="AW56" s="1390" t="s">
        <v>583</v>
      </c>
      <c r="AX56" s="840">
        <v>50000000</v>
      </c>
      <c r="AY56" s="840">
        <v>22133842</v>
      </c>
      <c r="AZ56" s="840">
        <v>22133842</v>
      </c>
      <c r="BA56" s="840">
        <v>27866158</v>
      </c>
      <c r="BB56" s="169">
        <f t="shared" si="19"/>
        <v>50000</v>
      </c>
      <c r="BC56" s="169">
        <f t="shared" si="20"/>
        <v>22133.842000000001</v>
      </c>
      <c r="BD56" s="169">
        <f t="shared" si="21"/>
        <v>22133.842000000001</v>
      </c>
      <c r="BE56" s="169">
        <f t="shared" si="22"/>
        <v>27866.157999999999</v>
      </c>
    </row>
    <row r="57" spans="1:57" ht="15" customHeight="1" x14ac:dyDescent="0.35">
      <c r="A57" s="841" t="s">
        <v>624</v>
      </c>
      <c r="B57" s="1115">
        <v>52828032</v>
      </c>
      <c r="C57" s="1115">
        <v>4917081</v>
      </c>
      <c r="D57" s="1115">
        <v>47910951</v>
      </c>
      <c r="E57" s="1115">
        <v>4917081</v>
      </c>
      <c r="F57" s="1115">
        <f t="shared" si="4"/>
        <v>52828.031999999999</v>
      </c>
      <c r="G57" s="1115">
        <f t="shared" si="5"/>
        <v>4917.0810000000001</v>
      </c>
      <c r="H57" s="1115">
        <f t="shared" si="6"/>
        <v>47910.951000000001</v>
      </c>
      <c r="I57" s="1115">
        <f t="shared" si="7"/>
        <v>4917.0810000000001</v>
      </c>
      <c r="L57" s="94" t="s">
        <v>388</v>
      </c>
      <c r="M57" s="840">
        <v>670200</v>
      </c>
      <c r="N57" s="1115">
        <f t="shared" si="8"/>
        <v>670.2</v>
      </c>
      <c r="Q57" s="94" t="s">
        <v>624</v>
      </c>
      <c r="R57" s="840">
        <v>53028033</v>
      </c>
      <c r="S57" s="840">
        <v>18702575</v>
      </c>
      <c r="T57" s="840">
        <v>34325458</v>
      </c>
      <c r="U57" s="840">
        <v>18702575</v>
      </c>
      <c r="V57" s="169">
        <f t="shared" si="9"/>
        <v>53028.033000000003</v>
      </c>
      <c r="W57" s="169">
        <f t="shared" si="10"/>
        <v>18702.575000000001</v>
      </c>
      <c r="X57" s="169">
        <f t="shared" si="11"/>
        <v>34325.457999999999</v>
      </c>
      <c r="Y57" s="169">
        <f t="shared" si="12"/>
        <v>18702.575000000001</v>
      </c>
      <c r="AB57" s="1390" t="s">
        <v>376</v>
      </c>
      <c r="AC57" s="1391">
        <v>1175800</v>
      </c>
      <c r="AD57" s="169">
        <f t="shared" si="13"/>
        <v>1175.8</v>
      </c>
      <c r="AG57" s="1390" t="s">
        <v>624</v>
      </c>
      <c r="AH57" s="1391">
        <v>53528033</v>
      </c>
      <c r="AI57" s="1391">
        <v>30880849</v>
      </c>
      <c r="AJ57" s="1391">
        <v>30880849</v>
      </c>
      <c r="AK57" s="1391">
        <v>22647184</v>
      </c>
      <c r="AL57" s="1407">
        <f t="shared" si="14"/>
        <v>53528.033000000003</v>
      </c>
      <c r="AM57" s="1407">
        <f t="shared" si="15"/>
        <v>30880.848999999998</v>
      </c>
      <c r="AN57" s="1407">
        <f t="shared" si="16"/>
        <v>30880.848999999998</v>
      </c>
      <c r="AO57" s="1407">
        <f t="shared" si="17"/>
        <v>22647.184000000001</v>
      </c>
      <c r="AR57" s="1390" t="s">
        <v>379</v>
      </c>
      <c r="AS57" s="169">
        <v>7544230</v>
      </c>
      <c r="AT57" s="169">
        <f t="shared" si="18"/>
        <v>7544.23</v>
      </c>
      <c r="AW57" s="1390" t="s">
        <v>624</v>
      </c>
      <c r="AX57" s="840">
        <v>55010379</v>
      </c>
      <c r="AY57" s="840">
        <v>43347056</v>
      </c>
      <c r="AZ57" s="840">
        <v>43347056</v>
      </c>
      <c r="BA57" s="840">
        <v>11663323</v>
      </c>
      <c r="BB57" s="169">
        <f t="shared" si="19"/>
        <v>55010.379000000001</v>
      </c>
      <c r="BC57" s="169">
        <f t="shared" si="20"/>
        <v>43347.055999999997</v>
      </c>
      <c r="BD57" s="169">
        <f t="shared" si="21"/>
        <v>43347.055999999997</v>
      </c>
      <c r="BE57" s="169">
        <f t="shared" si="22"/>
        <v>11663.323</v>
      </c>
    </row>
    <row r="58" spans="1:57" ht="15" customHeight="1" x14ac:dyDescent="0.35">
      <c r="A58" s="841" t="s">
        <v>993</v>
      </c>
      <c r="B58" s="1115">
        <v>500000</v>
      </c>
      <c r="C58" s="1115">
        <v>0</v>
      </c>
      <c r="D58" s="1115">
        <v>500000</v>
      </c>
      <c r="E58" s="1115">
        <v>0</v>
      </c>
      <c r="F58" s="1115">
        <f t="shared" si="4"/>
        <v>500</v>
      </c>
      <c r="G58" s="1115">
        <f t="shared" si="5"/>
        <v>0</v>
      </c>
      <c r="H58" s="1115">
        <f t="shared" si="6"/>
        <v>500</v>
      </c>
      <c r="I58" s="1115">
        <f t="shared" si="7"/>
        <v>0</v>
      </c>
      <c r="L58" s="94" t="s">
        <v>389</v>
      </c>
      <c r="M58" s="840">
        <v>2390080</v>
      </c>
      <c r="N58" s="1115">
        <f t="shared" si="8"/>
        <v>2390.08</v>
      </c>
      <c r="Q58" s="94" t="s">
        <v>993</v>
      </c>
      <c r="R58" s="840">
        <v>500000</v>
      </c>
      <c r="S58" s="840">
        <v>0</v>
      </c>
      <c r="T58" s="840">
        <v>500000</v>
      </c>
      <c r="U58" s="840">
        <v>0</v>
      </c>
      <c r="V58" s="169">
        <f t="shared" si="9"/>
        <v>500</v>
      </c>
      <c r="W58" s="169">
        <f t="shared" si="10"/>
        <v>0</v>
      </c>
      <c r="X58" s="169">
        <f t="shared" si="11"/>
        <v>500</v>
      </c>
      <c r="Y58" s="169">
        <f t="shared" si="12"/>
        <v>0</v>
      </c>
      <c r="AB58" s="1390" t="s">
        <v>378</v>
      </c>
      <c r="AC58" s="1391">
        <v>291068604</v>
      </c>
      <c r="AD58" s="169">
        <f t="shared" si="13"/>
        <v>291068.60399999999</v>
      </c>
      <c r="AG58" s="1390" t="s">
        <v>993</v>
      </c>
      <c r="AH58" s="1391">
        <v>500000</v>
      </c>
      <c r="AI58" s="1391">
        <v>0</v>
      </c>
      <c r="AJ58" s="1391">
        <v>0</v>
      </c>
      <c r="AK58" s="1391">
        <v>500000</v>
      </c>
      <c r="AL58" s="1407">
        <f t="shared" si="14"/>
        <v>500</v>
      </c>
      <c r="AM58" s="1407">
        <f t="shared" si="15"/>
        <v>0</v>
      </c>
      <c r="AN58" s="1407">
        <f t="shared" si="16"/>
        <v>0</v>
      </c>
      <c r="AO58" s="1407">
        <f t="shared" si="17"/>
        <v>500</v>
      </c>
      <c r="AR58" s="1390" t="s">
        <v>588</v>
      </c>
      <c r="AS58" s="169">
        <v>6114450</v>
      </c>
      <c r="AT58" s="169">
        <f t="shared" si="18"/>
        <v>6114.45</v>
      </c>
      <c r="AW58" s="1390" t="s">
        <v>993</v>
      </c>
      <c r="AX58" s="840">
        <v>500000</v>
      </c>
      <c r="AY58" s="840">
        <v>0</v>
      </c>
      <c r="AZ58" s="840">
        <v>0</v>
      </c>
      <c r="BA58" s="840">
        <v>500000</v>
      </c>
      <c r="BB58" s="169">
        <f t="shared" si="19"/>
        <v>500</v>
      </c>
      <c r="BC58" s="169">
        <f t="shared" si="20"/>
        <v>0</v>
      </c>
      <c r="BD58" s="169">
        <f t="shared" si="21"/>
        <v>0</v>
      </c>
      <c r="BE58" s="169">
        <f t="shared" si="22"/>
        <v>500</v>
      </c>
    </row>
    <row r="59" spans="1:57" ht="15" customHeight="1" x14ac:dyDescent="0.35">
      <c r="A59" s="841" t="s">
        <v>372</v>
      </c>
      <c r="B59" s="1115">
        <v>163673576</v>
      </c>
      <c r="C59" s="1115">
        <v>0</v>
      </c>
      <c r="D59" s="1115">
        <v>163673576</v>
      </c>
      <c r="E59" s="1115">
        <v>0</v>
      </c>
      <c r="F59" s="1115">
        <f t="shared" si="4"/>
        <v>163673.576</v>
      </c>
      <c r="G59" s="1115">
        <f t="shared" si="5"/>
        <v>0</v>
      </c>
      <c r="H59" s="1115">
        <f t="shared" si="6"/>
        <v>163673.576</v>
      </c>
      <c r="I59" s="1115">
        <f t="shared" si="7"/>
        <v>0</v>
      </c>
      <c r="L59" s="94" t="s">
        <v>390</v>
      </c>
      <c r="M59" s="840">
        <v>69250</v>
      </c>
      <c r="N59" s="1115">
        <f t="shared" si="8"/>
        <v>69.25</v>
      </c>
      <c r="Q59" s="94" t="s">
        <v>372</v>
      </c>
      <c r="R59" s="840">
        <v>163673576</v>
      </c>
      <c r="S59" s="840">
        <v>0</v>
      </c>
      <c r="T59" s="840">
        <v>163673576</v>
      </c>
      <c r="U59" s="840">
        <v>0</v>
      </c>
      <c r="V59" s="169">
        <f t="shared" si="9"/>
        <v>163673.576</v>
      </c>
      <c r="W59" s="169">
        <f t="shared" si="10"/>
        <v>0</v>
      </c>
      <c r="X59" s="169">
        <f t="shared" si="11"/>
        <v>163673.576</v>
      </c>
      <c r="Y59" s="169">
        <f t="shared" si="12"/>
        <v>0</v>
      </c>
      <c r="AB59" s="1390" t="s">
        <v>379</v>
      </c>
      <c r="AC59" s="1391">
        <v>0</v>
      </c>
      <c r="AD59" s="169">
        <f t="shared" si="13"/>
        <v>0</v>
      </c>
      <c r="AG59" s="1390" t="s">
        <v>372</v>
      </c>
      <c r="AH59" s="1391">
        <v>163673576</v>
      </c>
      <c r="AI59" s="1391">
        <v>7659702</v>
      </c>
      <c r="AJ59" s="1391">
        <v>7659702</v>
      </c>
      <c r="AK59" s="1391">
        <v>156013874</v>
      </c>
      <c r="AL59" s="1407">
        <f t="shared" si="14"/>
        <v>163673.576</v>
      </c>
      <c r="AM59" s="1407">
        <f t="shared" si="15"/>
        <v>7659.7020000000002</v>
      </c>
      <c r="AN59" s="1407">
        <f t="shared" si="16"/>
        <v>7659.7020000000002</v>
      </c>
      <c r="AO59" s="1407">
        <f t="shared" si="17"/>
        <v>156013.87400000001</v>
      </c>
      <c r="AR59" s="1390" t="s">
        <v>380</v>
      </c>
      <c r="AS59" s="169">
        <v>1429780</v>
      </c>
      <c r="AT59" s="169">
        <f t="shared" si="18"/>
        <v>1429.78</v>
      </c>
      <c r="AW59" s="1390" t="s">
        <v>372</v>
      </c>
      <c r="AX59" s="840">
        <v>163673576</v>
      </c>
      <c r="AY59" s="840">
        <v>7659702</v>
      </c>
      <c r="AZ59" s="840">
        <v>7659702</v>
      </c>
      <c r="BA59" s="840">
        <v>156013874</v>
      </c>
      <c r="BB59" s="169">
        <f t="shared" si="19"/>
        <v>163673.576</v>
      </c>
      <c r="BC59" s="169">
        <f t="shared" si="20"/>
        <v>7659.7020000000002</v>
      </c>
      <c r="BD59" s="169">
        <f t="shared" si="21"/>
        <v>7659.7020000000002</v>
      </c>
      <c r="BE59" s="169">
        <f t="shared" si="22"/>
        <v>156013.87400000001</v>
      </c>
    </row>
    <row r="60" spans="1:57" ht="15" customHeight="1" x14ac:dyDescent="0.35">
      <c r="A60" s="841" t="s">
        <v>373</v>
      </c>
      <c r="B60" s="1115">
        <v>47688318</v>
      </c>
      <c r="C60" s="1115">
        <v>0</v>
      </c>
      <c r="D60" s="1115">
        <v>47688318</v>
      </c>
      <c r="E60" s="1115">
        <v>0</v>
      </c>
      <c r="F60" s="1115">
        <f t="shared" si="4"/>
        <v>47688.317999999999</v>
      </c>
      <c r="G60" s="1115">
        <f t="shared" si="5"/>
        <v>0</v>
      </c>
      <c r="H60" s="1115">
        <f t="shared" si="6"/>
        <v>47688.317999999999</v>
      </c>
      <c r="I60" s="1115">
        <f t="shared" si="7"/>
        <v>0</v>
      </c>
      <c r="L60" s="94" t="s">
        <v>391</v>
      </c>
      <c r="M60" s="840">
        <v>899896</v>
      </c>
      <c r="N60" s="1115">
        <f t="shared" si="8"/>
        <v>899.89599999999996</v>
      </c>
      <c r="Q60" s="94" t="s">
        <v>373</v>
      </c>
      <c r="R60" s="840">
        <v>47688318</v>
      </c>
      <c r="S60" s="840">
        <v>0</v>
      </c>
      <c r="T60" s="840">
        <v>47688318</v>
      </c>
      <c r="U60" s="840">
        <v>0</v>
      </c>
      <c r="V60" s="169">
        <f t="shared" si="9"/>
        <v>47688.317999999999</v>
      </c>
      <c r="W60" s="169">
        <f t="shared" si="10"/>
        <v>0</v>
      </c>
      <c r="X60" s="169">
        <f t="shared" si="11"/>
        <v>47688.317999999999</v>
      </c>
      <c r="Y60" s="169">
        <f t="shared" si="12"/>
        <v>0</v>
      </c>
      <c r="AB60" s="1390" t="s">
        <v>588</v>
      </c>
      <c r="AC60" s="1391">
        <v>0</v>
      </c>
      <c r="AD60" s="169">
        <f t="shared" si="13"/>
        <v>0</v>
      </c>
      <c r="AG60" s="1390" t="s">
        <v>373</v>
      </c>
      <c r="AH60" s="1391">
        <v>47688318</v>
      </c>
      <c r="AI60" s="1391">
        <v>0</v>
      </c>
      <c r="AJ60" s="1391">
        <v>0</v>
      </c>
      <c r="AK60" s="1391">
        <v>47688318</v>
      </c>
      <c r="AL60" s="1407">
        <f t="shared" si="14"/>
        <v>47688.317999999999</v>
      </c>
      <c r="AM60" s="1407">
        <f t="shared" si="15"/>
        <v>0</v>
      </c>
      <c r="AN60" s="1407">
        <f t="shared" si="16"/>
        <v>0</v>
      </c>
      <c r="AO60" s="1407">
        <f t="shared" si="17"/>
        <v>47688.317999999999</v>
      </c>
      <c r="AR60" s="1390" t="s">
        <v>381</v>
      </c>
      <c r="AS60" s="169">
        <v>5613268</v>
      </c>
      <c r="AT60" s="169">
        <f t="shared" si="18"/>
        <v>5613.268</v>
      </c>
      <c r="AW60" s="1390" t="s">
        <v>373</v>
      </c>
      <c r="AX60" s="840">
        <v>47688318</v>
      </c>
      <c r="AY60" s="840">
        <v>0</v>
      </c>
      <c r="AZ60" s="840">
        <v>0</v>
      </c>
      <c r="BA60" s="840">
        <v>47688318</v>
      </c>
      <c r="BB60" s="169">
        <f t="shared" si="19"/>
        <v>47688.317999999999</v>
      </c>
      <c r="BC60" s="169">
        <f t="shared" si="20"/>
        <v>0</v>
      </c>
      <c r="BD60" s="169">
        <f t="shared" si="21"/>
        <v>0</v>
      </c>
      <c r="BE60" s="169">
        <f t="shared" si="22"/>
        <v>47688.317999999999</v>
      </c>
    </row>
    <row r="61" spans="1:57" ht="15" customHeight="1" x14ac:dyDescent="0.35">
      <c r="A61" s="841" t="s">
        <v>482</v>
      </c>
      <c r="B61" s="1115">
        <v>17918413</v>
      </c>
      <c r="C61" s="1115">
        <v>0</v>
      </c>
      <c r="D61" s="1115">
        <v>17918413</v>
      </c>
      <c r="E61" s="1115">
        <v>0</v>
      </c>
      <c r="F61" s="1115">
        <f t="shared" si="4"/>
        <v>17918.413</v>
      </c>
      <c r="G61" s="1115">
        <f t="shared" si="5"/>
        <v>0</v>
      </c>
      <c r="H61" s="1115">
        <f t="shared" si="6"/>
        <v>17918.413</v>
      </c>
      <c r="I61" s="1115">
        <f t="shared" si="7"/>
        <v>0</v>
      </c>
      <c r="L61" s="94" t="s">
        <v>392</v>
      </c>
      <c r="M61" s="840">
        <v>5465146</v>
      </c>
      <c r="N61" s="1115">
        <f t="shared" si="8"/>
        <v>5465.1459999999997</v>
      </c>
      <c r="Q61" s="94" t="s">
        <v>482</v>
      </c>
      <c r="R61" s="840">
        <v>17918413</v>
      </c>
      <c r="S61" s="840">
        <v>0</v>
      </c>
      <c r="T61" s="840">
        <v>17918413</v>
      </c>
      <c r="U61" s="840">
        <v>0</v>
      </c>
      <c r="V61" s="169">
        <f t="shared" si="9"/>
        <v>17918.413</v>
      </c>
      <c r="W61" s="169">
        <f t="shared" si="10"/>
        <v>0</v>
      </c>
      <c r="X61" s="169">
        <f t="shared" si="11"/>
        <v>17918.413</v>
      </c>
      <c r="Y61" s="169">
        <f t="shared" si="12"/>
        <v>0</v>
      </c>
      <c r="AB61" s="1390" t="s">
        <v>380</v>
      </c>
      <c r="AC61" s="1391">
        <v>0</v>
      </c>
      <c r="AD61" s="169">
        <f t="shared" si="13"/>
        <v>0</v>
      </c>
      <c r="AG61" s="1390" t="s">
        <v>482</v>
      </c>
      <c r="AH61" s="1391">
        <v>17918413</v>
      </c>
      <c r="AI61" s="1391">
        <v>7659702</v>
      </c>
      <c r="AJ61" s="1391">
        <v>7659702</v>
      </c>
      <c r="AK61" s="1391">
        <v>10258711</v>
      </c>
      <c r="AL61" s="1407">
        <f t="shared" si="14"/>
        <v>17918.413</v>
      </c>
      <c r="AM61" s="1407">
        <f t="shared" si="15"/>
        <v>7659.7020000000002</v>
      </c>
      <c r="AN61" s="1407">
        <f t="shared" si="16"/>
        <v>7659.7020000000002</v>
      </c>
      <c r="AO61" s="1407">
        <f t="shared" si="17"/>
        <v>10258.710999999999</v>
      </c>
      <c r="AR61" s="1390" t="s">
        <v>382</v>
      </c>
      <c r="AS61" s="169">
        <v>455380</v>
      </c>
      <c r="AT61" s="169">
        <f t="shared" si="18"/>
        <v>455.38</v>
      </c>
      <c r="AW61" s="1390" t="s">
        <v>482</v>
      </c>
      <c r="AX61" s="840">
        <v>17918413</v>
      </c>
      <c r="AY61" s="840">
        <v>7659702</v>
      </c>
      <c r="AZ61" s="840">
        <v>7659702</v>
      </c>
      <c r="BA61" s="840">
        <v>10258711</v>
      </c>
      <c r="BB61" s="169">
        <f t="shared" si="19"/>
        <v>17918.413</v>
      </c>
      <c r="BC61" s="169">
        <f t="shared" si="20"/>
        <v>7659.7020000000002</v>
      </c>
      <c r="BD61" s="169">
        <f t="shared" si="21"/>
        <v>7659.7020000000002</v>
      </c>
      <c r="BE61" s="169">
        <f t="shared" si="22"/>
        <v>10258.710999999999</v>
      </c>
    </row>
    <row r="62" spans="1:57" ht="15" customHeight="1" x14ac:dyDescent="0.35">
      <c r="A62" s="841" t="s">
        <v>374</v>
      </c>
      <c r="B62" s="1115">
        <v>98066845</v>
      </c>
      <c r="C62" s="1115">
        <v>0</v>
      </c>
      <c r="D62" s="1115">
        <v>98066845</v>
      </c>
      <c r="E62" s="1115">
        <v>0</v>
      </c>
      <c r="F62" s="1115">
        <f t="shared" si="4"/>
        <v>98066.845000000001</v>
      </c>
      <c r="G62" s="1115">
        <f t="shared" si="5"/>
        <v>0</v>
      </c>
      <c r="H62" s="1115">
        <f t="shared" si="6"/>
        <v>98066.845000000001</v>
      </c>
      <c r="I62" s="1115">
        <f t="shared" si="7"/>
        <v>0</v>
      </c>
      <c r="L62" s="94" t="s">
        <v>395</v>
      </c>
      <c r="M62" s="840">
        <v>5617189</v>
      </c>
      <c r="N62" s="1115">
        <f t="shared" si="8"/>
        <v>5617.1890000000003</v>
      </c>
      <c r="Q62" s="94" t="s">
        <v>374</v>
      </c>
      <c r="R62" s="840">
        <v>98066845</v>
      </c>
      <c r="S62" s="840">
        <v>0</v>
      </c>
      <c r="T62" s="840">
        <v>98066845</v>
      </c>
      <c r="U62" s="840">
        <v>0</v>
      </c>
      <c r="V62" s="169">
        <f t="shared" si="9"/>
        <v>98066.845000000001</v>
      </c>
      <c r="W62" s="169">
        <f t="shared" si="10"/>
        <v>0</v>
      </c>
      <c r="X62" s="169">
        <f t="shared" si="11"/>
        <v>98066.845000000001</v>
      </c>
      <c r="Y62" s="169">
        <f t="shared" si="12"/>
        <v>0</v>
      </c>
      <c r="AB62" s="1390" t="s">
        <v>381</v>
      </c>
      <c r="AC62" s="1391">
        <v>5586918</v>
      </c>
      <c r="AD62" s="169">
        <f t="shared" si="13"/>
        <v>5586.9179999999997</v>
      </c>
      <c r="AG62" s="1390" t="s">
        <v>374</v>
      </c>
      <c r="AH62" s="1391">
        <v>98066845</v>
      </c>
      <c r="AI62" s="1391">
        <v>0</v>
      </c>
      <c r="AJ62" s="1391">
        <v>0</v>
      </c>
      <c r="AK62" s="1391">
        <v>98066845</v>
      </c>
      <c r="AL62" s="1407">
        <f t="shared" si="14"/>
        <v>98066.845000000001</v>
      </c>
      <c r="AM62" s="1407">
        <f t="shared" si="15"/>
        <v>0</v>
      </c>
      <c r="AN62" s="1407">
        <f t="shared" si="16"/>
        <v>0</v>
      </c>
      <c r="AO62" s="1407">
        <f t="shared" si="17"/>
        <v>98066.845000000001</v>
      </c>
      <c r="AR62" s="1390" t="s">
        <v>589</v>
      </c>
      <c r="AS62" s="169">
        <v>0</v>
      </c>
      <c r="AT62" s="169">
        <f t="shared" si="18"/>
        <v>0</v>
      </c>
      <c r="AW62" s="1390" t="s">
        <v>374</v>
      </c>
      <c r="AX62" s="840">
        <v>98066845</v>
      </c>
      <c r="AY62" s="840">
        <v>0</v>
      </c>
      <c r="AZ62" s="840">
        <v>0</v>
      </c>
      <c r="BA62" s="840">
        <v>98066845</v>
      </c>
      <c r="BB62" s="169">
        <f t="shared" si="19"/>
        <v>98066.845000000001</v>
      </c>
      <c r="BC62" s="169">
        <f t="shared" si="20"/>
        <v>0</v>
      </c>
      <c r="BD62" s="169">
        <f t="shared" si="21"/>
        <v>0</v>
      </c>
      <c r="BE62" s="169">
        <f t="shared" si="22"/>
        <v>98066.845000000001</v>
      </c>
    </row>
    <row r="63" spans="1:57" ht="15" customHeight="1" x14ac:dyDescent="0.35">
      <c r="A63" s="841" t="s">
        <v>375</v>
      </c>
      <c r="B63" s="1115">
        <v>1509478343</v>
      </c>
      <c r="C63" s="1115">
        <v>87758681</v>
      </c>
      <c r="D63" s="1115">
        <v>1421719662</v>
      </c>
      <c r="E63" s="1115">
        <v>87758681</v>
      </c>
      <c r="F63" s="1115">
        <f t="shared" si="4"/>
        <v>1509478.3430000001</v>
      </c>
      <c r="G63" s="1115">
        <f t="shared" si="5"/>
        <v>87758.680999999997</v>
      </c>
      <c r="H63" s="1115">
        <f t="shared" si="6"/>
        <v>1421719.662</v>
      </c>
      <c r="I63" s="1115">
        <f t="shared" si="7"/>
        <v>87758.680999999997</v>
      </c>
      <c r="L63" s="94" t="s">
        <v>596</v>
      </c>
      <c r="M63" s="840">
        <v>4581000</v>
      </c>
      <c r="N63" s="1115">
        <f t="shared" si="8"/>
        <v>4581</v>
      </c>
      <c r="Q63" s="94" t="s">
        <v>375</v>
      </c>
      <c r="R63" s="840">
        <v>1509478343</v>
      </c>
      <c r="S63" s="840">
        <v>183182096</v>
      </c>
      <c r="T63" s="840">
        <v>1326296247</v>
      </c>
      <c r="U63" s="840">
        <v>183182096</v>
      </c>
      <c r="V63" s="169">
        <f t="shared" si="9"/>
        <v>1509478.3430000001</v>
      </c>
      <c r="W63" s="169">
        <f t="shared" si="10"/>
        <v>183182.09599999999</v>
      </c>
      <c r="X63" s="169">
        <f t="shared" si="11"/>
        <v>1326296.247</v>
      </c>
      <c r="Y63" s="169">
        <f t="shared" si="12"/>
        <v>183182.09599999999</v>
      </c>
      <c r="AB63" s="1390" t="s">
        <v>382</v>
      </c>
      <c r="AC63" s="1391">
        <v>100000</v>
      </c>
      <c r="AD63" s="169">
        <f t="shared" si="13"/>
        <v>100</v>
      </c>
      <c r="AG63" s="1390" t="s">
        <v>375</v>
      </c>
      <c r="AH63" s="1391">
        <v>1509278343</v>
      </c>
      <c r="AI63" s="1391">
        <v>281420875</v>
      </c>
      <c r="AJ63" s="1391">
        <v>281420875</v>
      </c>
      <c r="AK63" s="1391">
        <v>1227857468</v>
      </c>
      <c r="AL63" s="1407">
        <f t="shared" si="14"/>
        <v>1509278.3430000001</v>
      </c>
      <c r="AM63" s="1407">
        <f t="shared" si="15"/>
        <v>281420.875</v>
      </c>
      <c r="AN63" s="1407">
        <f t="shared" si="16"/>
        <v>281420.875</v>
      </c>
      <c r="AO63" s="1407">
        <f t="shared" si="17"/>
        <v>1227857.4680000001</v>
      </c>
      <c r="AR63" s="1390" t="s">
        <v>384</v>
      </c>
      <c r="AS63" s="169">
        <v>126140</v>
      </c>
      <c r="AT63" s="169">
        <f t="shared" si="18"/>
        <v>126.14</v>
      </c>
      <c r="AW63" s="1390" t="s">
        <v>375</v>
      </c>
      <c r="AX63" s="840">
        <v>1509478343</v>
      </c>
      <c r="AY63" s="840">
        <v>379127996</v>
      </c>
      <c r="AZ63" s="840">
        <v>379127996</v>
      </c>
      <c r="BA63" s="840">
        <v>1130350347</v>
      </c>
      <c r="BB63" s="169">
        <f t="shared" si="19"/>
        <v>1509478.3430000001</v>
      </c>
      <c r="BC63" s="169">
        <f t="shared" si="20"/>
        <v>379127.99599999998</v>
      </c>
      <c r="BD63" s="169">
        <f t="shared" si="21"/>
        <v>379127.99599999998</v>
      </c>
      <c r="BE63" s="169">
        <f t="shared" si="22"/>
        <v>1130350.3470000001</v>
      </c>
    </row>
    <row r="64" spans="1:57" ht="15" customHeight="1" x14ac:dyDescent="0.35">
      <c r="A64" s="841" t="s">
        <v>584</v>
      </c>
      <c r="B64" s="1115">
        <v>1472012000</v>
      </c>
      <c r="C64" s="1115">
        <v>84479577</v>
      </c>
      <c r="D64" s="1115">
        <v>1387532423</v>
      </c>
      <c r="E64" s="1115">
        <v>84479577</v>
      </c>
      <c r="F64" s="1115">
        <f t="shared" si="4"/>
        <v>1472012</v>
      </c>
      <c r="G64" s="1115">
        <f t="shared" si="5"/>
        <v>84479.577000000005</v>
      </c>
      <c r="H64" s="1115">
        <f t="shared" si="6"/>
        <v>1387532.423</v>
      </c>
      <c r="I64" s="1115">
        <f t="shared" si="7"/>
        <v>84479.577000000005</v>
      </c>
      <c r="L64" s="94" t="s">
        <v>597</v>
      </c>
      <c r="M64" s="840">
        <v>1036189</v>
      </c>
      <c r="N64" s="1115">
        <f t="shared" si="8"/>
        <v>1036.1890000000001</v>
      </c>
      <c r="Q64" s="94" t="s">
        <v>584</v>
      </c>
      <c r="R64" s="840">
        <v>1472012000</v>
      </c>
      <c r="S64" s="840">
        <v>178263440</v>
      </c>
      <c r="T64" s="840">
        <v>1293748560</v>
      </c>
      <c r="U64" s="840">
        <v>178263440</v>
      </c>
      <c r="V64" s="169">
        <f t="shared" si="9"/>
        <v>1472012</v>
      </c>
      <c r="W64" s="169">
        <f t="shared" si="10"/>
        <v>178263.44</v>
      </c>
      <c r="X64" s="169">
        <f t="shared" si="11"/>
        <v>1293748.56</v>
      </c>
      <c r="Y64" s="169">
        <f t="shared" si="12"/>
        <v>178263.44</v>
      </c>
      <c r="AB64" s="1390" t="s">
        <v>589</v>
      </c>
      <c r="AC64" s="1391">
        <v>0</v>
      </c>
      <c r="AD64" s="169">
        <f t="shared" si="13"/>
        <v>0</v>
      </c>
      <c r="AG64" s="1390" t="s">
        <v>584</v>
      </c>
      <c r="AH64" s="1391">
        <v>1471812000</v>
      </c>
      <c r="AI64" s="1391">
        <v>275326419</v>
      </c>
      <c r="AJ64" s="1391">
        <v>275326419</v>
      </c>
      <c r="AK64" s="1391">
        <v>1196485581</v>
      </c>
      <c r="AL64" s="1407">
        <f t="shared" si="14"/>
        <v>1471812</v>
      </c>
      <c r="AM64" s="1407">
        <f t="shared" si="15"/>
        <v>275326.41899999999</v>
      </c>
      <c r="AN64" s="1407">
        <f t="shared" si="16"/>
        <v>275326.41899999999</v>
      </c>
      <c r="AO64" s="1407">
        <f t="shared" si="17"/>
        <v>1196485.581</v>
      </c>
      <c r="AR64" s="1390" t="s">
        <v>590</v>
      </c>
      <c r="AS64" s="169">
        <v>582267</v>
      </c>
      <c r="AT64" s="169">
        <f t="shared" si="18"/>
        <v>582.26700000000005</v>
      </c>
      <c r="AW64" s="1390" t="s">
        <v>584</v>
      </c>
      <c r="AX64" s="840">
        <v>1472012000</v>
      </c>
      <c r="AY64" s="840">
        <v>373033540</v>
      </c>
      <c r="AZ64" s="840">
        <v>373033540</v>
      </c>
      <c r="BA64" s="840">
        <v>1098978460</v>
      </c>
      <c r="BB64" s="169">
        <f t="shared" si="19"/>
        <v>1472012</v>
      </c>
      <c r="BC64" s="169">
        <f t="shared" si="20"/>
        <v>373033.54</v>
      </c>
      <c r="BD64" s="169">
        <f t="shared" si="21"/>
        <v>373033.54</v>
      </c>
      <c r="BE64" s="169">
        <f t="shared" si="22"/>
        <v>1098978.46</v>
      </c>
    </row>
    <row r="65" spans="1:57" ht="15" customHeight="1" x14ac:dyDescent="0.35">
      <c r="A65" s="841" t="s">
        <v>585</v>
      </c>
      <c r="B65" s="1115">
        <v>1461411989</v>
      </c>
      <c r="C65" s="1115">
        <v>83834886</v>
      </c>
      <c r="D65" s="1115">
        <v>1377577103</v>
      </c>
      <c r="E65" s="1115">
        <v>83834886</v>
      </c>
      <c r="F65" s="1115">
        <f t="shared" si="4"/>
        <v>1461411.9890000001</v>
      </c>
      <c r="G65" s="1115">
        <f t="shared" si="5"/>
        <v>83834.885999999999</v>
      </c>
      <c r="H65" s="1115">
        <f t="shared" si="6"/>
        <v>1377577.1029999999</v>
      </c>
      <c r="I65" s="1115">
        <f t="shared" si="7"/>
        <v>83834.885999999999</v>
      </c>
      <c r="L65" s="94" t="s">
        <v>599</v>
      </c>
      <c r="M65" s="840">
        <v>0</v>
      </c>
      <c r="N65" s="1115">
        <f t="shared" si="8"/>
        <v>0</v>
      </c>
      <c r="Q65" s="94" t="s">
        <v>585</v>
      </c>
      <c r="R65" s="840">
        <v>1460411990</v>
      </c>
      <c r="S65" s="840">
        <v>173969593</v>
      </c>
      <c r="T65" s="840">
        <v>1286442397</v>
      </c>
      <c r="U65" s="840">
        <v>173969593</v>
      </c>
      <c r="V65" s="169">
        <f t="shared" si="9"/>
        <v>1460411.99</v>
      </c>
      <c r="W65" s="169">
        <f t="shared" si="10"/>
        <v>173969.59299999999</v>
      </c>
      <c r="X65" s="169">
        <f t="shared" si="11"/>
        <v>1286442.3970000001</v>
      </c>
      <c r="Y65" s="169">
        <f t="shared" si="12"/>
        <v>173969.59299999999</v>
      </c>
      <c r="AB65" s="1390" t="s">
        <v>384</v>
      </c>
      <c r="AC65" s="1391">
        <v>5266708</v>
      </c>
      <c r="AD65" s="169">
        <f t="shared" si="13"/>
        <v>5266.7079999999996</v>
      </c>
      <c r="AG65" s="1390" t="s">
        <v>585</v>
      </c>
      <c r="AH65" s="1391">
        <v>1458808991</v>
      </c>
      <c r="AI65" s="1391">
        <v>269243974</v>
      </c>
      <c r="AJ65" s="1391">
        <v>269243974</v>
      </c>
      <c r="AK65" s="1391">
        <v>1189565017</v>
      </c>
      <c r="AL65" s="1407">
        <f t="shared" si="14"/>
        <v>1458808.9909999999</v>
      </c>
      <c r="AM65" s="1407">
        <f t="shared" si="15"/>
        <v>269243.97399999999</v>
      </c>
      <c r="AN65" s="1407">
        <f t="shared" si="16"/>
        <v>269243.97399999999</v>
      </c>
      <c r="AO65" s="1407">
        <f t="shared" si="17"/>
        <v>1189565.017</v>
      </c>
      <c r="AR65" s="1390" t="s">
        <v>591</v>
      </c>
      <c r="AS65" s="169">
        <v>158270</v>
      </c>
      <c r="AT65" s="169">
        <f t="shared" si="18"/>
        <v>158.27000000000001</v>
      </c>
      <c r="AW65" s="1390" t="s">
        <v>585</v>
      </c>
      <c r="AX65" s="840">
        <v>1458358992</v>
      </c>
      <c r="AY65" s="840">
        <v>364742988</v>
      </c>
      <c r="AZ65" s="840">
        <v>364742988</v>
      </c>
      <c r="BA65" s="840">
        <v>1093616004</v>
      </c>
      <c r="BB65" s="169">
        <f t="shared" si="19"/>
        <v>1458358.9920000001</v>
      </c>
      <c r="BC65" s="169">
        <f t="shared" si="20"/>
        <v>364742.98800000001</v>
      </c>
      <c r="BD65" s="169">
        <f t="shared" si="21"/>
        <v>364742.98800000001</v>
      </c>
      <c r="BE65" s="169">
        <f t="shared" si="22"/>
        <v>1093616.004</v>
      </c>
    </row>
    <row r="66" spans="1:57" ht="15" customHeight="1" x14ac:dyDescent="0.35">
      <c r="A66" s="841" t="s">
        <v>586</v>
      </c>
      <c r="B66" s="1115">
        <v>10600011</v>
      </c>
      <c r="C66" s="1115">
        <v>644691</v>
      </c>
      <c r="D66" s="1115">
        <v>9955320</v>
      </c>
      <c r="E66" s="1115">
        <v>644691</v>
      </c>
      <c r="F66" s="1115">
        <f t="shared" si="4"/>
        <v>10600.011</v>
      </c>
      <c r="G66" s="1115">
        <f t="shared" si="5"/>
        <v>644.69100000000003</v>
      </c>
      <c r="H66" s="1115">
        <f t="shared" si="6"/>
        <v>9955.32</v>
      </c>
      <c r="I66" s="1115">
        <f t="shared" si="7"/>
        <v>644.69100000000003</v>
      </c>
      <c r="L66" s="94" t="s">
        <v>600</v>
      </c>
      <c r="M66" s="840">
        <v>0</v>
      </c>
      <c r="N66" s="1115">
        <f t="shared" si="8"/>
        <v>0</v>
      </c>
      <c r="Q66" s="94" t="s">
        <v>586</v>
      </c>
      <c r="R66" s="840">
        <v>11600010</v>
      </c>
      <c r="S66" s="840">
        <v>4293847</v>
      </c>
      <c r="T66" s="840">
        <v>7306163</v>
      </c>
      <c r="U66" s="840">
        <v>4293847</v>
      </c>
      <c r="V66" s="169">
        <f t="shared" si="9"/>
        <v>11600.01</v>
      </c>
      <c r="W66" s="169">
        <f t="shared" si="10"/>
        <v>4293.8469999999998</v>
      </c>
      <c r="X66" s="169">
        <f t="shared" si="11"/>
        <v>7306.1629999999996</v>
      </c>
      <c r="Y66" s="169">
        <f t="shared" si="12"/>
        <v>4293.8469999999998</v>
      </c>
      <c r="AB66" s="1390" t="s">
        <v>590</v>
      </c>
      <c r="AC66" s="1391">
        <v>0</v>
      </c>
      <c r="AD66" s="169">
        <f t="shared" si="13"/>
        <v>0</v>
      </c>
      <c r="AG66" s="1390" t="s">
        <v>586</v>
      </c>
      <c r="AH66" s="1391">
        <v>13003009</v>
      </c>
      <c r="AI66" s="1391">
        <v>6082445</v>
      </c>
      <c r="AJ66" s="1391">
        <v>6082445</v>
      </c>
      <c r="AK66" s="1391">
        <v>6920564</v>
      </c>
      <c r="AL66" s="1407">
        <f t="shared" si="14"/>
        <v>13003.009</v>
      </c>
      <c r="AM66" s="1407">
        <f t="shared" si="15"/>
        <v>6082.4449999999997</v>
      </c>
      <c r="AN66" s="1407">
        <f t="shared" si="16"/>
        <v>6082.4449999999997</v>
      </c>
      <c r="AO66" s="1407">
        <f t="shared" si="17"/>
        <v>6920.5640000000003</v>
      </c>
      <c r="AR66" s="1390" t="s">
        <v>592</v>
      </c>
      <c r="AS66" s="169">
        <v>0</v>
      </c>
      <c r="AT66" s="169">
        <f t="shared" si="18"/>
        <v>0</v>
      </c>
      <c r="AW66" s="1390" t="s">
        <v>586</v>
      </c>
      <c r="AX66" s="840">
        <v>13653008</v>
      </c>
      <c r="AY66" s="840">
        <v>8290552</v>
      </c>
      <c r="AZ66" s="840">
        <v>8290552</v>
      </c>
      <c r="BA66" s="840">
        <v>5362456</v>
      </c>
      <c r="BB66" s="169">
        <f t="shared" si="19"/>
        <v>13653.008</v>
      </c>
      <c r="BC66" s="169">
        <f t="shared" si="20"/>
        <v>8290.5519999999997</v>
      </c>
      <c r="BD66" s="169">
        <f t="shared" si="21"/>
        <v>8290.5519999999997</v>
      </c>
      <c r="BE66" s="169">
        <f t="shared" si="22"/>
        <v>5362.4560000000001</v>
      </c>
    </row>
    <row r="67" spans="1:57" ht="15" customHeight="1" x14ac:dyDescent="0.35">
      <c r="A67" s="841" t="s">
        <v>376</v>
      </c>
      <c r="B67" s="1115">
        <v>37466343</v>
      </c>
      <c r="C67" s="1115">
        <v>3279104</v>
      </c>
      <c r="D67" s="1115">
        <v>34187239</v>
      </c>
      <c r="E67" s="1115">
        <v>3279104</v>
      </c>
      <c r="F67" s="1115">
        <f t="shared" si="4"/>
        <v>37466.343000000001</v>
      </c>
      <c r="G67" s="1115">
        <f t="shared" si="5"/>
        <v>3279.1039999999998</v>
      </c>
      <c r="H67" s="1115">
        <f t="shared" si="6"/>
        <v>34187.239000000001</v>
      </c>
      <c r="I67" s="1115">
        <f t="shared" si="7"/>
        <v>3279.1039999999998</v>
      </c>
      <c r="L67" s="94" t="s">
        <v>397</v>
      </c>
      <c r="M67" s="840">
        <v>131100</v>
      </c>
      <c r="N67" s="1115">
        <f t="shared" si="8"/>
        <v>131.1</v>
      </c>
      <c r="Q67" s="94" t="s">
        <v>376</v>
      </c>
      <c r="R67" s="840">
        <v>37466343</v>
      </c>
      <c r="S67" s="840">
        <v>4918656</v>
      </c>
      <c r="T67" s="840">
        <v>32547687</v>
      </c>
      <c r="U67" s="840">
        <v>4918656</v>
      </c>
      <c r="V67" s="169">
        <f t="shared" si="9"/>
        <v>37466.343000000001</v>
      </c>
      <c r="W67" s="169">
        <f t="shared" si="10"/>
        <v>4918.6559999999999</v>
      </c>
      <c r="X67" s="169">
        <f t="shared" si="11"/>
        <v>32547.687000000002</v>
      </c>
      <c r="Y67" s="169">
        <f t="shared" si="12"/>
        <v>4918.6559999999999</v>
      </c>
      <c r="AB67" s="1390" t="s">
        <v>591</v>
      </c>
      <c r="AC67" s="1391">
        <v>70210</v>
      </c>
      <c r="AD67" s="169">
        <f t="shared" si="13"/>
        <v>70.209999999999994</v>
      </c>
      <c r="AG67" s="1390" t="s">
        <v>376</v>
      </c>
      <c r="AH67" s="1391">
        <v>37466343</v>
      </c>
      <c r="AI67" s="1391">
        <v>6094456</v>
      </c>
      <c r="AJ67" s="1391">
        <v>6094456</v>
      </c>
      <c r="AK67" s="1391">
        <v>31371887</v>
      </c>
      <c r="AL67" s="1407">
        <f t="shared" si="14"/>
        <v>37466.343000000001</v>
      </c>
      <c r="AM67" s="1407">
        <f t="shared" si="15"/>
        <v>6094.4560000000001</v>
      </c>
      <c r="AN67" s="1407">
        <f t="shared" si="16"/>
        <v>6094.4560000000001</v>
      </c>
      <c r="AO67" s="1407">
        <f t="shared" si="17"/>
        <v>31371.886999999999</v>
      </c>
      <c r="AR67" s="1390" t="s">
        <v>593</v>
      </c>
      <c r="AS67" s="169">
        <v>0</v>
      </c>
      <c r="AT67" s="169">
        <f t="shared" si="18"/>
        <v>0</v>
      </c>
      <c r="AW67" s="1390" t="s">
        <v>376</v>
      </c>
      <c r="AX67" s="840">
        <v>37466343</v>
      </c>
      <c r="AY67" s="840">
        <v>6094456</v>
      </c>
      <c r="AZ67" s="840">
        <v>6094456</v>
      </c>
      <c r="BA67" s="840">
        <v>31371887</v>
      </c>
      <c r="BB67" s="169">
        <f t="shared" si="19"/>
        <v>37466.343000000001</v>
      </c>
      <c r="BC67" s="169">
        <f t="shared" si="20"/>
        <v>6094.4560000000001</v>
      </c>
      <c r="BD67" s="169">
        <f t="shared" si="21"/>
        <v>6094.4560000000001</v>
      </c>
      <c r="BE67" s="169">
        <f t="shared" si="22"/>
        <v>31371.886999999999</v>
      </c>
    </row>
    <row r="68" spans="1:57" ht="15" customHeight="1" x14ac:dyDescent="0.35">
      <c r="A68" s="841" t="s">
        <v>378</v>
      </c>
      <c r="B68" s="1115">
        <v>2322768000</v>
      </c>
      <c r="C68" s="1115">
        <v>1020656579</v>
      </c>
      <c r="D68" s="1115">
        <v>1302111421</v>
      </c>
      <c r="E68" s="1115">
        <v>117051287</v>
      </c>
      <c r="F68" s="1115">
        <f t="shared" ref="F68:F131" si="23">+B68/$H$1*$I$1</f>
        <v>2322768</v>
      </c>
      <c r="G68" s="1115">
        <f t="shared" ref="G68:G131" si="24">+C68/$H$1*$I$1</f>
        <v>1020656.579</v>
      </c>
      <c r="H68" s="1115">
        <f t="shared" ref="H68:H131" si="25">+D68/$H$1*$I$1</f>
        <v>1302111.4210000001</v>
      </c>
      <c r="I68" s="1115">
        <f t="shared" ref="I68:I131" si="26">+E68/$H$1*$I$1</f>
        <v>117051.287</v>
      </c>
      <c r="L68" s="94" t="s">
        <v>398</v>
      </c>
      <c r="M68" s="840">
        <v>0</v>
      </c>
      <c r="N68" s="1115">
        <f t="shared" ref="N68:N96" si="27">+M68/$N$1*$O$1</f>
        <v>0</v>
      </c>
      <c r="Q68" s="94" t="s">
        <v>378</v>
      </c>
      <c r="R68" s="840">
        <v>2322768000</v>
      </c>
      <c r="S68" s="840">
        <v>1152404153</v>
      </c>
      <c r="T68" s="840">
        <v>1170363847</v>
      </c>
      <c r="U68" s="840">
        <v>198206753</v>
      </c>
      <c r="V68" s="169">
        <f t="shared" ref="V68:V131" si="28">+R68/$X$1*$Y$1</f>
        <v>2322768</v>
      </c>
      <c r="W68" s="169">
        <f t="shared" ref="W68:W131" si="29">+S68/$X$1*$Y$1</f>
        <v>1152404.1529999999</v>
      </c>
      <c r="X68" s="169">
        <f t="shared" ref="X68:X131" si="30">+T68/$X$1*$Y$1</f>
        <v>1170363.8470000001</v>
      </c>
      <c r="Y68" s="169">
        <f t="shared" ref="Y68:Y131" si="31">+U68/$X$1*$Y$1</f>
        <v>198206.753</v>
      </c>
      <c r="AB68" s="1390" t="s">
        <v>592</v>
      </c>
      <c r="AC68" s="1391">
        <v>0</v>
      </c>
      <c r="AD68" s="169">
        <f t="shared" ref="AD68:AD124" si="32">+AC68/$AD$1*$AE$1</f>
        <v>0</v>
      </c>
      <c r="AG68" s="1390" t="s">
        <v>378</v>
      </c>
      <c r="AH68" s="1391">
        <v>2332641000</v>
      </c>
      <c r="AI68" s="1391">
        <v>489275357</v>
      </c>
      <c r="AJ68" s="1391">
        <v>1797294634</v>
      </c>
      <c r="AK68" s="1391">
        <v>535346366</v>
      </c>
      <c r="AL68" s="1407">
        <f t="shared" ref="AL68:AL131" si="33">+AH68/$AN$1*$AO$1</f>
        <v>2332641</v>
      </c>
      <c r="AM68" s="1407">
        <f t="shared" ref="AM68:AM131" si="34">+AI68/$AN$1*$AO$1</f>
        <v>489275.35700000002</v>
      </c>
      <c r="AN68" s="1407">
        <f t="shared" ref="AN68:AN131" si="35">+AJ68/$AN$1*$AO$1</f>
        <v>1797294.6340000001</v>
      </c>
      <c r="AO68" s="1407">
        <f t="shared" ref="AO68:AO131" si="36">+AK68/$AN$1*$AO$1</f>
        <v>535346.36600000004</v>
      </c>
      <c r="AR68" s="1390" t="s">
        <v>594</v>
      </c>
      <c r="AS68" s="169">
        <v>715428</v>
      </c>
      <c r="AT68" s="169">
        <f t="shared" ref="AT68:AT119" si="37">+AS68/$AS$1*$AT$1</f>
        <v>715.428</v>
      </c>
      <c r="AW68" s="1390" t="s">
        <v>378</v>
      </c>
      <c r="AX68" s="840">
        <v>2702641000</v>
      </c>
      <c r="AY68" s="840">
        <v>1952226096</v>
      </c>
      <c r="AZ68" s="840">
        <v>632164830</v>
      </c>
      <c r="BA68" s="840">
        <v>750414904</v>
      </c>
      <c r="BB68" s="169">
        <f t="shared" ref="BB68:BB131" si="38">+AX68/$BD$1*$BE$1</f>
        <v>2702641</v>
      </c>
      <c r="BC68" s="169">
        <f t="shared" ref="BC68:BC131" si="39">+AY68/$BD$1*$BE$1</f>
        <v>1952226.0959999999</v>
      </c>
      <c r="BD68" s="169">
        <f t="shared" ref="BD68:BD131" si="40">+AZ68/$BD$1*$BE$1</f>
        <v>632164.82999999996</v>
      </c>
      <c r="BE68" s="169">
        <f t="shared" ref="BE68:BE131" si="41">+BA68/$BD$1*$BE$1</f>
        <v>750414.90399999998</v>
      </c>
    </row>
    <row r="69" spans="1:57" ht="15" customHeight="1" x14ac:dyDescent="0.35">
      <c r="A69" s="841" t="s">
        <v>379</v>
      </c>
      <c r="B69" s="1115">
        <v>21440000</v>
      </c>
      <c r="C69" s="1115">
        <v>0</v>
      </c>
      <c r="D69" s="1115">
        <v>21440000</v>
      </c>
      <c r="E69" s="1115">
        <v>0</v>
      </c>
      <c r="F69" s="1115">
        <f t="shared" si="23"/>
        <v>21440</v>
      </c>
      <c r="G69" s="1115">
        <f t="shared" si="24"/>
        <v>0</v>
      </c>
      <c r="H69" s="1115">
        <f t="shared" si="25"/>
        <v>21440</v>
      </c>
      <c r="I69" s="1115">
        <f t="shared" si="26"/>
        <v>0</v>
      </c>
      <c r="L69" s="94" t="s">
        <v>399</v>
      </c>
      <c r="M69" s="840">
        <v>131100</v>
      </c>
      <c r="N69" s="1115">
        <f t="shared" si="27"/>
        <v>131.1</v>
      </c>
      <c r="Q69" s="94" t="s">
        <v>379</v>
      </c>
      <c r="R69" s="840">
        <v>30621684</v>
      </c>
      <c r="S69" s="840">
        <v>10872577</v>
      </c>
      <c r="T69" s="840">
        <v>19749107</v>
      </c>
      <c r="U69" s="840">
        <v>7043385</v>
      </c>
      <c r="V69" s="169">
        <f t="shared" si="28"/>
        <v>30621.684000000001</v>
      </c>
      <c r="W69" s="169">
        <f t="shared" si="29"/>
        <v>10872.576999999999</v>
      </c>
      <c r="X69" s="169">
        <f t="shared" si="30"/>
        <v>19749.107</v>
      </c>
      <c r="Y69" s="169">
        <f t="shared" si="31"/>
        <v>7043.3850000000002</v>
      </c>
      <c r="AB69" s="1390" t="s">
        <v>593</v>
      </c>
      <c r="AC69" s="1391">
        <v>150000</v>
      </c>
      <c r="AD69" s="169">
        <f t="shared" si="32"/>
        <v>150</v>
      </c>
      <c r="AG69" s="1390" t="s">
        <v>379</v>
      </c>
      <c r="AH69" s="1391">
        <v>27961223</v>
      </c>
      <c r="AI69" s="1391">
        <v>7043385</v>
      </c>
      <c r="AJ69" s="1391">
        <v>10872577</v>
      </c>
      <c r="AK69" s="1391">
        <v>17088646</v>
      </c>
      <c r="AL69" s="1407">
        <f t="shared" si="33"/>
        <v>27961.223000000002</v>
      </c>
      <c r="AM69" s="1407">
        <f t="shared" si="34"/>
        <v>7043.3850000000002</v>
      </c>
      <c r="AN69" s="1407">
        <f t="shared" si="35"/>
        <v>10872.576999999999</v>
      </c>
      <c r="AO69" s="1407">
        <f t="shared" si="36"/>
        <v>17088.646000000001</v>
      </c>
      <c r="AR69" s="1390" t="s">
        <v>385</v>
      </c>
      <c r="AS69" s="169">
        <v>3575783</v>
      </c>
      <c r="AT69" s="169">
        <f t="shared" si="37"/>
        <v>3575.7829999999999</v>
      </c>
      <c r="AW69" s="1390" t="s">
        <v>379</v>
      </c>
      <c r="AX69" s="840">
        <v>29533501</v>
      </c>
      <c r="AY69" s="840">
        <v>26729491</v>
      </c>
      <c r="AZ69" s="840">
        <v>14587615</v>
      </c>
      <c r="BA69" s="840">
        <v>2804010</v>
      </c>
      <c r="BB69" s="169">
        <f t="shared" si="38"/>
        <v>29533.501</v>
      </c>
      <c r="BC69" s="169">
        <f t="shared" si="39"/>
        <v>26729.491000000002</v>
      </c>
      <c r="BD69" s="169">
        <f t="shared" si="40"/>
        <v>14587.615</v>
      </c>
      <c r="BE69" s="169">
        <f t="shared" si="41"/>
        <v>2804.01</v>
      </c>
    </row>
    <row r="70" spans="1:57" ht="15" customHeight="1" x14ac:dyDescent="0.35">
      <c r="A70" s="841" t="s">
        <v>588</v>
      </c>
      <c r="B70" s="1115">
        <v>18040000</v>
      </c>
      <c r="C70" s="1115">
        <v>0</v>
      </c>
      <c r="D70" s="1115">
        <v>18040000</v>
      </c>
      <c r="E70" s="1115">
        <v>0</v>
      </c>
      <c r="F70" s="1115">
        <f t="shared" si="23"/>
        <v>18040</v>
      </c>
      <c r="G70" s="1115">
        <f t="shared" si="24"/>
        <v>0</v>
      </c>
      <c r="H70" s="1115">
        <f t="shared" si="25"/>
        <v>18040</v>
      </c>
      <c r="I70" s="1115">
        <f t="shared" si="26"/>
        <v>0</v>
      </c>
      <c r="L70" s="94" t="s">
        <v>400</v>
      </c>
      <c r="M70" s="840">
        <v>18591753</v>
      </c>
      <c r="N70" s="1115">
        <f t="shared" si="27"/>
        <v>18591.753000000001</v>
      </c>
      <c r="Q70" s="94" t="s">
        <v>588</v>
      </c>
      <c r="R70" s="840">
        <v>19744080</v>
      </c>
      <c r="S70" s="840">
        <v>4579472</v>
      </c>
      <c r="T70" s="840">
        <v>15164608</v>
      </c>
      <c r="U70" s="840">
        <v>750280</v>
      </c>
      <c r="V70" s="169">
        <f t="shared" si="28"/>
        <v>19744.080000000002</v>
      </c>
      <c r="W70" s="169">
        <f t="shared" si="29"/>
        <v>4579.4719999999998</v>
      </c>
      <c r="X70" s="169">
        <f t="shared" si="30"/>
        <v>15164.608</v>
      </c>
      <c r="Y70" s="169">
        <f t="shared" si="31"/>
        <v>750.28</v>
      </c>
      <c r="AB70" s="1390" t="s">
        <v>385</v>
      </c>
      <c r="AC70" s="1391">
        <v>0</v>
      </c>
      <c r="AD70" s="169">
        <f t="shared" si="32"/>
        <v>0</v>
      </c>
      <c r="AG70" s="1390" t="s">
        <v>588</v>
      </c>
      <c r="AH70" s="1391">
        <v>18268118</v>
      </c>
      <c r="AI70" s="1391">
        <v>750280</v>
      </c>
      <c r="AJ70" s="1391">
        <v>4579472</v>
      </c>
      <c r="AK70" s="1391">
        <v>13688646</v>
      </c>
      <c r="AL70" s="1407">
        <f t="shared" si="33"/>
        <v>18268.117999999999</v>
      </c>
      <c r="AM70" s="1407">
        <f t="shared" si="34"/>
        <v>750.28</v>
      </c>
      <c r="AN70" s="1407">
        <f t="shared" si="35"/>
        <v>4579.4719999999998</v>
      </c>
      <c r="AO70" s="1407">
        <f t="shared" si="36"/>
        <v>13688.646000000001</v>
      </c>
      <c r="AR70" s="1390" t="s">
        <v>386</v>
      </c>
      <c r="AS70" s="169">
        <v>0</v>
      </c>
      <c r="AT70" s="169">
        <f t="shared" si="37"/>
        <v>0</v>
      </c>
      <c r="AW70" s="1390" t="s">
        <v>588</v>
      </c>
      <c r="AX70" s="840">
        <v>19840396</v>
      </c>
      <c r="AY70" s="840">
        <v>19006606</v>
      </c>
      <c r="AZ70" s="840">
        <v>6864730</v>
      </c>
      <c r="BA70" s="840">
        <v>833790</v>
      </c>
      <c r="BB70" s="169">
        <f t="shared" si="38"/>
        <v>19840.396000000001</v>
      </c>
      <c r="BC70" s="169">
        <f t="shared" si="39"/>
        <v>19006.606</v>
      </c>
      <c r="BD70" s="169">
        <f t="shared" si="40"/>
        <v>6864.73</v>
      </c>
      <c r="BE70" s="169">
        <f t="shared" si="41"/>
        <v>833.79</v>
      </c>
    </row>
    <row r="71" spans="1:57" ht="15" customHeight="1" x14ac:dyDescent="0.35">
      <c r="A71" s="841" t="s">
        <v>380</v>
      </c>
      <c r="B71" s="1115">
        <v>3400000</v>
      </c>
      <c r="C71" s="1115">
        <v>0</v>
      </c>
      <c r="D71" s="1115">
        <v>3400000</v>
      </c>
      <c r="E71" s="1115">
        <v>0</v>
      </c>
      <c r="F71" s="1115">
        <f t="shared" si="23"/>
        <v>3400</v>
      </c>
      <c r="G71" s="1115">
        <f t="shared" si="24"/>
        <v>0</v>
      </c>
      <c r="H71" s="1115">
        <f t="shared" si="25"/>
        <v>3400</v>
      </c>
      <c r="I71" s="1115">
        <f t="shared" si="26"/>
        <v>0</v>
      </c>
      <c r="L71" s="94" t="s">
        <v>401</v>
      </c>
      <c r="M71" s="840">
        <v>6957283</v>
      </c>
      <c r="N71" s="1115">
        <f t="shared" si="27"/>
        <v>6957.2830000000004</v>
      </c>
      <c r="Q71" s="94" t="s">
        <v>380</v>
      </c>
      <c r="R71" s="840">
        <v>10877604</v>
      </c>
      <c r="S71" s="840">
        <v>6293105</v>
      </c>
      <c r="T71" s="840">
        <v>4584499</v>
      </c>
      <c r="U71" s="840">
        <v>6293105</v>
      </c>
      <c r="V71" s="169">
        <f t="shared" si="28"/>
        <v>10877.603999999999</v>
      </c>
      <c r="W71" s="169">
        <f t="shared" si="29"/>
        <v>6293.1049999999996</v>
      </c>
      <c r="X71" s="169">
        <f t="shared" si="30"/>
        <v>4584.4989999999998</v>
      </c>
      <c r="Y71" s="169">
        <f t="shared" si="31"/>
        <v>6293.1049999999996</v>
      </c>
      <c r="AB71" s="1390" t="s">
        <v>386</v>
      </c>
      <c r="AC71" s="1391">
        <v>0</v>
      </c>
      <c r="AD71" s="169">
        <f t="shared" si="32"/>
        <v>0</v>
      </c>
      <c r="AG71" s="1390" t="s">
        <v>380</v>
      </c>
      <c r="AH71" s="1391">
        <v>9693105</v>
      </c>
      <c r="AI71" s="1391">
        <v>6293105</v>
      </c>
      <c r="AJ71" s="1391">
        <v>6293105</v>
      </c>
      <c r="AK71" s="1391">
        <v>3400000</v>
      </c>
      <c r="AL71" s="1407">
        <f t="shared" si="33"/>
        <v>9693.1049999999996</v>
      </c>
      <c r="AM71" s="1407">
        <f t="shared" si="34"/>
        <v>6293.1049999999996</v>
      </c>
      <c r="AN71" s="1407">
        <f t="shared" si="35"/>
        <v>6293.1049999999996</v>
      </c>
      <c r="AO71" s="1407">
        <f t="shared" si="36"/>
        <v>3400</v>
      </c>
      <c r="AR71" s="1390" t="s">
        <v>387</v>
      </c>
      <c r="AS71" s="169">
        <v>12443246</v>
      </c>
      <c r="AT71" s="169">
        <f t="shared" si="37"/>
        <v>12443.245999999999</v>
      </c>
      <c r="AW71" s="1390" t="s">
        <v>380</v>
      </c>
      <c r="AX71" s="840">
        <v>9693105</v>
      </c>
      <c r="AY71" s="840">
        <v>7722885</v>
      </c>
      <c r="AZ71" s="840">
        <v>7722885</v>
      </c>
      <c r="BA71" s="840">
        <v>1970220</v>
      </c>
      <c r="BB71" s="169">
        <f t="shared" si="38"/>
        <v>9693.1049999999996</v>
      </c>
      <c r="BC71" s="169">
        <f t="shared" si="39"/>
        <v>7722.8850000000002</v>
      </c>
      <c r="BD71" s="169">
        <f t="shared" si="40"/>
        <v>7722.8850000000002</v>
      </c>
      <c r="BE71" s="169">
        <f t="shared" si="41"/>
        <v>1970.22</v>
      </c>
    </row>
    <row r="72" spans="1:57" ht="15" customHeight="1" x14ac:dyDescent="0.35">
      <c r="A72" s="841" t="s">
        <v>381</v>
      </c>
      <c r="B72" s="1115">
        <v>17964190</v>
      </c>
      <c r="C72" s="1115">
        <v>7269887</v>
      </c>
      <c r="D72" s="1115">
        <v>10694303</v>
      </c>
      <c r="E72" s="1115">
        <v>748690</v>
      </c>
      <c r="F72" s="1115">
        <f t="shared" si="23"/>
        <v>17964.189999999999</v>
      </c>
      <c r="G72" s="1115">
        <f t="shared" si="24"/>
        <v>7269.8869999999997</v>
      </c>
      <c r="H72" s="1115">
        <f t="shared" si="25"/>
        <v>10694.303</v>
      </c>
      <c r="I72" s="1115">
        <f t="shared" si="26"/>
        <v>748.69</v>
      </c>
      <c r="L72" s="94" t="s">
        <v>493</v>
      </c>
      <c r="M72" s="840">
        <v>0</v>
      </c>
      <c r="N72" s="1115">
        <f t="shared" si="27"/>
        <v>0</v>
      </c>
      <c r="Q72" s="94" t="s">
        <v>381</v>
      </c>
      <c r="R72" s="840">
        <v>21766239</v>
      </c>
      <c r="S72" s="840">
        <v>11110402</v>
      </c>
      <c r="T72" s="840">
        <v>10655837</v>
      </c>
      <c r="U72" s="840">
        <v>5407623</v>
      </c>
      <c r="V72" s="169">
        <f t="shared" si="28"/>
        <v>21766.239000000001</v>
      </c>
      <c r="W72" s="169">
        <f t="shared" si="29"/>
        <v>11110.402</v>
      </c>
      <c r="X72" s="169">
        <f t="shared" si="30"/>
        <v>10655.837</v>
      </c>
      <c r="Y72" s="169">
        <f t="shared" si="31"/>
        <v>5407.6229999999996</v>
      </c>
      <c r="AB72" s="1390" t="s">
        <v>387</v>
      </c>
      <c r="AC72" s="1391">
        <v>11024496</v>
      </c>
      <c r="AD72" s="169">
        <f t="shared" si="32"/>
        <v>11024.495999999999</v>
      </c>
      <c r="AG72" s="1390" t="s">
        <v>381</v>
      </c>
      <c r="AH72" s="1391">
        <v>22892484</v>
      </c>
      <c r="AI72" s="1391">
        <v>10994541</v>
      </c>
      <c r="AJ72" s="1391">
        <v>16014152</v>
      </c>
      <c r="AK72" s="1391">
        <v>6878332</v>
      </c>
      <c r="AL72" s="1407">
        <f t="shared" si="33"/>
        <v>22892.484</v>
      </c>
      <c r="AM72" s="1407">
        <f t="shared" si="34"/>
        <v>10994.540999999999</v>
      </c>
      <c r="AN72" s="1407">
        <f t="shared" si="35"/>
        <v>16014.152</v>
      </c>
      <c r="AO72" s="1407">
        <f t="shared" si="36"/>
        <v>6878.3320000000003</v>
      </c>
      <c r="AR72" s="1390" t="s">
        <v>388</v>
      </c>
      <c r="AS72" s="169">
        <v>592000</v>
      </c>
      <c r="AT72" s="169">
        <f t="shared" si="37"/>
        <v>592</v>
      </c>
      <c r="AW72" s="1390" t="s">
        <v>381</v>
      </c>
      <c r="AX72" s="840">
        <v>29523751</v>
      </c>
      <c r="AY72" s="840">
        <v>26055214</v>
      </c>
      <c r="AZ72" s="840">
        <v>16607809</v>
      </c>
      <c r="BA72" s="840">
        <v>3468537</v>
      </c>
      <c r="BB72" s="169">
        <f t="shared" si="38"/>
        <v>29523.751</v>
      </c>
      <c r="BC72" s="169">
        <f t="shared" si="39"/>
        <v>26055.214</v>
      </c>
      <c r="BD72" s="169">
        <f t="shared" si="40"/>
        <v>16607.809000000001</v>
      </c>
      <c r="BE72" s="169">
        <f t="shared" si="41"/>
        <v>3468.5369999999998</v>
      </c>
    </row>
    <row r="73" spans="1:57" ht="15" customHeight="1" x14ac:dyDescent="0.35">
      <c r="A73" s="841" t="s">
        <v>382</v>
      </c>
      <c r="B73" s="1115">
        <v>3403898</v>
      </c>
      <c r="C73" s="1115">
        <v>6990</v>
      </c>
      <c r="D73" s="1115">
        <v>3396908</v>
      </c>
      <c r="E73" s="1115">
        <v>6990</v>
      </c>
      <c r="F73" s="1115">
        <f t="shared" si="23"/>
        <v>3403.8980000000001</v>
      </c>
      <c r="G73" s="1115">
        <f t="shared" si="24"/>
        <v>6.99</v>
      </c>
      <c r="H73" s="1115">
        <f t="shared" si="25"/>
        <v>3396.9079999999999</v>
      </c>
      <c r="I73" s="1115">
        <f t="shared" si="26"/>
        <v>6.99</v>
      </c>
      <c r="L73" s="94" t="s">
        <v>601</v>
      </c>
      <c r="M73" s="840">
        <v>7601569</v>
      </c>
      <c r="N73" s="1115">
        <f t="shared" si="27"/>
        <v>7601.5690000000004</v>
      </c>
      <c r="Q73" s="94" t="s">
        <v>382</v>
      </c>
      <c r="R73" s="840">
        <v>3403898</v>
      </c>
      <c r="S73" s="840">
        <v>579380</v>
      </c>
      <c r="T73" s="840">
        <v>2824518</v>
      </c>
      <c r="U73" s="840">
        <v>297350</v>
      </c>
      <c r="V73" s="169">
        <f t="shared" si="28"/>
        <v>3403.8980000000001</v>
      </c>
      <c r="W73" s="169">
        <f t="shared" si="29"/>
        <v>579.38</v>
      </c>
      <c r="X73" s="169">
        <f t="shared" si="30"/>
        <v>2824.518</v>
      </c>
      <c r="Y73" s="169">
        <f t="shared" si="31"/>
        <v>297.35000000000002</v>
      </c>
      <c r="AB73" s="1390" t="s">
        <v>388</v>
      </c>
      <c r="AC73" s="1391">
        <v>1111140</v>
      </c>
      <c r="AD73" s="169">
        <f t="shared" si="32"/>
        <v>1111.1400000000001</v>
      </c>
      <c r="AG73" s="1390" t="s">
        <v>382</v>
      </c>
      <c r="AH73" s="1391">
        <v>3503898</v>
      </c>
      <c r="AI73" s="1391">
        <v>397350</v>
      </c>
      <c r="AJ73" s="1391">
        <v>1100640</v>
      </c>
      <c r="AK73" s="1391">
        <v>2403258</v>
      </c>
      <c r="AL73" s="1407">
        <f t="shared" si="33"/>
        <v>3503.8980000000001</v>
      </c>
      <c r="AM73" s="1407">
        <f t="shared" si="34"/>
        <v>397.35</v>
      </c>
      <c r="AN73" s="1407">
        <f t="shared" si="35"/>
        <v>1100.6400000000001</v>
      </c>
      <c r="AO73" s="1407">
        <f t="shared" si="36"/>
        <v>2403.2579999999998</v>
      </c>
      <c r="AR73" s="1390" t="s">
        <v>389</v>
      </c>
      <c r="AS73" s="169">
        <v>870483</v>
      </c>
      <c r="AT73" s="169">
        <f t="shared" si="37"/>
        <v>870.48299999999995</v>
      </c>
      <c r="AW73" s="1390" t="s">
        <v>382</v>
      </c>
      <c r="AX73" s="840">
        <v>2427641</v>
      </c>
      <c r="AY73" s="840">
        <v>1134760</v>
      </c>
      <c r="AZ73" s="840">
        <v>852730</v>
      </c>
      <c r="BA73" s="840">
        <v>1292881</v>
      </c>
      <c r="BB73" s="169">
        <f t="shared" si="38"/>
        <v>2427.6410000000001</v>
      </c>
      <c r="BC73" s="169">
        <f t="shared" si="39"/>
        <v>1134.76</v>
      </c>
      <c r="BD73" s="169">
        <f t="shared" si="40"/>
        <v>852.73</v>
      </c>
      <c r="BE73" s="169">
        <f t="shared" si="41"/>
        <v>1292.8810000000001</v>
      </c>
    </row>
    <row r="74" spans="1:57" ht="15" customHeight="1" x14ac:dyDescent="0.35">
      <c r="A74" s="841" t="s">
        <v>882</v>
      </c>
      <c r="B74" s="1115">
        <v>1</v>
      </c>
      <c r="C74" s="1115">
        <v>0</v>
      </c>
      <c r="D74" s="1115">
        <v>1</v>
      </c>
      <c r="E74" s="1115">
        <v>0</v>
      </c>
      <c r="F74" s="1115">
        <f t="shared" si="23"/>
        <v>1E-3</v>
      </c>
      <c r="G74" s="1115">
        <f t="shared" si="24"/>
        <v>0</v>
      </c>
      <c r="H74" s="1115">
        <f t="shared" si="25"/>
        <v>1E-3</v>
      </c>
      <c r="I74" s="1115">
        <f t="shared" si="26"/>
        <v>0</v>
      </c>
      <c r="L74" s="94" t="s">
        <v>602</v>
      </c>
      <c r="M74" s="840">
        <v>2494000</v>
      </c>
      <c r="N74" s="1115">
        <f t="shared" si="27"/>
        <v>2494</v>
      </c>
      <c r="Q74" s="94" t="s">
        <v>882</v>
      </c>
      <c r="R74" s="840">
        <v>1</v>
      </c>
      <c r="S74" s="840">
        <v>0</v>
      </c>
      <c r="T74" s="840">
        <v>1</v>
      </c>
      <c r="U74" s="840">
        <v>0</v>
      </c>
      <c r="V74" s="169">
        <f t="shared" si="28"/>
        <v>1E-3</v>
      </c>
      <c r="W74" s="169">
        <f t="shared" si="29"/>
        <v>0</v>
      </c>
      <c r="X74" s="169">
        <f t="shared" si="30"/>
        <v>1E-3</v>
      </c>
      <c r="Y74" s="169">
        <f t="shared" si="31"/>
        <v>0</v>
      </c>
      <c r="AB74" s="1390" t="s">
        <v>389</v>
      </c>
      <c r="AC74" s="1391">
        <v>1010370</v>
      </c>
      <c r="AD74" s="169">
        <f t="shared" si="32"/>
        <v>1010.37</v>
      </c>
      <c r="AG74" s="1390" t="s">
        <v>882</v>
      </c>
      <c r="AH74" s="1391">
        <v>1</v>
      </c>
      <c r="AI74" s="1391">
        <v>0</v>
      </c>
      <c r="AJ74" s="1391">
        <v>0</v>
      </c>
      <c r="AK74" s="1391">
        <v>1</v>
      </c>
      <c r="AL74" s="1407">
        <f t="shared" si="33"/>
        <v>1E-3</v>
      </c>
      <c r="AM74" s="1407">
        <f t="shared" si="34"/>
        <v>0</v>
      </c>
      <c r="AN74" s="1407">
        <f t="shared" si="35"/>
        <v>0</v>
      </c>
      <c r="AO74" s="1407">
        <f t="shared" si="36"/>
        <v>1E-3</v>
      </c>
      <c r="AR74" s="1390" t="s">
        <v>390</v>
      </c>
      <c r="AS74" s="169">
        <v>84550</v>
      </c>
      <c r="AT74" s="169">
        <f t="shared" si="37"/>
        <v>84.55</v>
      </c>
      <c r="AW74" s="1390" t="s">
        <v>882</v>
      </c>
      <c r="AX74" s="840">
        <v>1</v>
      </c>
      <c r="AY74" s="840">
        <v>0</v>
      </c>
      <c r="AZ74" s="840">
        <v>0</v>
      </c>
      <c r="BA74" s="840">
        <v>1</v>
      </c>
      <c r="BB74" s="169">
        <f t="shared" si="38"/>
        <v>1E-3</v>
      </c>
      <c r="BC74" s="169">
        <f t="shared" si="39"/>
        <v>0</v>
      </c>
      <c r="BD74" s="169">
        <f t="shared" si="40"/>
        <v>0</v>
      </c>
      <c r="BE74" s="169">
        <f t="shared" si="41"/>
        <v>1E-3</v>
      </c>
    </row>
    <row r="75" spans="1:57" ht="15" customHeight="1" x14ac:dyDescent="0.35">
      <c r="A75" s="841" t="s">
        <v>589</v>
      </c>
      <c r="B75" s="1115">
        <v>1</v>
      </c>
      <c r="C75" s="1115">
        <v>0</v>
      </c>
      <c r="D75" s="1115">
        <v>1</v>
      </c>
      <c r="E75" s="1115">
        <v>0</v>
      </c>
      <c r="F75" s="1115">
        <f t="shared" si="23"/>
        <v>1E-3</v>
      </c>
      <c r="G75" s="1115">
        <f t="shared" si="24"/>
        <v>0</v>
      </c>
      <c r="H75" s="1115">
        <f t="shared" si="25"/>
        <v>1E-3</v>
      </c>
      <c r="I75" s="1115">
        <f t="shared" si="26"/>
        <v>0</v>
      </c>
      <c r="L75" s="94" t="s">
        <v>603</v>
      </c>
      <c r="M75" s="840">
        <v>765401</v>
      </c>
      <c r="N75" s="1115">
        <f t="shared" si="27"/>
        <v>765.40099999999995</v>
      </c>
      <c r="Q75" s="94" t="s">
        <v>589</v>
      </c>
      <c r="R75" s="840">
        <v>1606501</v>
      </c>
      <c r="S75" s="840">
        <v>1606500</v>
      </c>
      <c r="T75" s="840">
        <v>1</v>
      </c>
      <c r="U75" s="840">
        <v>1606500</v>
      </c>
      <c r="V75" s="169">
        <f t="shared" si="28"/>
        <v>1606.501</v>
      </c>
      <c r="W75" s="169">
        <f t="shared" si="29"/>
        <v>1606.5</v>
      </c>
      <c r="X75" s="169">
        <f t="shared" si="30"/>
        <v>1E-3</v>
      </c>
      <c r="Y75" s="169">
        <f t="shared" si="31"/>
        <v>1606.5</v>
      </c>
      <c r="AB75" s="1390" t="s">
        <v>390</v>
      </c>
      <c r="AC75" s="1391">
        <v>0</v>
      </c>
      <c r="AD75" s="169">
        <f t="shared" si="32"/>
        <v>0</v>
      </c>
      <c r="AG75" s="1390" t="s">
        <v>589</v>
      </c>
      <c r="AH75" s="1391">
        <v>1606501</v>
      </c>
      <c r="AI75" s="1391">
        <v>1606500</v>
      </c>
      <c r="AJ75" s="1391">
        <v>1606500</v>
      </c>
      <c r="AK75" s="1391">
        <v>1</v>
      </c>
      <c r="AL75" s="1407">
        <f t="shared" si="33"/>
        <v>1606.501</v>
      </c>
      <c r="AM75" s="1407">
        <f t="shared" si="34"/>
        <v>1606.5</v>
      </c>
      <c r="AN75" s="1407">
        <f t="shared" si="35"/>
        <v>1606.5</v>
      </c>
      <c r="AO75" s="1407">
        <f t="shared" si="36"/>
        <v>1E-3</v>
      </c>
      <c r="AR75" s="1390" t="s">
        <v>391</v>
      </c>
      <c r="AS75" s="169">
        <v>1488795</v>
      </c>
      <c r="AT75" s="169">
        <f t="shared" si="37"/>
        <v>1488.7950000000001</v>
      </c>
      <c r="AW75" s="1390" t="s">
        <v>589</v>
      </c>
      <c r="AX75" s="840">
        <v>1677900</v>
      </c>
      <c r="AY75" s="840">
        <v>1677900</v>
      </c>
      <c r="AZ75" s="840">
        <v>1606500</v>
      </c>
      <c r="BA75" s="840">
        <v>0</v>
      </c>
      <c r="BB75" s="169">
        <f t="shared" si="38"/>
        <v>1677.9</v>
      </c>
      <c r="BC75" s="169">
        <f t="shared" si="39"/>
        <v>1677.9</v>
      </c>
      <c r="BD75" s="169">
        <f t="shared" si="40"/>
        <v>1606.5</v>
      </c>
      <c r="BE75" s="169">
        <f t="shared" si="41"/>
        <v>0</v>
      </c>
    </row>
    <row r="76" spans="1:57" ht="15" customHeight="1" x14ac:dyDescent="0.35">
      <c r="A76" s="841" t="s">
        <v>384</v>
      </c>
      <c r="B76" s="1115">
        <v>5237070</v>
      </c>
      <c r="C76" s="1115">
        <v>5192268</v>
      </c>
      <c r="D76" s="1115">
        <v>44802</v>
      </c>
      <c r="E76" s="1115">
        <v>0</v>
      </c>
      <c r="F76" s="1115">
        <f t="shared" si="23"/>
        <v>5237.07</v>
      </c>
      <c r="G76" s="1115">
        <f t="shared" si="24"/>
        <v>5192.268</v>
      </c>
      <c r="H76" s="1115">
        <f t="shared" si="25"/>
        <v>44.802</v>
      </c>
      <c r="I76" s="1115">
        <f t="shared" si="26"/>
        <v>0</v>
      </c>
      <c r="L76" s="94" t="s">
        <v>402</v>
      </c>
      <c r="M76" s="840">
        <v>773500</v>
      </c>
      <c r="N76" s="1115">
        <f t="shared" si="27"/>
        <v>773.5</v>
      </c>
      <c r="Q76" s="94" t="s">
        <v>384</v>
      </c>
      <c r="R76" s="840">
        <v>5237070</v>
      </c>
      <c r="S76" s="840">
        <v>5192268</v>
      </c>
      <c r="T76" s="840">
        <v>44802</v>
      </c>
      <c r="U76" s="840">
        <v>0</v>
      </c>
      <c r="V76" s="169">
        <f t="shared" si="28"/>
        <v>5237.07</v>
      </c>
      <c r="W76" s="169">
        <f t="shared" si="29"/>
        <v>5192.268</v>
      </c>
      <c r="X76" s="169">
        <f t="shared" si="30"/>
        <v>44.802</v>
      </c>
      <c r="Y76" s="169">
        <f t="shared" si="31"/>
        <v>0</v>
      </c>
      <c r="AB76" s="1390" t="s">
        <v>391</v>
      </c>
      <c r="AC76" s="1391">
        <v>591938</v>
      </c>
      <c r="AD76" s="169">
        <f t="shared" si="32"/>
        <v>591.93799999999999</v>
      </c>
      <c r="AG76" s="1390" t="s">
        <v>384</v>
      </c>
      <c r="AH76" s="1391">
        <v>5311510</v>
      </c>
      <c r="AI76" s="1391">
        <v>5266708</v>
      </c>
      <c r="AJ76" s="1391">
        <v>5266708</v>
      </c>
      <c r="AK76" s="1391">
        <v>44802</v>
      </c>
      <c r="AL76" s="1407">
        <f t="shared" si="33"/>
        <v>5311.51</v>
      </c>
      <c r="AM76" s="1407">
        <f t="shared" si="34"/>
        <v>5266.7079999999996</v>
      </c>
      <c r="AN76" s="1407">
        <f t="shared" si="35"/>
        <v>5266.7079999999996</v>
      </c>
      <c r="AO76" s="1407">
        <f t="shared" si="36"/>
        <v>44.802</v>
      </c>
      <c r="AR76" s="1390" t="s">
        <v>392</v>
      </c>
      <c r="AS76" s="169">
        <v>0</v>
      </c>
      <c r="AT76" s="169">
        <f t="shared" si="37"/>
        <v>0</v>
      </c>
      <c r="AW76" s="1390" t="s">
        <v>384</v>
      </c>
      <c r="AX76" s="840">
        <v>13714399</v>
      </c>
      <c r="AY76" s="840">
        <v>13678098</v>
      </c>
      <c r="AZ76" s="840">
        <v>5392848</v>
      </c>
      <c r="BA76" s="840">
        <v>36301</v>
      </c>
      <c r="BB76" s="169">
        <f t="shared" si="38"/>
        <v>13714.398999999999</v>
      </c>
      <c r="BC76" s="169">
        <f t="shared" si="39"/>
        <v>13678.098</v>
      </c>
      <c r="BD76" s="169">
        <f t="shared" si="40"/>
        <v>5392.848</v>
      </c>
      <c r="BE76" s="169">
        <f t="shared" si="41"/>
        <v>36.301000000000002</v>
      </c>
    </row>
    <row r="77" spans="1:57" ht="15" customHeight="1" x14ac:dyDescent="0.35">
      <c r="A77" s="841" t="s">
        <v>591</v>
      </c>
      <c r="B77" s="1115">
        <v>3600000</v>
      </c>
      <c r="C77" s="1115">
        <v>942929</v>
      </c>
      <c r="D77" s="1115">
        <v>2657071</v>
      </c>
      <c r="E77" s="1115">
        <v>0</v>
      </c>
      <c r="F77" s="1115">
        <f t="shared" si="23"/>
        <v>3600</v>
      </c>
      <c r="G77" s="1115">
        <f t="shared" si="24"/>
        <v>942.92899999999997</v>
      </c>
      <c r="H77" s="1115">
        <f t="shared" si="25"/>
        <v>2657.0709999999999</v>
      </c>
      <c r="I77" s="1115">
        <f t="shared" si="26"/>
        <v>0</v>
      </c>
      <c r="L77" s="94" t="s">
        <v>403</v>
      </c>
      <c r="M77" s="840">
        <v>21363163</v>
      </c>
      <c r="N77" s="1115">
        <f t="shared" si="27"/>
        <v>21363.163</v>
      </c>
      <c r="Q77" s="94" t="s">
        <v>591</v>
      </c>
      <c r="R77" s="840">
        <v>2728480</v>
      </c>
      <c r="S77" s="840">
        <v>1168819</v>
      </c>
      <c r="T77" s="840">
        <v>1559661</v>
      </c>
      <c r="U77" s="840">
        <v>940338</v>
      </c>
      <c r="V77" s="169">
        <f t="shared" si="28"/>
        <v>2728.48</v>
      </c>
      <c r="W77" s="169">
        <f t="shared" si="29"/>
        <v>1168.819</v>
      </c>
      <c r="X77" s="169">
        <f t="shared" si="30"/>
        <v>1559.6610000000001</v>
      </c>
      <c r="Y77" s="169">
        <f t="shared" si="31"/>
        <v>940.33799999999997</v>
      </c>
      <c r="AB77" s="1390" t="s">
        <v>392</v>
      </c>
      <c r="AC77" s="1391">
        <v>5465146</v>
      </c>
      <c r="AD77" s="169">
        <f t="shared" si="32"/>
        <v>5465.1459999999997</v>
      </c>
      <c r="AG77" s="1390" t="s">
        <v>590</v>
      </c>
      <c r="AH77" s="1391">
        <v>582267</v>
      </c>
      <c r="AI77" s="1391">
        <v>0</v>
      </c>
      <c r="AJ77" s="1391">
        <v>582267</v>
      </c>
      <c r="AK77" s="1391">
        <v>0</v>
      </c>
      <c r="AL77" s="1407">
        <f t="shared" si="33"/>
        <v>582.26700000000005</v>
      </c>
      <c r="AM77" s="1407">
        <f t="shared" si="34"/>
        <v>0</v>
      </c>
      <c r="AN77" s="1407">
        <f t="shared" si="35"/>
        <v>582.26700000000005</v>
      </c>
      <c r="AO77" s="1407">
        <f t="shared" si="36"/>
        <v>0</v>
      </c>
      <c r="AR77" s="1390" t="s">
        <v>595</v>
      </c>
      <c r="AS77" s="169">
        <v>9407418</v>
      </c>
      <c r="AT77" s="169">
        <f t="shared" si="37"/>
        <v>9407.4179999999997</v>
      </c>
      <c r="AW77" s="1390" t="s">
        <v>590</v>
      </c>
      <c r="AX77" s="840">
        <v>582267</v>
      </c>
      <c r="AY77" s="840">
        <v>582267</v>
      </c>
      <c r="AZ77" s="840">
        <v>582267</v>
      </c>
      <c r="BA77" s="840">
        <v>0</v>
      </c>
      <c r="BB77" s="169">
        <f t="shared" si="38"/>
        <v>582.26700000000005</v>
      </c>
      <c r="BC77" s="169">
        <f t="shared" si="39"/>
        <v>582.26700000000005</v>
      </c>
      <c r="BD77" s="169">
        <f t="shared" si="40"/>
        <v>582.26700000000005</v>
      </c>
      <c r="BE77" s="169">
        <f t="shared" si="41"/>
        <v>0</v>
      </c>
    </row>
    <row r="78" spans="1:57" ht="15" customHeight="1" x14ac:dyDescent="0.35">
      <c r="A78" s="841" t="s">
        <v>592</v>
      </c>
      <c r="B78" s="1115">
        <v>500000</v>
      </c>
      <c r="C78" s="1115">
        <v>0</v>
      </c>
      <c r="D78" s="1115">
        <v>500000</v>
      </c>
      <c r="E78" s="1115">
        <v>0</v>
      </c>
      <c r="F78" s="1115">
        <f t="shared" si="23"/>
        <v>500</v>
      </c>
      <c r="G78" s="1115">
        <f t="shared" si="24"/>
        <v>0</v>
      </c>
      <c r="H78" s="1115">
        <f t="shared" si="25"/>
        <v>500</v>
      </c>
      <c r="I78" s="1115">
        <f t="shared" si="26"/>
        <v>0</v>
      </c>
      <c r="L78" s="94" t="s">
        <v>404</v>
      </c>
      <c r="M78" s="840">
        <v>18596403</v>
      </c>
      <c r="N78" s="1115">
        <f t="shared" si="27"/>
        <v>18596.402999999998</v>
      </c>
      <c r="Q78" s="94" t="s">
        <v>592</v>
      </c>
      <c r="R78" s="840">
        <v>500000</v>
      </c>
      <c r="S78" s="840">
        <v>0</v>
      </c>
      <c r="T78" s="840">
        <v>500000</v>
      </c>
      <c r="U78" s="840">
        <v>0</v>
      </c>
      <c r="V78" s="169">
        <f t="shared" si="28"/>
        <v>500</v>
      </c>
      <c r="W78" s="169">
        <f t="shared" si="29"/>
        <v>0</v>
      </c>
      <c r="X78" s="169">
        <f t="shared" si="30"/>
        <v>500</v>
      </c>
      <c r="Y78" s="169">
        <f t="shared" si="31"/>
        <v>0</v>
      </c>
      <c r="AB78" s="1390" t="s">
        <v>393</v>
      </c>
      <c r="AC78" s="1391">
        <v>0</v>
      </c>
      <c r="AD78" s="169">
        <f t="shared" si="32"/>
        <v>0</v>
      </c>
      <c r="AG78" s="1390" t="s">
        <v>591</v>
      </c>
      <c r="AH78" s="1391">
        <v>1168819</v>
      </c>
      <c r="AI78" s="1391">
        <v>1010548</v>
      </c>
      <c r="AJ78" s="1391">
        <v>1168819</v>
      </c>
      <c r="AK78" s="1391">
        <v>0</v>
      </c>
      <c r="AL78" s="1407">
        <f t="shared" si="33"/>
        <v>1168.819</v>
      </c>
      <c r="AM78" s="1407">
        <f t="shared" si="34"/>
        <v>1010.548</v>
      </c>
      <c r="AN78" s="1407">
        <f t="shared" si="35"/>
        <v>1168.819</v>
      </c>
      <c r="AO78" s="1407">
        <f t="shared" si="36"/>
        <v>0</v>
      </c>
      <c r="AR78" s="1390" t="s">
        <v>395</v>
      </c>
      <c r="AS78" s="169">
        <v>4051542</v>
      </c>
      <c r="AT78" s="169">
        <f t="shared" si="37"/>
        <v>4051.5419999999999</v>
      </c>
      <c r="AW78" s="1390" t="s">
        <v>591</v>
      </c>
      <c r="AX78" s="840">
        <v>1168819</v>
      </c>
      <c r="AY78" s="840">
        <v>1168819</v>
      </c>
      <c r="AZ78" s="840">
        <v>1168818</v>
      </c>
      <c r="BA78" s="840">
        <v>0</v>
      </c>
      <c r="BB78" s="169">
        <f t="shared" si="38"/>
        <v>1168.819</v>
      </c>
      <c r="BC78" s="169">
        <f t="shared" si="39"/>
        <v>1168.819</v>
      </c>
      <c r="BD78" s="169">
        <f t="shared" si="40"/>
        <v>1168.818</v>
      </c>
      <c r="BE78" s="169">
        <f t="shared" si="41"/>
        <v>0</v>
      </c>
    </row>
    <row r="79" spans="1:57" ht="15" customHeight="1" x14ac:dyDescent="0.35">
      <c r="A79" s="841" t="s">
        <v>593</v>
      </c>
      <c r="B79" s="1115">
        <v>5147900</v>
      </c>
      <c r="C79" s="1115">
        <v>1127700</v>
      </c>
      <c r="D79" s="1115">
        <v>4020200</v>
      </c>
      <c r="E79" s="1115">
        <v>741700</v>
      </c>
      <c r="F79" s="1115">
        <f t="shared" si="23"/>
        <v>5147.8999999999996</v>
      </c>
      <c r="G79" s="1115">
        <f t="shared" si="24"/>
        <v>1127.7</v>
      </c>
      <c r="H79" s="1115">
        <f t="shared" si="25"/>
        <v>4020.2</v>
      </c>
      <c r="I79" s="1115">
        <f t="shared" si="26"/>
        <v>741.7</v>
      </c>
      <c r="L79" s="94" t="s">
        <v>604</v>
      </c>
      <c r="M79" s="840">
        <v>1725510</v>
      </c>
      <c r="N79" s="1115">
        <f t="shared" si="27"/>
        <v>1725.51</v>
      </c>
      <c r="Q79" s="94" t="s">
        <v>593</v>
      </c>
      <c r="R79" s="840">
        <v>5147900</v>
      </c>
      <c r="S79" s="840">
        <v>1127700</v>
      </c>
      <c r="T79" s="840">
        <v>4020200</v>
      </c>
      <c r="U79" s="840">
        <v>1127700</v>
      </c>
      <c r="V79" s="169">
        <f t="shared" si="28"/>
        <v>5147.8999999999996</v>
      </c>
      <c r="W79" s="169">
        <f t="shared" si="29"/>
        <v>1127.7</v>
      </c>
      <c r="X79" s="169">
        <f t="shared" si="30"/>
        <v>4020.2</v>
      </c>
      <c r="Y79" s="169">
        <f t="shared" si="31"/>
        <v>1127.7</v>
      </c>
      <c r="AB79" s="1390" t="s">
        <v>394</v>
      </c>
      <c r="AC79" s="1391">
        <v>2845902</v>
      </c>
      <c r="AD79" s="169">
        <f t="shared" si="32"/>
        <v>2845.902</v>
      </c>
      <c r="AG79" s="1390" t="s">
        <v>592</v>
      </c>
      <c r="AH79" s="1391">
        <v>500000</v>
      </c>
      <c r="AI79" s="1391">
        <v>0</v>
      </c>
      <c r="AJ79" s="1391">
        <v>0</v>
      </c>
      <c r="AK79" s="1391">
        <v>500000</v>
      </c>
      <c r="AL79" s="1407">
        <f t="shared" si="33"/>
        <v>500</v>
      </c>
      <c r="AM79" s="1407">
        <f t="shared" si="34"/>
        <v>0</v>
      </c>
      <c r="AN79" s="1407">
        <f t="shared" si="35"/>
        <v>0</v>
      </c>
      <c r="AO79" s="1407">
        <f t="shared" si="36"/>
        <v>500</v>
      </c>
      <c r="AR79" s="1390" t="s">
        <v>596</v>
      </c>
      <c r="AS79" s="169">
        <v>1729974</v>
      </c>
      <c r="AT79" s="169">
        <f t="shared" si="37"/>
        <v>1729.9739999999999</v>
      </c>
      <c r="AW79" s="1390" t="s">
        <v>592</v>
      </c>
      <c r="AX79" s="840">
        <v>100000</v>
      </c>
      <c r="AY79" s="840">
        <v>0</v>
      </c>
      <c r="AZ79" s="840">
        <v>0</v>
      </c>
      <c r="BA79" s="840">
        <v>100000</v>
      </c>
      <c r="BB79" s="169">
        <f t="shared" si="38"/>
        <v>100</v>
      </c>
      <c r="BC79" s="169">
        <f t="shared" si="39"/>
        <v>0</v>
      </c>
      <c r="BD79" s="169">
        <f t="shared" si="40"/>
        <v>0</v>
      </c>
      <c r="BE79" s="169">
        <f t="shared" si="41"/>
        <v>100</v>
      </c>
    </row>
    <row r="80" spans="1:57" ht="15" customHeight="1" x14ac:dyDescent="0.35">
      <c r="A80" s="841" t="s">
        <v>385</v>
      </c>
      <c r="B80" s="1115">
        <v>40000</v>
      </c>
      <c r="C80" s="1115">
        <v>0</v>
      </c>
      <c r="D80" s="1115">
        <v>40000</v>
      </c>
      <c r="E80" s="1115">
        <v>0</v>
      </c>
      <c r="F80" s="1115">
        <f t="shared" si="23"/>
        <v>40</v>
      </c>
      <c r="G80" s="1115">
        <f t="shared" si="24"/>
        <v>0</v>
      </c>
      <c r="H80" s="1115">
        <f t="shared" si="25"/>
        <v>40</v>
      </c>
      <c r="I80" s="1115">
        <f t="shared" si="26"/>
        <v>0</v>
      </c>
      <c r="L80" s="94" t="s">
        <v>605</v>
      </c>
      <c r="M80" s="840">
        <v>0</v>
      </c>
      <c r="N80" s="1115">
        <f t="shared" si="27"/>
        <v>0</v>
      </c>
      <c r="Q80" s="94" t="s">
        <v>385</v>
      </c>
      <c r="R80" s="840">
        <v>3117749</v>
      </c>
      <c r="S80" s="840">
        <v>1435735</v>
      </c>
      <c r="T80" s="840">
        <v>1682014</v>
      </c>
      <c r="U80" s="840">
        <v>1435735</v>
      </c>
      <c r="V80" s="169">
        <f t="shared" si="28"/>
        <v>3117.7489999999998</v>
      </c>
      <c r="W80" s="169">
        <f t="shared" si="29"/>
        <v>1435.7349999999999</v>
      </c>
      <c r="X80" s="169">
        <f t="shared" si="30"/>
        <v>1682.0139999999999</v>
      </c>
      <c r="Y80" s="169">
        <f t="shared" si="31"/>
        <v>1435.7349999999999</v>
      </c>
      <c r="AB80" s="1390" t="s">
        <v>595</v>
      </c>
      <c r="AC80" s="1391">
        <v>0</v>
      </c>
      <c r="AD80" s="169">
        <f t="shared" si="32"/>
        <v>0</v>
      </c>
      <c r="AG80" s="1390" t="s">
        <v>593</v>
      </c>
      <c r="AH80" s="1391">
        <v>5147900</v>
      </c>
      <c r="AI80" s="1391">
        <v>1277700</v>
      </c>
      <c r="AJ80" s="1391">
        <v>1277700</v>
      </c>
      <c r="AK80" s="1391">
        <v>3870200</v>
      </c>
      <c r="AL80" s="1407">
        <f t="shared" si="33"/>
        <v>5147.8999999999996</v>
      </c>
      <c r="AM80" s="1407">
        <f t="shared" si="34"/>
        <v>1277.7</v>
      </c>
      <c r="AN80" s="1407">
        <f t="shared" si="35"/>
        <v>1277.7</v>
      </c>
      <c r="AO80" s="1407">
        <f t="shared" si="36"/>
        <v>3870.2</v>
      </c>
      <c r="AR80" s="1390" t="s">
        <v>597</v>
      </c>
      <c r="AS80" s="169">
        <v>2321568</v>
      </c>
      <c r="AT80" s="169">
        <f t="shared" si="37"/>
        <v>2321.5680000000002</v>
      </c>
      <c r="AW80" s="1390" t="s">
        <v>593</v>
      </c>
      <c r="AX80" s="840">
        <v>4085778</v>
      </c>
      <c r="AY80" s="840">
        <v>2086424</v>
      </c>
      <c r="AZ80" s="840">
        <v>1277700</v>
      </c>
      <c r="BA80" s="840">
        <v>1999354</v>
      </c>
      <c r="BB80" s="169">
        <f t="shared" si="38"/>
        <v>4085.7779999999998</v>
      </c>
      <c r="BC80" s="169">
        <f t="shared" si="39"/>
        <v>2086.424</v>
      </c>
      <c r="BD80" s="169">
        <f t="shared" si="40"/>
        <v>1277.7</v>
      </c>
      <c r="BE80" s="169">
        <f t="shared" si="41"/>
        <v>1999.354</v>
      </c>
    </row>
    <row r="81" spans="1:57" ht="15" customHeight="1" x14ac:dyDescent="0.35">
      <c r="A81" s="841" t="s">
        <v>386</v>
      </c>
      <c r="B81" s="1115">
        <v>35320</v>
      </c>
      <c r="C81" s="1115">
        <v>0</v>
      </c>
      <c r="D81" s="1115">
        <v>35320</v>
      </c>
      <c r="E81" s="1115">
        <v>0</v>
      </c>
      <c r="F81" s="1115">
        <f t="shared" si="23"/>
        <v>35.32</v>
      </c>
      <c r="G81" s="1115">
        <f t="shared" si="24"/>
        <v>0</v>
      </c>
      <c r="H81" s="1115">
        <f t="shared" si="25"/>
        <v>35.32</v>
      </c>
      <c r="I81" s="1115">
        <f t="shared" si="26"/>
        <v>0</v>
      </c>
      <c r="L81" s="94" t="s">
        <v>494</v>
      </c>
      <c r="M81" s="840">
        <v>1041250</v>
      </c>
      <c r="N81" s="1115">
        <f t="shared" si="27"/>
        <v>1041.25</v>
      </c>
      <c r="Q81" s="94" t="s">
        <v>386</v>
      </c>
      <c r="R81" s="840">
        <v>24640</v>
      </c>
      <c r="S81" s="840">
        <v>0</v>
      </c>
      <c r="T81" s="840">
        <v>24640</v>
      </c>
      <c r="U81" s="840">
        <v>0</v>
      </c>
      <c r="V81" s="169">
        <f t="shared" si="28"/>
        <v>24.64</v>
      </c>
      <c r="W81" s="169">
        <f t="shared" si="29"/>
        <v>0</v>
      </c>
      <c r="X81" s="169">
        <f t="shared" si="30"/>
        <v>24.64</v>
      </c>
      <c r="Y81" s="169">
        <f t="shared" si="31"/>
        <v>0</v>
      </c>
      <c r="AB81" s="1390" t="s">
        <v>395</v>
      </c>
      <c r="AC81" s="1391">
        <v>2683999</v>
      </c>
      <c r="AD81" s="169">
        <f t="shared" si="32"/>
        <v>2683.9989999999998</v>
      </c>
      <c r="AG81" s="1390" t="s">
        <v>385</v>
      </c>
      <c r="AH81" s="1391">
        <v>5051518</v>
      </c>
      <c r="AI81" s="1391">
        <v>1435735</v>
      </c>
      <c r="AJ81" s="1391">
        <v>5011518</v>
      </c>
      <c r="AK81" s="1391">
        <v>40000</v>
      </c>
      <c r="AL81" s="1407">
        <f t="shared" si="33"/>
        <v>5051.518</v>
      </c>
      <c r="AM81" s="1407">
        <f t="shared" si="34"/>
        <v>1435.7349999999999</v>
      </c>
      <c r="AN81" s="1407">
        <f t="shared" si="35"/>
        <v>5011.518</v>
      </c>
      <c r="AO81" s="1407">
        <f t="shared" si="36"/>
        <v>40</v>
      </c>
      <c r="AR81" s="1390" t="s">
        <v>598</v>
      </c>
      <c r="AS81" s="169">
        <v>0</v>
      </c>
      <c r="AT81" s="169">
        <f t="shared" si="37"/>
        <v>0</v>
      </c>
      <c r="AW81" s="1390" t="s">
        <v>594</v>
      </c>
      <c r="AX81" s="840">
        <v>715428</v>
      </c>
      <c r="AY81" s="840">
        <v>715428</v>
      </c>
      <c r="AZ81" s="840">
        <v>715428</v>
      </c>
      <c r="BA81" s="840">
        <v>0</v>
      </c>
      <c r="BB81" s="169">
        <f t="shared" si="38"/>
        <v>715.428</v>
      </c>
      <c r="BC81" s="169">
        <f t="shared" si="39"/>
        <v>715.428</v>
      </c>
      <c r="BD81" s="169">
        <f t="shared" si="40"/>
        <v>715.428</v>
      </c>
      <c r="BE81" s="169">
        <f t="shared" si="41"/>
        <v>0</v>
      </c>
    </row>
    <row r="82" spans="1:57" ht="15" customHeight="1" x14ac:dyDescent="0.35">
      <c r="A82" s="841" t="s">
        <v>387</v>
      </c>
      <c r="B82" s="1115">
        <v>168529769</v>
      </c>
      <c r="C82" s="1115">
        <v>148822584</v>
      </c>
      <c r="D82" s="1115">
        <v>19707185</v>
      </c>
      <c r="E82" s="1115">
        <v>7648069</v>
      </c>
      <c r="F82" s="1115">
        <f t="shared" si="23"/>
        <v>168529.769</v>
      </c>
      <c r="G82" s="1115">
        <f t="shared" si="24"/>
        <v>148822.584</v>
      </c>
      <c r="H82" s="1115">
        <f t="shared" si="25"/>
        <v>19707.185000000001</v>
      </c>
      <c r="I82" s="1115">
        <f t="shared" si="26"/>
        <v>7648.0690000000004</v>
      </c>
      <c r="L82" s="94" t="s">
        <v>606</v>
      </c>
      <c r="M82" s="840">
        <v>0</v>
      </c>
      <c r="N82" s="1115">
        <f t="shared" si="27"/>
        <v>0</v>
      </c>
      <c r="Q82" s="94" t="s">
        <v>387</v>
      </c>
      <c r="R82" s="840">
        <v>167529769</v>
      </c>
      <c r="S82" s="840">
        <v>149062584</v>
      </c>
      <c r="T82" s="840">
        <v>18467185</v>
      </c>
      <c r="U82" s="840">
        <v>17142641</v>
      </c>
      <c r="V82" s="169">
        <f t="shared" si="28"/>
        <v>167529.769</v>
      </c>
      <c r="W82" s="169">
        <f t="shared" si="29"/>
        <v>149062.584</v>
      </c>
      <c r="X82" s="169">
        <f t="shared" si="30"/>
        <v>18467.185000000001</v>
      </c>
      <c r="Y82" s="169">
        <f t="shared" si="31"/>
        <v>17142.641</v>
      </c>
      <c r="AB82" s="1390" t="s">
        <v>596</v>
      </c>
      <c r="AC82" s="1391">
        <v>0</v>
      </c>
      <c r="AD82" s="169">
        <f t="shared" si="32"/>
        <v>0</v>
      </c>
      <c r="AG82" s="1390" t="s">
        <v>386</v>
      </c>
      <c r="AH82" s="1391">
        <v>20070</v>
      </c>
      <c r="AI82" s="1391">
        <v>0</v>
      </c>
      <c r="AJ82" s="1391">
        <v>0</v>
      </c>
      <c r="AK82" s="1391">
        <v>20070</v>
      </c>
      <c r="AL82" s="1407">
        <f t="shared" si="33"/>
        <v>20.07</v>
      </c>
      <c r="AM82" s="1407">
        <f t="shared" si="34"/>
        <v>0</v>
      </c>
      <c r="AN82" s="1407">
        <f t="shared" si="35"/>
        <v>0</v>
      </c>
      <c r="AO82" s="1407">
        <f t="shared" si="36"/>
        <v>20.07</v>
      </c>
      <c r="AR82" s="1390" t="s">
        <v>599</v>
      </c>
      <c r="AS82" s="169">
        <v>0</v>
      </c>
      <c r="AT82" s="169">
        <f t="shared" si="37"/>
        <v>0</v>
      </c>
      <c r="AW82" s="1390" t="s">
        <v>385</v>
      </c>
      <c r="AX82" s="840">
        <v>5051518</v>
      </c>
      <c r="AY82" s="840">
        <v>5011518</v>
      </c>
      <c r="AZ82" s="840">
        <v>5011518</v>
      </c>
      <c r="BA82" s="840">
        <v>40000</v>
      </c>
      <c r="BB82" s="169">
        <f t="shared" si="38"/>
        <v>5051.518</v>
      </c>
      <c r="BC82" s="169">
        <f t="shared" si="39"/>
        <v>5011.518</v>
      </c>
      <c r="BD82" s="169">
        <f t="shared" si="40"/>
        <v>5011.518</v>
      </c>
      <c r="BE82" s="169">
        <f t="shared" si="41"/>
        <v>40</v>
      </c>
    </row>
    <row r="83" spans="1:57" ht="15" customHeight="1" x14ac:dyDescent="0.35">
      <c r="A83" s="841" t="s">
        <v>388</v>
      </c>
      <c r="B83" s="1115">
        <v>13278000</v>
      </c>
      <c r="C83" s="1115">
        <v>10714000</v>
      </c>
      <c r="D83" s="1115">
        <v>2564000</v>
      </c>
      <c r="E83" s="1115">
        <v>429900</v>
      </c>
      <c r="F83" s="1115">
        <f t="shared" si="23"/>
        <v>13278</v>
      </c>
      <c r="G83" s="1115">
        <f t="shared" si="24"/>
        <v>10714</v>
      </c>
      <c r="H83" s="1115">
        <f t="shared" si="25"/>
        <v>2564</v>
      </c>
      <c r="I83" s="1115">
        <f t="shared" si="26"/>
        <v>429.9</v>
      </c>
      <c r="L83" s="94" t="s">
        <v>405</v>
      </c>
      <c r="M83" s="840">
        <v>0</v>
      </c>
      <c r="N83" s="1115">
        <f t="shared" si="27"/>
        <v>0</v>
      </c>
      <c r="Q83" s="94" t="s">
        <v>388</v>
      </c>
      <c r="R83" s="840">
        <v>13278000</v>
      </c>
      <c r="S83" s="840">
        <v>10714000</v>
      </c>
      <c r="T83" s="840">
        <v>2564000</v>
      </c>
      <c r="U83" s="840">
        <v>1100100</v>
      </c>
      <c r="V83" s="169">
        <f t="shared" si="28"/>
        <v>13278</v>
      </c>
      <c r="W83" s="169">
        <f t="shared" si="29"/>
        <v>10714</v>
      </c>
      <c r="X83" s="169">
        <f t="shared" si="30"/>
        <v>2564</v>
      </c>
      <c r="Y83" s="169">
        <f t="shared" si="31"/>
        <v>1100.0999999999999</v>
      </c>
      <c r="AB83" s="1390" t="s">
        <v>597</v>
      </c>
      <c r="AC83" s="1391">
        <v>2215820</v>
      </c>
      <c r="AD83" s="169">
        <f t="shared" si="32"/>
        <v>2215.8200000000002</v>
      </c>
      <c r="AG83" s="1390" t="s">
        <v>387</v>
      </c>
      <c r="AH83" s="1391">
        <v>167333369</v>
      </c>
      <c r="AI83" s="1391">
        <v>28167137</v>
      </c>
      <c r="AJ83" s="1391">
        <v>157421145</v>
      </c>
      <c r="AK83" s="1391">
        <v>9912224</v>
      </c>
      <c r="AL83" s="1407">
        <f t="shared" si="33"/>
        <v>167333.36900000001</v>
      </c>
      <c r="AM83" s="1407">
        <f t="shared" si="34"/>
        <v>28167.136999999999</v>
      </c>
      <c r="AN83" s="1407">
        <f t="shared" si="35"/>
        <v>157421.14499999999</v>
      </c>
      <c r="AO83" s="1407">
        <f t="shared" si="36"/>
        <v>9912.2240000000002</v>
      </c>
      <c r="AR83" s="1390" t="s">
        <v>397</v>
      </c>
      <c r="AS83" s="169">
        <v>1450684</v>
      </c>
      <c r="AT83" s="169">
        <f t="shared" si="37"/>
        <v>1450.684</v>
      </c>
      <c r="AW83" s="1390" t="s">
        <v>386</v>
      </c>
      <c r="AX83" s="840">
        <v>0</v>
      </c>
      <c r="AY83" s="840">
        <v>0</v>
      </c>
      <c r="AZ83" s="840">
        <v>0</v>
      </c>
      <c r="BA83" s="840">
        <v>0</v>
      </c>
      <c r="BB83" s="169">
        <f t="shared" si="38"/>
        <v>0</v>
      </c>
      <c r="BC83" s="169">
        <f t="shared" si="39"/>
        <v>0</v>
      </c>
      <c r="BD83" s="169">
        <f t="shared" si="40"/>
        <v>0</v>
      </c>
      <c r="BE83" s="169">
        <f t="shared" si="41"/>
        <v>0</v>
      </c>
    </row>
    <row r="84" spans="1:57" ht="15" customHeight="1" x14ac:dyDescent="0.35">
      <c r="A84" s="841" t="s">
        <v>389</v>
      </c>
      <c r="B84" s="1115">
        <v>16584000</v>
      </c>
      <c r="C84" s="1115">
        <v>11365189</v>
      </c>
      <c r="D84" s="1115">
        <v>5218811</v>
      </c>
      <c r="E84" s="1115">
        <v>96326</v>
      </c>
      <c r="F84" s="1115">
        <f t="shared" si="23"/>
        <v>16584</v>
      </c>
      <c r="G84" s="1115">
        <f t="shared" si="24"/>
        <v>11365.189</v>
      </c>
      <c r="H84" s="1115">
        <f t="shared" si="25"/>
        <v>5218.8109999999997</v>
      </c>
      <c r="I84" s="1115">
        <f t="shared" si="26"/>
        <v>96.325999999999993</v>
      </c>
      <c r="L84" s="94" t="s">
        <v>607</v>
      </c>
      <c r="M84" s="840">
        <v>13606334</v>
      </c>
      <c r="N84" s="1115">
        <f t="shared" si="27"/>
        <v>13606.334000000001</v>
      </c>
      <c r="Q84" s="94" t="s">
        <v>389</v>
      </c>
      <c r="R84" s="840">
        <v>16584000</v>
      </c>
      <c r="S84" s="840">
        <v>11365189</v>
      </c>
      <c r="T84" s="840">
        <v>5218811</v>
      </c>
      <c r="U84" s="840">
        <v>2486406</v>
      </c>
      <c r="V84" s="169">
        <f t="shared" si="28"/>
        <v>16584</v>
      </c>
      <c r="W84" s="169">
        <f t="shared" si="29"/>
        <v>11365.189</v>
      </c>
      <c r="X84" s="169">
        <f t="shared" si="30"/>
        <v>5218.8109999999997</v>
      </c>
      <c r="Y84" s="169">
        <f t="shared" si="31"/>
        <v>2486.4059999999999</v>
      </c>
      <c r="AB84" s="1390" t="s">
        <v>598</v>
      </c>
      <c r="AC84" s="1391">
        <v>0</v>
      </c>
      <c r="AD84" s="169">
        <f t="shared" si="32"/>
        <v>0</v>
      </c>
      <c r="AG84" s="1390" t="s">
        <v>388</v>
      </c>
      <c r="AH84" s="1391">
        <v>13278000</v>
      </c>
      <c r="AI84" s="1391">
        <v>2211240</v>
      </c>
      <c r="AJ84" s="1391">
        <v>10714000</v>
      </c>
      <c r="AK84" s="1391">
        <v>2564000</v>
      </c>
      <c r="AL84" s="1407">
        <f t="shared" si="33"/>
        <v>13278</v>
      </c>
      <c r="AM84" s="1407">
        <f t="shared" si="34"/>
        <v>2211.2399999999998</v>
      </c>
      <c r="AN84" s="1407">
        <f t="shared" si="35"/>
        <v>10714</v>
      </c>
      <c r="AO84" s="1407">
        <f t="shared" si="36"/>
        <v>2564</v>
      </c>
      <c r="AR84" s="1390" t="s">
        <v>398</v>
      </c>
      <c r="AS84" s="169">
        <v>1450684</v>
      </c>
      <c r="AT84" s="169">
        <f t="shared" si="37"/>
        <v>1450.684</v>
      </c>
      <c r="AW84" s="1390" t="s">
        <v>387</v>
      </c>
      <c r="AX84" s="840">
        <v>165242801</v>
      </c>
      <c r="AY84" s="840">
        <v>157421145</v>
      </c>
      <c r="AZ84" s="840">
        <v>40610383</v>
      </c>
      <c r="BA84" s="840">
        <v>7821656</v>
      </c>
      <c r="BB84" s="169">
        <f t="shared" si="38"/>
        <v>165242.80100000001</v>
      </c>
      <c r="BC84" s="169">
        <f t="shared" si="39"/>
        <v>157421.14499999999</v>
      </c>
      <c r="BD84" s="169">
        <f t="shared" si="40"/>
        <v>40610.383000000002</v>
      </c>
      <c r="BE84" s="169">
        <f t="shared" si="41"/>
        <v>7821.6559999999999</v>
      </c>
    </row>
    <row r="85" spans="1:57" ht="15" customHeight="1" x14ac:dyDescent="0.35">
      <c r="A85" s="841" t="s">
        <v>390</v>
      </c>
      <c r="B85" s="1115">
        <v>2930000</v>
      </c>
      <c r="C85" s="1115">
        <v>1680000</v>
      </c>
      <c r="D85" s="1115">
        <v>1250000</v>
      </c>
      <c r="E85" s="1115">
        <v>60250</v>
      </c>
      <c r="F85" s="1115">
        <f t="shared" si="23"/>
        <v>2930</v>
      </c>
      <c r="G85" s="1115">
        <f t="shared" si="24"/>
        <v>1680</v>
      </c>
      <c r="H85" s="1115">
        <f t="shared" si="25"/>
        <v>1250</v>
      </c>
      <c r="I85" s="1115">
        <f t="shared" si="26"/>
        <v>60.25</v>
      </c>
      <c r="L85" s="94" t="s">
        <v>406</v>
      </c>
      <c r="M85" s="840">
        <v>9873000</v>
      </c>
      <c r="N85" s="1115">
        <f t="shared" si="27"/>
        <v>9873</v>
      </c>
      <c r="Q85" s="94" t="s">
        <v>390</v>
      </c>
      <c r="R85" s="840">
        <v>2930000</v>
      </c>
      <c r="S85" s="840">
        <v>1680000</v>
      </c>
      <c r="T85" s="840">
        <v>1250000</v>
      </c>
      <c r="U85" s="840">
        <v>129500</v>
      </c>
      <c r="V85" s="169">
        <f t="shared" si="28"/>
        <v>2930</v>
      </c>
      <c r="W85" s="169">
        <f t="shared" si="29"/>
        <v>1680</v>
      </c>
      <c r="X85" s="169">
        <f t="shared" si="30"/>
        <v>1250</v>
      </c>
      <c r="Y85" s="169">
        <f t="shared" si="31"/>
        <v>129.5</v>
      </c>
      <c r="AB85" s="1390" t="s">
        <v>600</v>
      </c>
      <c r="AC85" s="1391">
        <v>468179</v>
      </c>
      <c r="AD85" s="169">
        <f t="shared" si="32"/>
        <v>468.17899999999997</v>
      </c>
      <c r="AG85" s="1390" t="s">
        <v>389</v>
      </c>
      <c r="AH85" s="1391">
        <v>16584000</v>
      </c>
      <c r="AI85" s="1391">
        <v>3496776</v>
      </c>
      <c r="AJ85" s="1391">
        <v>11365189</v>
      </c>
      <c r="AK85" s="1391">
        <v>5218811</v>
      </c>
      <c r="AL85" s="1407">
        <f t="shared" si="33"/>
        <v>16584</v>
      </c>
      <c r="AM85" s="1407">
        <f t="shared" si="34"/>
        <v>3496.7759999999998</v>
      </c>
      <c r="AN85" s="1407">
        <f t="shared" si="35"/>
        <v>11365.189</v>
      </c>
      <c r="AO85" s="1407">
        <f t="shared" si="36"/>
        <v>5218.8109999999997</v>
      </c>
      <c r="AR85" s="1390" t="s">
        <v>400</v>
      </c>
      <c r="AS85" s="169">
        <v>34095476</v>
      </c>
      <c r="AT85" s="169">
        <f t="shared" si="37"/>
        <v>34095.476000000002</v>
      </c>
      <c r="AW85" s="1390" t="s">
        <v>388</v>
      </c>
      <c r="AX85" s="840">
        <v>13278000</v>
      </c>
      <c r="AY85" s="840">
        <v>10714000</v>
      </c>
      <c r="AZ85" s="840">
        <v>2803240</v>
      </c>
      <c r="BA85" s="840">
        <v>2564000</v>
      </c>
      <c r="BB85" s="169">
        <f t="shared" si="38"/>
        <v>13278</v>
      </c>
      <c r="BC85" s="169">
        <f t="shared" si="39"/>
        <v>10714</v>
      </c>
      <c r="BD85" s="169">
        <f t="shared" si="40"/>
        <v>2803.24</v>
      </c>
      <c r="BE85" s="169">
        <f t="shared" si="41"/>
        <v>2564</v>
      </c>
    </row>
    <row r="86" spans="1:57" ht="15" customHeight="1" x14ac:dyDescent="0.35">
      <c r="A86" s="841" t="s">
        <v>391</v>
      </c>
      <c r="B86" s="1115">
        <v>18000000</v>
      </c>
      <c r="C86" s="1115">
        <v>16000000</v>
      </c>
      <c r="D86" s="1115">
        <v>2000000</v>
      </c>
      <c r="E86" s="1115">
        <v>1596447</v>
      </c>
      <c r="F86" s="1115">
        <f t="shared" si="23"/>
        <v>18000</v>
      </c>
      <c r="G86" s="1115">
        <f t="shared" si="24"/>
        <v>16000</v>
      </c>
      <c r="H86" s="1115">
        <f t="shared" si="25"/>
        <v>2000</v>
      </c>
      <c r="I86" s="1115">
        <f t="shared" si="26"/>
        <v>1596.4469999999999</v>
      </c>
      <c r="L86" s="94" t="s">
        <v>408</v>
      </c>
      <c r="M86" s="840">
        <v>3733334</v>
      </c>
      <c r="N86" s="1115">
        <f t="shared" si="27"/>
        <v>3733.3339999999998</v>
      </c>
      <c r="Q86" s="94" t="s">
        <v>391</v>
      </c>
      <c r="R86" s="840">
        <v>17000000</v>
      </c>
      <c r="S86" s="840">
        <v>16240000</v>
      </c>
      <c r="T86" s="840">
        <v>760000</v>
      </c>
      <c r="U86" s="840">
        <v>2496343</v>
      </c>
      <c r="V86" s="169">
        <f t="shared" si="28"/>
        <v>17000</v>
      </c>
      <c r="W86" s="169">
        <f t="shared" si="29"/>
        <v>16240</v>
      </c>
      <c r="X86" s="169">
        <f t="shared" si="30"/>
        <v>760</v>
      </c>
      <c r="Y86" s="169">
        <f t="shared" si="31"/>
        <v>2496.3429999999998</v>
      </c>
      <c r="AB86" s="1390" t="s">
        <v>397</v>
      </c>
      <c r="AC86" s="1391">
        <v>4399269</v>
      </c>
      <c r="AD86" s="169">
        <f t="shared" si="32"/>
        <v>4399.2690000000002</v>
      </c>
      <c r="AG86" s="1390" t="s">
        <v>390</v>
      </c>
      <c r="AH86" s="1391">
        <v>2930000</v>
      </c>
      <c r="AI86" s="1391">
        <v>129500</v>
      </c>
      <c r="AJ86" s="1391">
        <v>1680000</v>
      </c>
      <c r="AK86" s="1391">
        <v>1250000</v>
      </c>
      <c r="AL86" s="1407">
        <f t="shared" si="33"/>
        <v>2930</v>
      </c>
      <c r="AM86" s="1407">
        <f t="shared" si="34"/>
        <v>129.5</v>
      </c>
      <c r="AN86" s="1407">
        <f t="shared" si="35"/>
        <v>1680</v>
      </c>
      <c r="AO86" s="1407">
        <f t="shared" si="36"/>
        <v>1250</v>
      </c>
      <c r="AR86" s="1390" t="s">
        <v>401</v>
      </c>
      <c r="AS86" s="169">
        <v>7553683</v>
      </c>
      <c r="AT86" s="169">
        <f t="shared" si="37"/>
        <v>7553.683</v>
      </c>
      <c r="AW86" s="1390" t="s">
        <v>389</v>
      </c>
      <c r="AX86" s="840">
        <v>14584000</v>
      </c>
      <c r="AY86" s="840">
        <v>11365189</v>
      </c>
      <c r="AZ86" s="840">
        <v>4367259</v>
      </c>
      <c r="BA86" s="840">
        <v>3218811</v>
      </c>
      <c r="BB86" s="169">
        <f t="shared" si="38"/>
        <v>14584</v>
      </c>
      <c r="BC86" s="169">
        <f t="shared" si="39"/>
        <v>11365.189</v>
      </c>
      <c r="BD86" s="169">
        <f t="shared" si="40"/>
        <v>4367.259</v>
      </c>
      <c r="BE86" s="169">
        <f t="shared" si="41"/>
        <v>3218.8110000000001</v>
      </c>
    </row>
    <row r="87" spans="1:57" ht="15" customHeight="1" x14ac:dyDescent="0.35">
      <c r="A87" s="841" t="s">
        <v>392</v>
      </c>
      <c r="B87" s="1115">
        <v>65582000</v>
      </c>
      <c r="C87" s="1115">
        <v>65581752</v>
      </c>
      <c r="D87" s="1115">
        <v>248</v>
      </c>
      <c r="E87" s="1115">
        <v>5465146</v>
      </c>
      <c r="F87" s="1115">
        <f t="shared" si="23"/>
        <v>65582</v>
      </c>
      <c r="G87" s="1115">
        <f t="shared" si="24"/>
        <v>65581.751999999993</v>
      </c>
      <c r="H87" s="1115">
        <f t="shared" si="25"/>
        <v>0.248</v>
      </c>
      <c r="I87" s="1115">
        <f t="shared" si="26"/>
        <v>5465.1459999999997</v>
      </c>
      <c r="L87" s="94" t="s">
        <v>608</v>
      </c>
      <c r="M87" s="840">
        <v>649037</v>
      </c>
      <c r="N87" s="1115">
        <f t="shared" si="27"/>
        <v>649.03700000000003</v>
      </c>
      <c r="Q87" s="94" t="s">
        <v>392</v>
      </c>
      <c r="R87" s="840">
        <v>65582000</v>
      </c>
      <c r="S87" s="840">
        <v>65581752</v>
      </c>
      <c r="T87" s="840">
        <v>248</v>
      </c>
      <c r="U87" s="840">
        <v>10930292</v>
      </c>
      <c r="V87" s="169">
        <f t="shared" si="28"/>
        <v>65582</v>
      </c>
      <c r="W87" s="169">
        <f t="shared" si="29"/>
        <v>65581.751999999993</v>
      </c>
      <c r="X87" s="169">
        <f t="shared" si="30"/>
        <v>0.248</v>
      </c>
      <c r="Y87" s="169">
        <f t="shared" si="31"/>
        <v>10930.291999999999</v>
      </c>
      <c r="AB87" s="1390" t="s">
        <v>398</v>
      </c>
      <c r="AC87" s="1391">
        <v>639285</v>
      </c>
      <c r="AD87" s="169">
        <f t="shared" si="32"/>
        <v>639.28499999999997</v>
      </c>
      <c r="AG87" s="1390" t="s">
        <v>391</v>
      </c>
      <c r="AH87" s="1391">
        <v>16330320</v>
      </c>
      <c r="AI87" s="1391">
        <v>3088281</v>
      </c>
      <c r="AJ87" s="1391">
        <v>16240000</v>
      </c>
      <c r="AK87" s="1391">
        <v>90320</v>
      </c>
      <c r="AL87" s="1407">
        <f t="shared" si="33"/>
        <v>16330.32</v>
      </c>
      <c r="AM87" s="1407">
        <f t="shared" si="34"/>
        <v>3088.2809999999999</v>
      </c>
      <c r="AN87" s="1407">
        <f t="shared" si="35"/>
        <v>16240</v>
      </c>
      <c r="AO87" s="1407">
        <f t="shared" si="36"/>
        <v>90.32</v>
      </c>
      <c r="AR87" s="1390" t="s">
        <v>493</v>
      </c>
      <c r="AS87" s="169">
        <v>0</v>
      </c>
      <c r="AT87" s="169">
        <f t="shared" si="37"/>
        <v>0</v>
      </c>
      <c r="AW87" s="1390" t="s">
        <v>390</v>
      </c>
      <c r="AX87" s="840">
        <v>2930000</v>
      </c>
      <c r="AY87" s="840">
        <v>1680000</v>
      </c>
      <c r="AZ87" s="840">
        <v>214050</v>
      </c>
      <c r="BA87" s="840">
        <v>1250000</v>
      </c>
      <c r="BB87" s="169">
        <f t="shared" si="38"/>
        <v>2930</v>
      </c>
      <c r="BC87" s="169">
        <f t="shared" si="39"/>
        <v>1680</v>
      </c>
      <c r="BD87" s="169">
        <f t="shared" si="40"/>
        <v>214.05</v>
      </c>
      <c r="BE87" s="169">
        <f t="shared" si="41"/>
        <v>1250</v>
      </c>
    </row>
    <row r="88" spans="1:57" ht="15" customHeight="1" x14ac:dyDescent="0.35">
      <c r="A88" s="841" t="s">
        <v>393</v>
      </c>
      <c r="B88" s="1115">
        <v>7155769</v>
      </c>
      <c r="C88" s="1115">
        <v>160163</v>
      </c>
      <c r="D88" s="1115">
        <v>6995606</v>
      </c>
      <c r="E88" s="1115">
        <v>0</v>
      </c>
      <c r="F88" s="1115">
        <f t="shared" si="23"/>
        <v>7155.7690000000002</v>
      </c>
      <c r="G88" s="1115">
        <f t="shared" si="24"/>
        <v>160.16300000000001</v>
      </c>
      <c r="H88" s="1115">
        <f t="shared" si="25"/>
        <v>6995.6059999999998</v>
      </c>
      <c r="I88" s="1115">
        <f t="shared" si="26"/>
        <v>0</v>
      </c>
      <c r="L88" s="94" t="s">
        <v>410</v>
      </c>
      <c r="M88" s="840">
        <v>649037</v>
      </c>
      <c r="N88" s="1115">
        <f t="shared" si="27"/>
        <v>649.03700000000003</v>
      </c>
      <c r="Q88" s="94" t="s">
        <v>393</v>
      </c>
      <c r="R88" s="840">
        <v>7155769</v>
      </c>
      <c r="S88" s="840">
        <v>160163</v>
      </c>
      <c r="T88" s="840">
        <v>6995606</v>
      </c>
      <c r="U88" s="840">
        <v>0</v>
      </c>
      <c r="V88" s="169">
        <f t="shared" si="28"/>
        <v>7155.7690000000002</v>
      </c>
      <c r="W88" s="169">
        <f t="shared" si="29"/>
        <v>160.16300000000001</v>
      </c>
      <c r="X88" s="169">
        <f t="shared" si="30"/>
        <v>6995.6059999999998</v>
      </c>
      <c r="Y88" s="169">
        <f t="shared" si="31"/>
        <v>0</v>
      </c>
      <c r="AB88" s="1390" t="s">
        <v>399</v>
      </c>
      <c r="AC88" s="1391">
        <v>3759984</v>
      </c>
      <c r="AD88" s="169">
        <f t="shared" si="32"/>
        <v>3759.9839999999999</v>
      </c>
      <c r="AG88" s="1390" t="s">
        <v>392</v>
      </c>
      <c r="AH88" s="1391">
        <v>65582000</v>
      </c>
      <c r="AI88" s="1391">
        <v>16395438</v>
      </c>
      <c r="AJ88" s="1391">
        <v>65581752</v>
      </c>
      <c r="AK88" s="1391">
        <v>248</v>
      </c>
      <c r="AL88" s="1407">
        <f t="shared" si="33"/>
        <v>65582</v>
      </c>
      <c r="AM88" s="1407">
        <f t="shared" si="34"/>
        <v>16395.437999999998</v>
      </c>
      <c r="AN88" s="1407">
        <f t="shared" si="35"/>
        <v>65581.751999999993</v>
      </c>
      <c r="AO88" s="1407">
        <f t="shared" si="36"/>
        <v>0.248</v>
      </c>
      <c r="AR88" s="1390" t="s">
        <v>601</v>
      </c>
      <c r="AS88" s="169">
        <v>14540784</v>
      </c>
      <c r="AT88" s="169">
        <f t="shared" si="37"/>
        <v>14540.784</v>
      </c>
      <c r="AW88" s="1390" t="s">
        <v>391</v>
      </c>
      <c r="AX88" s="840">
        <v>16240000</v>
      </c>
      <c r="AY88" s="840">
        <v>16240000</v>
      </c>
      <c r="AZ88" s="840">
        <v>4577076</v>
      </c>
      <c r="BA88" s="840">
        <v>0</v>
      </c>
      <c r="BB88" s="169">
        <f t="shared" si="38"/>
        <v>16240</v>
      </c>
      <c r="BC88" s="169">
        <f t="shared" si="39"/>
        <v>16240</v>
      </c>
      <c r="BD88" s="169">
        <f t="shared" si="40"/>
        <v>4577.076</v>
      </c>
      <c r="BE88" s="169">
        <f t="shared" si="41"/>
        <v>0</v>
      </c>
    </row>
    <row r="89" spans="1:57" ht="15" customHeight="1" x14ac:dyDescent="0.35">
      <c r="A89" s="841" t="s">
        <v>394</v>
      </c>
      <c r="B89" s="1115">
        <v>6600000</v>
      </c>
      <c r="C89" s="1115">
        <v>5691808</v>
      </c>
      <c r="D89" s="1115">
        <v>908192</v>
      </c>
      <c r="E89" s="1115">
        <v>0</v>
      </c>
      <c r="F89" s="1115">
        <f t="shared" si="23"/>
        <v>6600</v>
      </c>
      <c r="G89" s="1115">
        <f t="shared" si="24"/>
        <v>5691.808</v>
      </c>
      <c r="H89" s="1115">
        <f t="shared" si="25"/>
        <v>908.19200000000001</v>
      </c>
      <c r="I89" s="1115">
        <f t="shared" si="26"/>
        <v>0</v>
      </c>
      <c r="L89" s="94" t="s">
        <v>609</v>
      </c>
      <c r="M89" s="840">
        <v>0</v>
      </c>
      <c r="N89" s="1115">
        <f t="shared" si="27"/>
        <v>0</v>
      </c>
      <c r="Q89" s="94" t="s">
        <v>394</v>
      </c>
      <c r="R89" s="840">
        <v>6600000</v>
      </c>
      <c r="S89" s="840">
        <v>5691808</v>
      </c>
      <c r="T89" s="840">
        <v>908192</v>
      </c>
      <c r="U89" s="840">
        <v>0</v>
      </c>
      <c r="V89" s="169">
        <f t="shared" si="28"/>
        <v>6600</v>
      </c>
      <c r="W89" s="169">
        <f t="shared" si="29"/>
        <v>5691.808</v>
      </c>
      <c r="X89" s="169">
        <f t="shared" si="30"/>
        <v>908.19200000000001</v>
      </c>
      <c r="Y89" s="169">
        <f t="shared" si="31"/>
        <v>0</v>
      </c>
      <c r="AB89" s="1390" t="s">
        <v>400</v>
      </c>
      <c r="AC89" s="1391">
        <v>36131913</v>
      </c>
      <c r="AD89" s="169">
        <f t="shared" si="32"/>
        <v>36131.913</v>
      </c>
      <c r="AG89" s="1390" t="s">
        <v>393</v>
      </c>
      <c r="AH89" s="1391">
        <v>7114286</v>
      </c>
      <c r="AI89" s="1391">
        <v>0</v>
      </c>
      <c r="AJ89" s="1391">
        <v>7095769</v>
      </c>
      <c r="AK89" s="1391">
        <v>18517</v>
      </c>
      <c r="AL89" s="1407">
        <f t="shared" si="33"/>
        <v>7114.2860000000001</v>
      </c>
      <c r="AM89" s="1407">
        <f t="shared" si="34"/>
        <v>0</v>
      </c>
      <c r="AN89" s="1407">
        <f t="shared" si="35"/>
        <v>7095.7690000000002</v>
      </c>
      <c r="AO89" s="1407">
        <f t="shared" si="36"/>
        <v>18.516999999999999</v>
      </c>
      <c r="AR89" s="1390" t="s">
        <v>602</v>
      </c>
      <c r="AS89" s="169">
        <v>6809000</v>
      </c>
      <c r="AT89" s="169">
        <f t="shared" si="37"/>
        <v>6809</v>
      </c>
      <c r="AW89" s="1390" t="s">
        <v>392</v>
      </c>
      <c r="AX89" s="840">
        <v>65581752</v>
      </c>
      <c r="AY89" s="840">
        <v>65581752</v>
      </c>
      <c r="AZ89" s="840">
        <v>16395438</v>
      </c>
      <c r="BA89" s="840">
        <v>0</v>
      </c>
      <c r="BB89" s="169">
        <f t="shared" si="38"/>
        <v>65581.751999999993</v>
      </c>
      <c r="BC89" s="169">
        <f t="shared" si="39"/>
        <v>65581.751999999993</v>
      </c>
      <c r="BD89" s="169">
        <f t="shared" si="40"/>
        <v>16395.437999999998</v>
      </c>
      <c r="BE89" s="169">
        <f t="shared" si="41"/>
        <v>0</v>
      </c>
    </row>
    <row r="90" spans="1:57" ht="15" customHeight="1" x14ac:dyDescent="0.35">
      <c r="A90" s="841" t="s">
        <v>595</v>
      </c>
      <c r="B90" s="1115">
        <v>38400000</v>
      </c>
      <c r="C90" s="1115">
        <v>37629672</v>
      </c>
      <c r="D90" s="1115">
        <v>770328</v>
      </c>
      <c r="E90" s="1115">
        <v>0</v>
      </c>
      <c r="F90" s="1115">
        <f t="shared" si="23"/>
        <v>38400</v>
      </c>
      <c r="G90" s="1115">
        <f t="shared" si="24"/>
        <v>37629.671999999999</v>
      </c>
      <c r="H90" s="1115">
        <f t="shared" si="25"/>
        <v>770.32799999999997</v>
      </c>
      <c r="I90" s="1115">
        <f t="shared" si="26"/>
        <v>0</v>
      </c>
      <c r="L90" s="94" t="s">
        <v>412</v>
      </c>
      <c r="M90" s="840">
        <v>7734844</v>
      </c>
      <c r="N90" s="1115">
        <f t="shared" si="27"/>
        <v>7734.8440000000001</v>
      </c>
      <c r="Q90" s="94" t="s">
        <v>595</v>
      </c>
      <c r="R90" s="840">
        <v>38400000</v>
      </c>
      <c r="S90" s="840">
        <v>37629672</v>
      </c>
      <c r="T90" s="840">
        <v>770328</v>
      </c>
      <c r="U90" s="840">
        <v>0</v>
      </c>
      <c r="V90" s="169">
        <f t="shared" si="28"/>
        <v>38400</v>
      </c>
      <c r="W90" s="169">
        <f t="shared" si="29"/>
        <v>37629.671999999999</v>
      </c>
      <c r="X90" s="169">
        <f t="shared" si="30"/>
        <v>770.32799999999997</v>
      </c>
      <c r="Y90" s="169">
        <f t="shared" si="31"/>
        <v>0</v>
      </c>
      <c r="AB90" s="1390" t="s">
        <v>401</v>
      </c>
      <c r="AC90" s="1391">
        <v>8761982</v>
      </c>
      <c r="AD90" s="169">
        <f t="shared" si="32"/>
        <v>8761.982</v>
      </c>
      <c r="AG90" s="1390" t="s">
        <v>394</v>
      </c>
      <c r="AH90" s="1391">
        <v>7114763</v>
      </c>
      <c r="AI90" s="1391">
        <v>2845902</v>
      </c>
      <c r="AJ90" s="1391">
        <v>7114763</v>
      </c>
      <c r="AK90" s="1391">
        <v>0</v>
      </c>
      <c r="AL90" s="1407">
        <f t="shared" si="33"/>
        <v>7114.7629999999999</v>
      </c>
      <c r="AM90" s="1407">
        <f t="shared" si="34"/>
        <v>2845.902</v>
      </c>
      <c r="AN90" s="1407">
        <f t="shared" si="35"/>
        <v>7114.7629999999999</v>
      </c>
      <c r="AO90" s="1407">
        <f t="shared" si="36"/>
        <v>0</v>
      </c>
      <c r="AR90" s="1390" t="s">
        <v>603</v>
      </c>
      <c r="AS90" s="169">
        <v>609021</v>
      </c>
      <c r="AT90" s="169">
        <f t="shared" si="37"/>
        <v>609.02099999999996</v>
      </c>
      <c r="AW90" s="1390" t="s">
        <v>393</v>
      </c>
      <c r="AX90" s="840">
        <v>7114286</v>
      </c>
      <c r="AY90" s="840">
        <v>7095769</v>
      </c>
      <c r="AZ90" s="840">
        <v>0</v>
      </c>
      <c r="BA90" s="840">
        <v>18517</v>
      </c>
      <c r="BB90" s="169">
        <f t="shared" si="38"/>
        <v>7114.2860000000001</v>
      </c>
      <c r="BC90" s="169">
        <f t="shared" si="39"/>
        <v>7095.7690000000002</v>
      </c>
      <c r="BD90" s="169">
        <f t="shared" si="40"/>
        <v>0</v>
      </c>
      <c r="BE90" s="169">
        <f t="shared" si="41"/>
        <v>18.516999999999999</v>
      </c>
    </row>
    <row r="91" spans="1:57" ht="15" customHeight="1" x14ac:dyDescent="0.35">
      <c r="A91" s="841" t="s">
        <v>395</v>
      </c>
      <c r="B91" s="1115">
        <v>64128500</v>
      </c>
      <c r="C91" s="1115">
        <v>24845846</v>
      </c>
      <c r="D91" s="1115">
        <v>39282654</v>
      </c>
      <c r="E91" s="1115">
        <v>14879873</v>
      </c>
      <c r="F91" s="1115">
        <f t="shared" si="23"/>
        <v>64128.5</v>
      </c>
      <c r="G91" s="1115">
        <f t="shared" si="24"/>
        <v>24845.846000000001</v>
      </c>
      <c r="H91" s="1115">
        <f t="shared" si="25"/>
        <v>39282.654000000002</v>
      </c>
      <c r="I91" s="1115">
        <f t="shared" si="26"/>
        <v>14879.873</v>
      </c>
      <c r="L91" s="94" t="s">
        <v>413</v>
      </c>
      <c r="M91" s="840">
        <v>7734844</v>
      </c>
      <c r="N91" s="1115">
        <f t="shared" si="27"/>
        <v>7734.8440000000001</v>
      </c>
      <c r="Q91" s="94" t="s">
        <v>395</v>
      </c>
      <c r="R91" s="840">
        <v>74783152</v>
      </c>
      <c r="S91" s="840">
        <v>26754948</v>
      </c>
      <c r="T91" s="840">
        <v>48028204</v>
      </c>
      <c r="U91" s="840">
        <v>20497062</v>
      </c>
      <c r="V91" s="169">
        <f t="shared" si="28"/>
        <v>74783.152000000002</v>
      </c>
      <c r="W91" s="169">
        <f t="shared" si="29"/>
        <v>26754.948</v>
      </c>
      <c r="X91" s="169">
        <f t="shared" si="30"/>
        <v>48028.203999999998</v>
      </c>
      <c r="Y91" s="169">
        <f t="shared" si="31"/>
        <v>20497.062000000002</v>
      </c>
      <c r="AB91" s="1390" t="s">
        <v>493</v>
      </c>
      <c r="AC91" s="1391">
        <v>0</v>
      </c>
      <c r="AD91" s="169">
        <f t="shared" si="32"/>
        <v>0</v>
      </c>
      <c r="AG91" s="1390" t="s">
        <v>595</v>
      </c>
      <c r="AH91" s="1391">
        <v>38400000</v>
      </c>
      <c r="AI91" s="1391">
        <v>0</v>
      </c>
      <c r="AJ91" s="1391">
        <v>37629672</v>
      </c>
      <c r="AK91" s="1391">
        <v>770328</v>
      </c>
      <c r="AL91" s="1407">
        <f t="shared" si="33"/>
        <v>38400</v>
      </c>
      <c r="AM91" s="1407">
        <f t="shared" si="34"/>
        <v>0</v>
      </c>
      <c r="AN91" s="1407">
        <f t="shared" si="35"/>
        <v>37629.671999999999</v>
      </c>
      <c r="AO91" s="1407">
        <f t="shared" si="36"/>
        <v>770.32799999999997</v>
      </c>
      <c r="AR91" s="1390" t="s">
        <v>402</v>
      </c>
      <c r="AS91" s="169">
        <v>4582988</v>
      </c>
      <c r="AT91" s="169">
        <f t="shared" si="37"/>
        <v>4582.9880000000003</v>
      </c>
      <c r="AW91" s="1390" t="s">
        <v>394</v>
      </c>
      <c r="AX91" s="840">
        <v>7114763</v>
      </c>
      <c r="AY91" s="840">
        <v>7114763</v>
      </c>
      <c r="AZ91" s="840">
        <v>2845902</v>
      </c>
      <c r="BA91" s="840">
        <v>0</v>
      </c>
      <c r="BB91" s="169">
        <f t="shared" si="38"/>
        <v>7114.7629999999999</v>
      </c>
      <c r="BC91" s="169">
        <f t="shared" si="39"/>
        <v>7114.7629999999999</v>
      </c>
      <c r="BD91" s="169">
        <f t="shared" si="40"/>
        <v>2845.902</v>
      </c>
      <c r="BE91" s="169">
        <f t="shared" si="41"/>
        <v>0</v>
      </c>
    </row>
    <row r="92" spans="1:57" ht="15" customHeight="1" x14ac:dyDescent="0.35">
      <c r="A92" s="841" t="s">
        <v>596</v>
      </c>
      <c r="B92" s="1115">
        <v>26300000</v>
      </c>
      <c r="C92" s="1115">
        <v>17778645</v>
      </c>
      <c r="D92" s="1115">
        <v>8521355</v>
      </c>
      <c r="E92" s="1115">
        <v>13197645</v>
      </c>
      <c r="F92" s="1115">
        <f t="shared" si="23"/>
        <v>26300</v>
      </c>
      <c r="G92" s="1115">
        <f t="shared" si="24"/>
        <v>17778.645</v>
      </c>
      <c r="H92" s="1115">
        <f t="shared" si="25"/>
        <v>8521.3549999999996</v>
      </c>
      <c r="I92" s="1115">
        <f t="shared" si="26"/>
        <v>13197.645</v>
      </c>
      <c r="L92" s="94" t="s">
        <v>532</v>
      </c>
      <c r="M92" s="840">
        <v>7734844</v>
      </c>
      <c r="N92" s="1115">
        <f t="shared" si="27"/>
        <v>7734.8440000000001</v>
      </c>
      <c r="Q92" s="94" t="s">
        <v>596</v>
      </c>
      <c r="R92" s="840">
        <v>43644827</v>
      </c>
      <c r="S92" s="840">
        <v>17778645</v>
      </c>
      <c r="T92" s="840">
        <v>25866182</v>
      </c>
      <c r="U92" s="840">
        <v>17778645</v>
      </c>
      <c r="V92" s="169">
        <f t="shared" si="28"/>
        <v>43644.826999999997</v>
      </c>
      <c r="W92" s="169">
        <f t="shared" si="29"/>
        <v>17778.645</v>
      </c>
      <c r="X92" s="169">
        <f t="shared" si="30"/>
        <v>25866.182000000001</v>
      </c>
      <c r="Y92" s="169">
        <f t="shared" si="31"/>
        <v>17778.645</v>
      </c>
      <c r="AB92" s="1390" t="s">
        <v>601</v>
      </c>
      <c r="AC92" s="1391">
        <v>15047941</v>
      </c>
      <c r="AD92" s="169">
        <f t="shared" si="32"/>
        <v>15047.941000000001</v>
      </c>
      <c r="AG92" s="1390" t="s">
        <v>395</v>
      </c>
      <c r="AH92" s="1391">
        <v>74521863</v>
      </c>
      <c r="AI92" s="1391">
        <v>23181061</v>
      </c>
      <c r="AJ92" s="1391">
        <v>29533080</v>
      </c>
      <c r="AK92" s="1391">
        <v>44988783</v>
      </c>
      <c r="AL92" s="1407">
        <f t="shared" si="33"/>
        <v>74521.862999999998</v>
      </c>
      <c r="AM92" s="1407">
        <f t="shared" si="34"/>
        <v>23181.061000000002</v>
      </c>
      <c r="AN92" s="1407">
        <f t="shared" si="35"/>
        <v>29533.08</v>
      </c>
      <c r="AO92" s="1407">
        <f t="shared" si="36"/>
        <v>44988.783000000003</v>
      </c>
      <c r="AR92" s="1390" t="s">
        <v>403</v>
      </c>
      <c r="AS92" s="169">
        <v>70709307</v>
      </c>
      <c r="AT92" s="169">
        <f t="shared" si="37"/>
        <v>70709.307000000001</v>
      </c>
      <c r="AW92" s="1390" t="s">
        <v>595</v>
      </c>
      <c r="AX92" s="840">
        <v>38400000</v>
      </c>
      <c r="AY92" s="840">
        <v>37629672</v>
      </c>
      <c r="AZ92" s="840">
        <v>9407418</v>
      </c>
      <c r="BA92" s="840">
        <v>770328</v>
      </c>
      <c r="BB92" s="169">
        <f t="shared" si="38"/>
        <v>38400</v>
      </c>
      <c r="BC92" s="169">
        <f t="shared" si="39"/>
        <v>37629.671999999999</v>
      </c>
      <c r="BD92" s="169">
        <f t="shared" si="40"/>
        <v>9407.4179999999997</v>
      </c>
      <c r="BE92" s="169">
        <f t="shared" si="41"/>
        <v>770.32799999999997</v>
      </c>
    </row>
    <row r="93" spans="1:57" ht="15" customHeight="1" x14ac:dyDescent="0.35">
      <c r="A93" s="841" t="s">
        <v>597</v>
      </c>
      <c r="B93" s="1115">
        <v>26512200</v>
      </c>
      <c r="C93" s="1115">
        <v>2353494</v>
      </c>
      <c r="D93" s="1115">
        <v>24158706</v>
      </c>
      <c r="E93" s="1115">
        <v>297749</v>
      </c>
      <c r="F93" s="1115">
        <f t="shared" si="23"/>
        <v>26512.2</v>
      </c>
      <c r="G93" s="1115">
        <f t="shared" si="24"/>
        <v>2353.4940000000001</v>
      </c>
      <c r="H93" s="1115">
        <f t="shared" si="25"/>
        <v>24158.705999999998</v>
      </c>
      <c r="I93" s="1115">
        <f t="shared" si="26"/>
        <v>297.74900000000002</v>
      </c>
      <c r="L93" s="94" t="s">
        <v>638</v>
      </c>
      <c r="M93" s="840">
        <v>7589416</v>
      </c>
      <c r="N93" s="1115">
        <f t="shared" si="27"/>
        <v>7589.4160000000002</v>
      </c>
      <c r="Q93" s="94" t="s">
        <v>597</v>
      </c>
      <c r="R93" s="840">
        <v>21322025</v>
      </c>
      <c r="S93" s="840">
        <v>4262596</v>
      </c>
      <c r="T93" s="840">
        <v>17059429</v>
      </c>
      <c r="U93" s="840">
        <v>1333938</v>
      </c>
      <c r="V93" s="169">
        <f t="shared" si="28"/>
        <v>21322.025000000001</v>
      </c>
      <c r="W93" s="169">
        <f t="shared" si="29"/>
        <v>4262.5959999999995</v>
      </c>
      <c r="X93" s="169">
        <f t="shared" si="30"/>
        <v>17059.429</v>
      </c>
      <c r="Y93" s="169">
        <f t="shared" si="31"/>
        <v>1333.9380000000001</v>
      </c>
      <c r="AB93" s="1390" t="s">
        <v>602</v>
      </c>
      <c r="AC93" s="1391">
        <v>6091500</v>
      </c>
      <c r="AD93" s="169">
        <f t="shared" si="32"/>
        <v>6091.5</v>
      </c>
      <c r="AG93" s="1390" t="s">
        <v>596</v>
      </c>
      <c r="AH93" s="1391">
        <v>44713474</v>
      </c>
      <c r="AI93" s="1391">
        <v>17778645</v>
      </c>
      <c r="AJ93" s="1391">
        <v>19508619</v>
      </c>
      <c r="AK93" s="1391">
        <v>25204855</v>
      </c>
      <c r="AL93" s="1407">
        <f t="shared" si="33"/>
        <v>44713.474000000002</v>
      </c>
      <c r="AM93" s="1407">
        <f t="shared" si="34"/>
        <v>17778.645</v>
      </c>
      <c r="AN93" s="1407">
        <f t="shared" si="35"/>
        <v>19508.618999999999</v>
      </c>
      <c r="AO93" s="1407">
        <f t="shared" si="36"/>
        <v>25204.855</v>
      </c>
      <c r="AR93" s="1390" t="s">
        <v>404</v>
      </c>
      <c r="AS93" s="169">
        <v>64741689</v>
      </c>
      <c r="AT93" s="169">
        <f t="shared" si="37"/>
        <v>64741.688999999998</v>
      </c>
      <c r="AW93" s="1390" t="s">
        <v>395</v>
      </c>
      <c r="AX93" s="840">
        <v>62915716</v>
      </c>
      <c r="AY93" s="840">
        <v>50833946</v>
      </c>
      <c r="AZ93" s="840">
        <v>27232603</v>
      </c>
      <c r="BA93" s="840">
        <v>12081770</v>
      </c>
      <c r="BB93" s="169">
        <f t="shared" si="38"/>
        <v>62915.716</v>
      </c>
      <c r="BC93" s="169">
        <f t="shared" si="39"/>
        <v>50833.946000000004</v>
      </c>
      <c r="BD93" s="169">
        <f t="shared" si="40"/>
        <v>27232.602999999999</v>
      </c>
      <c r="BE93" s="169">
        <f t="shared" si="41"/>
        <v>12081.77</v>
      </c>
    </row>
    <row r="94" spans="1:57" ht="15" customHeight="1" x14ac:dyDescent="0.35">
      <c r="A94" s="841" t="s">
        <v>598</v>
      </c>
      <c r="B94" s="1115">
        <v>2000000</v>
      </c>
      <c r="C94" s="1115">
        <v>0</v>
      </c>
      <c r="D94" s="1115">
        <v>2000000</v>
      </c>
      <c r="E94" s="1115">
        <v>0</v>
      </c>
      <c r="F94" s="1115">
        <f t="shared" si="23"/>
        <v>2000</v>
      </c>
      <c r="G94" s="1115">
        <f t="shared" si="24"/>
        <v>0</v>
      </c>
      <c r="H94" s="1115">
        <f t="shared" si="25"/>
        <v>2000</v>
      </c>
      <c r="I94" s="1115">
        <f t="shared" si="26"/>
        <v>0</v>
      </c>
      <c r="L94" s="94" t="s">
        <v>639</v>
      </c>
      <c r="M94" s="840">
        <v>7589416</v>
      </c>
      <c r="N94" s="1115">
        <f t="shared" si="27"/>
        <v>7589.4160000000002</v>
      </c>
      <c r="Q94" s="94" t="s">
        <v>598</v>
      </c>
      <c r="R94" s="840">
        <v>2000000</v>
      </c>
      <c r="S94" s="840">
        <v>0</v>
      </c>
      <c r="T94" s="840">
        <v>2000000</v>
      </c>
      <c r="U94" s="840">
        <v>0</v>
      </c>
      <c r="V94" s="169">
        <f t="shared" si="28"/>
        <v>2000</v>
      </c>
      <c r="W94" s="169">
        <f t="shared" si="29"/>
        <v>0</v>
      </c>
      <c r="X94" s="169">
        <f t="shared" si="30"/>
        <v>2000</v>
      </c>
      <c r="Y94" s="169">
        <f t="shared" si="31"/>
        <v>0</v>
      </c>
      <c r="AB94" s="1390" t="s">
        <v>603</v>
      </c>
      <c r="AC94" s="1391">
        <v>311640</v>
      </c>
      <c r="AD94" s="169">
        <f t="shared" si="32"/>
        <v>311.64</v>
      </c>
      <c r="AG94" s="1390" t="s">
        <v>597</v>
      </c>
      <c r="AH94" s="1391">
        <v>21060736</v>
      </c>
      <c r="AI94" s="1391">
        <v>3549758</v>
      </c>
      <c r="AJ94" s="1391">
        <v>5310754</v>
      </c>
      <c r="AK94" s="1391">
        <v>15749982</v>
      </c>
      <c r="AL94" s="1407">
        <f t="shared" si="33"/>
        <v>21060.736000000001</v>
      </c>
      <c r="AM94" s="1407">
        <f t="shared" si="34"/>
        <v>3549.7579999999998</v>
      </c>
      <c r="AN94" s="1407">
        <f t="shared" si="35"/>
        <v>5310.7539999999999</v>
      </c>
      <c r="AO94" s="1407">
        <f t="shared" si="36"/>
        <v>15749.982</v>
      </c>
      <c r="AR94" s="1390" t="s">
        <v>604</v>
      </c>
      <c r="AS94" s="169">
        <v>0</v>
      </c>
      <c r="AT94" s="169">
        <f t="shared" si="37"/>
        <v>0</v>
      </c>
      <c r="AW94" s="1390" t="s">
        <v>596</v>
      </c>
      <c r="AX94" s="840">
        <v>40002733</v>
      </c>
      <c r="AY94" s="840">
        <v>39797630</v>
      </c>
      <c r="AZ94" s="840">
        <v>19508619</v>
      </c>
      <c r="BA94" s="840">
        <v>205103</v>
      </c>
      <c r="BB94" s="169">
        <f t="shared" si="38"/>
        <v>40002.733</v>
      </c>
      <c r="BC94" s="169">
        <f t="shared" si="39"/>
        <v>39797.629999999997</v>
      </c>
      <c r="BD94" s="169">
        <f t="shared" si="40"/>
        <v>19508.618999999999</v>
      </c>
      <c r="BE94" s="169">
        <f t="shared" si="41"/>
        <v>205.10300000000001</v>
      </c>
    </row>
    <row r="95" spans="1:57" ht="15" customHeight="1" x14ac:dyDescent="0.35">
      <c r="A95" s="841" t="s">
        <v>599</v>
      </c>
      <c r="B95" s="1115">
        <v>916300</v>
      </c>
      <c r="C95" s="1115">
        <v>916300</v>
      </c>
      <c r="D95" s="1115">
        <v>0</v>
      </c>
      <c r="E95" s="1115">
        <v>916300</v>
      </c>
      <c r="F95" s="1115">
        <f t="shared" si="23"/>
        <v>916.3</v>
      </c>
      <c r="G95" s="1115">
        <f t="shared" si="24"/>
        <v>916.3</v>
      </c>
      <c r="H95" s="1115">
        <f t="shared" si="25"/>
        <v>0</v>
      </c>
      <c r="I95" s="1115">
        <f t="shared" si="26"/>
        <v>916.3</v>
      </c>
      <c r="L95" s="94" t="s">
        <v>416</v>
      </c>
      <c r="M95" s="840">
        <v>1149016</v>
      </c>
      <c r="N95" s="1115">
        <f t="shared" si="27"/>
        <v>1149.0160000000001</v>
      </c>
      <c r="Q95" s="94" t="s">
        <v>599</v>
      </c>
      <c r="R95" s="840">
        <v>916300</v>
      </c>
      <c r="S95" s="840">
        <v>916300</v>
      </c>
      <c r="T95" s="840">
        <v>0</v>
      </c>
      <c r="U95" s="840">
        <v>916300</v>
      </c>
      <c r="V95" s="169">
        <f t="shared" si="28"/>
        <v>916.3</v>
      </c>
      <c r="W95" s="169">
        <f t="shared" si="29"/>
        <v>916.3</v>
      </c>
      <c r="X95" s="169">
        <f t="shared" si="30"/>
        <v>0</v>
      </c>
      <c r="Y95" s="169">
        <f t="shared" si="31"/>
        <v>916.3</v>
      </c>
      <c r="AB95" s="1390" t="s">
        <v>402</v>
      </c>
      <c r="AC95" s="1391">
        <v>5918850</v>
      </c>
      <c r="AD95" s="169">
        <f t="shared" si="32"/>
        <v>5918.85</v>
      </c>
      <c r="AG95" s="1390" t="s">
        <v>598</v>
      </c>
      <c r="AH95" s="1391">
        <v>931353</v>
      </c>
      <c r="AI95" s="1391">
        <v>0</v>
      </c>
      <c r="AJ95" s="1391">
        <v>0</v>
      </c>
      <c r="AK95" s="1391">
        <v>931353</v>
      </c>
      <c r="AL95" s="1407">
        <f t="shared" si="33"/>
        <v>931.35299999999995</v>
      </c>
      <c r="AM95" s="1407">
        <f t="shared" si="34"/>
        <v>0</v>
      </c>
      <c r="AN95" s="1407">
        <f t="shared" si="35"/>
        <v>0</v>
      </c>
      <c r="AO95" s="1407">
        <f t="shared" si="36"/>
        <v>931.35299999999995</v>
      </c>
      <c r="AR95" s="1390" t="s">
        <v>605</v>
      </c>
      <c r="AS95" s="169">
        <v>4926368</v>
      </c>
      <c r="AT95" s="169">
        <f t="shared" si="37"/>
        <v>4926.3680000000004</v>
      </c>
      <c r="AW95" s="1390" t="s">
        <v>597</v>
      </c>
      <c r="AX95" s="840">
        <v>14894383</v>
      </c>
      <c r="AY95" s="840">
        <v>6322609</v>
      </c>
      <c r="AZ95" s="840">
        <v>5871326</v>
      </c>
      <c r="BA95" s="840">
        <v>8571774</v>
      </c>
      <c r="BB95" s="169">
        <f t="shared" si="38"/>
        <v>14894.383</v>
      </c>
      <c r="BC95" s="169">
        <f t="shared" si="39"/>
        <v>6322.6090000000004</v>
      </c>
      <c r="BD95" s="169">
        <f t="shared" si="40"/>
        <v>5871.326</v>
      </c>
      <c r="BE95" s="169">
        <f t="shared" si="41"/>
        <v>8571.7739999999994</v>
      </c>
    </row>
    <row r="96" spans="1:57" ht="15" customHeight="1" x14ac:dyDescent="0.35">
      <c r="A96" s="841" t="s">
        <v>600</v>
      </c>
      <c r="B96" s="1115">
        <v>8400000</v>
      </c>
      <c r="C96" s="1115">
        <v>3797407</v>
      </c>
      <c r="D96" s="1115">
        <v>4602593</v>
      </c>
      <c r="E96" s="1115">
        <v>468179</v>
      </c>
      <c r="F96" s="1115">
        <f t="shared" si="23"/>
        <v>8400</v>
      </c>
      <c r="G96" s="1115">
        <f t="shared" si="24"/>
        <v>3797.4070000000002</v>
      </c>
      <c r="H96" s="1115">
        <f t="shared" si="25"/>
        <v>4602.5929999999998</v>
      </c>
      <c r="I96" s="1115">
        <f t="shared" si="26"/>
        <v>468.17899999999997</v>
      </c>
      <c r="L96" s="94" t="s">
        <v>422</v>
      </c>
      <c r="M96" s="840">
        <v>1149016</v>
      </c>
      <c r="N96" s="1115">
        <f t="shared" si="27"/>
        <v>1149.0160000000001</v>
      </c>
      <c r="Q96" s="94" t="s">
        <v>600</v>
      </c>
      <c r="R96" s="840">
        <v>6900000</v>
      </c>
      <c r="S96" s="840">
        <v>3797407</v>
      </c>
      <c r="T96" s="840">
        <v>3102593</v>
      </c>
      <c r="U96" s="840">
        <v>468179</v>
      </c>
      <c r="V96" s="169">
        <f t="shared" si="28"/>
        <v>6900</v>
      </c>
      <c r="W96" s="169">
        <f t="shared" si="29"/>
        <v>3797.4070000000002</v>
      </c>
      <c r="X96" s="169">
        <f t="shared" si="30"/>
        <v>3102.5929999999998</v>
      </c>
      <c r="Y96" s="169">
        <f t="shared" si="31"/>
        <v>468.17899999999997</v>
      </c>
      <c r="AB96" s="1390" t="s">
        <v>403</v>
      </c>
      <c r="AC96" s="1391">
        <v>103853190</v>
      </c>
      <c r="AD96" s="169">
        <f t="shared" si="32"/>
        <v>103853.19</v>
      </c>
      <c r="AG96" s="1390" t="s">
        <v>599</v>
      </c>
      <c r="AH96" s="1391">
        <v>916300</v>
      </c>
      <c r="AI96" s="1391">
        <v>916300</v>
      </c>
      <c r="AJ96" s="1391">
        <v>916300</v>
      </c>
      <c r="AK96" s="1391">
        <v>0</v>
      </c>
      <c r="AL96" s="1407">
        <f t="shared" si="33"/>
        <v>916.3</v>
      </c>
      <c r="AM96" s="1407">
        <f t="shared" si="34"/>
        <v>916.3</v>
      </c>
      <c r="AN96" s="1407">
        <f t="shared" si="35"/>
        <v>916.3</v>
      </c>
      <c r="AO96" s="1407">
        <f t="shared" si="36"/>
        <v>0</v>
      </c>
      <c r="AR96" s="1390" t="s">
        <v>494</v>
      </c>
      <c r="AS96" s="169">
        <v>1041250</v>
      </c>
      <c r="AT96" s="169">
        <f t="shared" si="37"/>
        <v>1041.25</v>
      </c>
      <c r="AW96" s="1390" t="s">
        <v>598</v>
      </c>
      <c r="AX96" s="840">
        <v>0</v>
      </c>
      <c r="AY96" s="840">
        <v>0</v>
      </c>
      <c r="AZ96" s="840">
        <v>0</v>
      </c>
      <c r="BA96" s="840">
        <v>0</v>
      </c>
      <c r="BB96" s="169">
        <f t="shared" si="38"/>
        <v>0</v>
      </c>
      <c r="BC96" s="169">
        <f t="shared" si="39"/>
        <v>0</v>
      </c>
      <c r="BD96" s="169">
        <f t="shared" si="40"/>
        <v>0</v>
      </c>
      <c r="BE96" s="169">
        <f t="shared" si="41"/>
        <v>0</v>
      </c>
    </row>
    <row r="97" spans="1:57" ht="15" customHeight="1" x14ac:dyDescent="0.35">
      <c r="A97" s="841" t="s">
        <v>397</v>
      </c>
      <c r="B97" s="1115">
        <v>1912967</v>
      </c>
      <c r="C97" s="1115">
        <v>172550</v>
      </c>
      <c r="D97" s="1115">
        <v>1740417</v>
      </c>
      <c r="E97" s="1115">
        <v>172550</v>
      </c>
      <c r="F97" s="1115">
        <f t="shared" si="23"/>
        <v>1912.9670000000001</v>
      </c>
      <c r="G97" s="1115">
        <f t="shared" si="24"/>
        <v>172.55</v>
      </c>
      <c r="H97" s="1115">
        <f t="shared" si="25"/>
        <v>1740.4169999999999</v>
      </c>
      <c r="I97" s="1115">
        <f t="shared" si="26"/>
        <v>172.55</v>
      </c>
      <c r="N97" s="1115"/>
      <c r="Q97" s="94" t="s">
        <v>397</v>
      </c>
      <c r="R97" s="840">
        <v>1912967</v>
      </c>
      <c r="S97" s="840">
        <v>303650</v>
      </c>
      <c r="T97" s="840">
        <v>1609317</v>
      </c>
      <c r="U97" s="840">
        <v>303650</v>
      </c>
      <c r="V97" s="169">
        <f t="shared" si="28"/>
        <v>1912.9670000000001</v>
      </c>
      <c r="W97" s="169">
        <f t="shared" si="29"/>
        <v>303.64999999999998</v>
      </c>
      <c r="X97" s="169">
        <f t="shared" si="30"/>
        <v>1609.317</v>
      </c>
      <c r="Y97" s="169">
        <f t="shared" si="31"/>
        <v>303.64999999999998</v>
      </c>
      <c r="AB97" s="1390" t="s">
        <v>404</v>
      </c>
      <c r="AC97" s="1391">
        <v>91114114</v>
      </c>
      <c r="AD97" s="169">
        <f t="shared" si="32"/>
        <v>91114.114000000001</v>
      </c>
      <c r="AG97" s="1390" t="s">
        <v>600</v>
      </c>
      <c r="AH97" s="1391">
        <v>6900000</v>
      </c>
      <c r="AI97" s="1391">
        <v>936358</v>
      </c>
      <c r="AJ97" s="1391">
        <v>3797407</v>
      </c>
      <c r="AK97" s="1391">
        <v>3102593</v>
      </c>
      <c r="AL97" s="1407">
        <f t="shared" si="33"/>
        <v>6900</v>
      </c>
      <c r="AM97" s="1407">
        <f t="shared" si="34"/>
        <v>936.35799999999995</v>
      </c>
      <c r="AN97" s="1407">
        <f t="shared" si="35"/>
        <v>3797.4070000000002</v>
      </c>
      <c r="AO97" s="1407">
        <f t="shared" si="36"/>
        <v>3102.5929999999998</v>
      </c>
      <c r="AR97" s="1390" t="s">
        <v>606</v>
      </c>
      <c r="AS97" s="169">
        <v>0</v>
      </c>
      <c r="AT97" s="169">
        <f t="shared" si="37"/>
        <v>0</v>
      </c>
      <c r="AW97" s="1390" t="s">
        <v>599</v>
      </c>
      <c r="AX97" s="840">
        <v>1118600</v>
      </c>
      <c r="AY97" s="840">
        <v>916300</v>
      </c>
      <c r="AZ97" s="840">
        <v>916300</v>
      </c>
      <c r="BA97" s="840">
        <v>202300</v>
      </c>
      <c r="BB97" s="169">
        <f t="shared" si="38"/>
        <v>1118.5999999999999</v>
      </c>
      <c r="BC97" s="169">
        <f t="shared" si="39"/>
        <v>916.3</v>
      </c>
      <c r="BD97" s="169">
        <f t="shared" si="40"/>
        <v>916.3</v>
      </c>
      <c r="BE97" s="169">
        <f t="shared" si="41"/>
        <v>202.3</v>
      </c>
    </row>
    <row r="98" spans="1:57" ht="15" customHeight="1" x14ac:dyDescent="0.35">
      <c r="A98" s="841" t="s">
        <v>398</v>
      </c>
      <c r="B98" s="1115">
        <v>1740416</v>
      </c>
      <c r="C98" s="1115">
        <v>0</v>
      </c>
      <c r="D98" s="1115">
        <v>1740416</v>
      </c>
      <c r="E98" s="1115">
        <v>0</v>
      </c>
      <c r="F98" s="1115">
        <f t="shared" si="23"/>
        <v>1740.4159999999999</v>
      </c>
      <c r="G98" s="1115">
        <f t="shared" si="24"/>
        <v>0</v>
      </c>
      <c r="H98" s="1115">
        <f t="shared" si="25"/>
        <v>1740.4159999999999</v>
      </c>
      <c r="I98" s="1115">
        <f t="shared" si="26"/>
        <v>0</v>
      </c>
      <c r="Q98" s="94" t="s">
        <v>398</v>
      </c>
      <c r="R98" s="840">
        <v>1609316</v>
      </c>
      <c r="S98" s="840">
        <v>0</v>
      </c>
      <c r="T98" s="840">
        <v>1609316</v>
      </c>
      <c r="U98" s="840">
        <v>0</v>
      </c>
      <c r="V98" s="169">
        <f t="shared" si="28"/>
        <v>1609.316</v>
      </c>
      <c r="W98" s="169">
        <f t="shared" si="29"/>
        <v>0</v>
      </c>
      <c r="X98" s="169">
        <f t="shared" si="30"/>
        <v>1609.316</v>
      </c>
      <c r="Y98" s="169">
        <f t="shared" si="31"/>
        <v>0</v>
      </c>
      <c r="AB98" s="1390" t="s">
        <v>604</v>
      </c>
      <c r="AC98" s="1391">
        <v>1799254</v>
      </c>
      <c r="AD98" s="169">
        <f t="shared" si="32"/>
        <v>1799.2539999999999</v>
      </c>
      <c r="AG98" s="1390" t="s">
        <v>397</v>
      </c>
      <c r="AH98" s="1391">
        <v>4819713</v>
      </c>
      <c r="AI98" s="1391">
        <v>4702919</v>
      </c>
      <c r="AJ98" s="1391">
        <v>4819713</v>
      </c>
      <c r="AK98" s="1391">
        <v>0</v>
      </c>
      <c r="AL98" s="1407">
        <f t="shared" si="33"/>
        <v>4819.7129999999997</v>
      </c>
      <c r="AM98" s="1407">
        <f t="shared" si="34"/>
        <v>4702.9189999999999</v>
      </c>
      <c r="AN98" s="1407">
        <f t="shared" si="35"/>
        <v>4819.7129999999997</v>
      </c>
      <c r="AO98" s="1407">
        <f t="shared" si="36"/>
        <v>0</v>
      </c>
      <c r="AR98" s="1390" t="s">
        <v>405</v>
      </c>
      <c r="AS98" s="169">
        <v>0</v>
      </c>
      <c r="AT98" s="169">
        <f t="shared" si="37"/>
        <v>0</v>
      </c>
      <c r="AW98" s="1390" t="s">
        <v>600</v>
      </c>
      <c r="AX98" s="840">
        <v>6900000</v>
      </c>
      <c r="AY98" s="840">
        <v>3797407</v>
      </c>
      <c r="AZ98" s="840">
        <v>936358</v>
      </c>
      <c r="BA98" s="840">
        <v>3102593</v>
      </c>
      <c r="BB98" s="169">
        <f t="shared" si="38"/>
        <v>6900</v>
      </c>
      <c r="BC98" s="169">
        <f t="shared" si="39"/>
        <v>3797.4070000000002</v>
      </c>
      <c r="BD98" s="169">
        <f t="shared" si="40"/>
        <v>936.35799999999995</v>
      </c>
      <c r="BE98" s="169">
        <f t="shared" si="41"/>
        <v>3102.5929999999998</v>
      </c>
    </row>
    <row r="99" spans="1:57" ht="15" customHeight="1" x14ac:dyDescent="0.35">
      <c r="A99" s="841" t="s">
        <v>399</v>
      </c>
      <c r="B99" s="1115">
        <v>172551</v>
      </c>
      <c r="C99" s="1115">
        <v>172550</v>
      </c>
      <c r="D99" s="1115">
        <v>1</v>
      </c>
      <c r="E99" s="1115">
        <v>172550</v>
      </c>
      <c r="F99" s="1115">
        <f t="shared" si="23"/>
        <v>172.55099999999999</v>
      </c>
      <c r="G99" s="1115">
        <f t="shared" si="24"/>
        <v>172.55</v>
      </c>
      <c r="H99" s="1115">
        <f t="shared" si="25"/>
        <v>1E-3</v>
      </c>
      <c r="I99" s="1115">
        <f t="shared" si="26"/>
        <v>172.55</v>
      </c>
      <c r="Q99" s="94" t="s">
        <v>399</v>
      </c>
      <c r="R99" s="840">
        <v>303651</v>
      </c>
      <c r="S99" s="840">
        <v>303650</v>
      </c>
      <c r="T99" s="840">
        <v>1</v>
      </c>
      <c r="U99" s="840">
        <v>303650</v>
      </c>
      <c r="V99" s="169">
        <f t="shared" si="28"/>
        <v>303.65100000000001</v>
      </c>
      <c r="W99" s="169">
        <f t="shared" si="29"/>
        <v>303.64999999999998</v>
      </c>
      <c r="X99" s="169">
        <f t="shared" si="30"/>
        <v>1E-3</v>
      </c>
      <c r="Y99" s="169">
        <f t="shared" si="31"/>
        <v>303.64999999999998</v>
      </c>
      <c r="AB99" s="1390" t="s">
        <v>605</v>
      </c>
      <c r="AC99" s="1391">
        <v>9898572</v>
      </c>
      <c r="AD99" s="169">
        <f t="shared" si="32"/>
        <v>9898.5720000000001</v>
      </c>
      <c r="AG99" s="1390" t="s">
        <v>398</v>
      </c>
      <c r="AH99" s="1391">
        <v>756079</v>
      </c>
      <c r="AI99" s="1391">
        <v>639285</v>
      </c>
      <c r="AJ99" s="1391">
        <v>756079</v>
      </c>
      <c r="AK99" s="1391">
        <v>0</v>
      </c>
      <c r="AL99" s="1407">
        <f t="shared" si="33"/>
        <v>756.07899999999995</v>
      </c>
      <c r="AM99" s="1407">
        <f t="shared" si="34"/>
        <v>639.28499999999997</v>
      </c>
      <c r="AN99" s="1407">
        <f t="shared" si="35"/>
        <v>756.07899999999995</v>
      </c>
      <c r="AO99" s="1407">
        <f t="shared" si="36"/>
        <v>0</v>
      </c>
      <c r="AR99" s="1390" t="s">
        <v>607</v>
      </c>
      <c r="AS99" s="169">
        <v>0</v>
      </c>
      <c r="AT99" s="169">
        <f t="shared" si="37"/>
        <v>0</v>
      </c>
      <c r="AW99" s="1390" t="s">
        <v>397</v>
      </c>
      <c r="AX99" s="840">
        <v>8102193</v>
      </c>
      <c r="AY99" s="840">
        <v>8102193</v>
      </c>
      <c r="AZ99" s="840">
        <v>6153603</v>
      </c>
      <c r="BA99" s="840">
        <v>0</v>
      </c>
      <c r="BB99" s="169">
        <f t="shared" si="38"/>
        <v>8102.1930000000002</v>
      </c>
      <c r="BC99" s="169">
        <f t="shared" si="39"/>
        <v>8102.1930000000002</v>
      </c>
      <c r="BD99" s="169">
        <f t="shared" si="40"/>
        <v>6153.6030000000001</v>
      </c>
      <c r="BE99" s="169">
        <f t="shared" si="41"/>
        <v>0</v>
      </c>
    </row>
    <row r="100" spans="1:57" ht="15" customHeight="1" x14ac:dyDescent="0.35">
      <c r="A100" s="841" t="s">
        <v>400</v>
      </c>
      <c r="B100" s="1115">
        <v>336456991</v>
      </c>
      <c r="C100" s="1115">
        <v>145485702</v>
      </c>
      <c r="D100" s="1115">
        <v>190971289</v>
      </c>
      <c r="E100" s="1115">
        <v>29763464</v>
      </c>
      <c r="F100" s="1115">
        <f t="shared" si="23"/>
        <v>336456.99099999998</v>
      </c>
      <c r="G100" s="1115">
        <f t="shared" si="24"/>
        <v>145485.70199999999</v>
      </c>
      <c r="H100" s="1115">
        <f t="shared" si="25"/>
        <v>190971.28899999999</v>
      </c>
      <c r="I100" s="1115">
        <f t="shared" si="26"/>
        <v>29763.464</v>
      </c>
      <c r="Q100" s="94" t="s">
        <v>400</v>
      </c>
      <c r="R100" s="840">
        <v>349016500</v>
      </c>
      <c r="S100" s="840">
        <v>185721259</v>
      </c>
      <c r="T100" s="840">
        <v>163295241</v>
      </c>
      <c r="U100" s="840">
        <v>48355217</v>
      </c>
      <c r="V100" s="169">
        <f t="shared" si="28"/>
        <v>349016.5</v>
      </c>
      <c r="W100" s="169">
        <f t="shared" si="29"/>
        <v>185721.25899999999</v>
      </c>
      <c r="X100" s="169">
        <f t="shared" si="30"/>
        <v>163295.24100000001</v>
      </c>
      <c r="Y100" s="169">
        <f t="shared" si="31"/>
        <v>48355.216999999997</v>
      </c>
      <c r="AB100" s="1390" t="s">
        <v>494</v>
      </c>
      <c r="AC100" s="1391">
        <v>1041250</v>
      </c>
      <c r="AD100" s="169">
        <f t="shared" si="32"/>
        <v>1041.25</v>
      </c>
      <c r="AG100" s="1390" t="s">
        <v>399</v>
      </c>
      <c r="AH100" s="1391">
        <v>4063634</v>
      </c>
      <c r="AI100" s="1391">
        <v>4063634</v>
      </c>
      <c r="AJ100" s="1391">
        <v>4063634</v>
      </c>
      <c r="AK100" s="1391">
        <v>0</v>
      </c>
      <c r="AL100" s="1407">
        <f t="shared" si="33"/>
        <v>4063.634</v>
      </c>
      <c r="AM100" s="1407">
        <f t="shared" si="34"/>
        <v>4063.634</v>
      </c>
      <c r="AN100" s="1407">
        <f t="shared" si="35"/>
        <v>4063.634</v>
      </c>
      <c r="AO100" s="1407">
        <f t="shared" si="36"/>
        <v>0</v>
      </c>
      <c r="AR100" s="1390" t="s">
        <v>406</v>
      </c>
      <c r="AS100" s="169">
        <v>0</v>
      </c>
      <c r="AT100" s="169">
        <f t="shared" si="37"/>
        <v>0</v>
      </c>
      <c r="AW100" s="1390" t="s">
        <v>398</v>
      </c>
      <c r="AX100" s="840">
        <v>4038559</v>
      </c>
      <c r="AY100" s="840">
        <v>4038559</v>
      </c>
      <c r="AZ100" s="840">
        <v>2089969</v>
      </c>
      <c r="BA100" s="840">
        <v>0</v>
      </c>
      <c r="BB100" s="169">
        <f t="shared" si="38"/>
        <v>4038.5590000000002</v>
      </c>
      <c r="BC100" s="169">
        <f t="shared" si="39"/>
        <v>4038.5590000000002</v>
      </c>
      <c r="BD100" s="169">
        <f t="shared" si="40"/>
        <v>2089.9690000000001</v>
      </c>
      <c r="BE100" s="169">
        <f t="shared" si="41"/>
        <v>0</v>
      </c>
    </row>
    <row r="101" spans="1:57" ht="15" customHeight="1" x14ac:dyDescent="0.35">
      <c r="A101" s="841" t="s">
        <v>401</v>
      </c>
      <c r="B101" s="1115">
        <v>100114352</v>
      </c>
      <c r="C101" s="1115">
        <v>58801111</v>
      </c>
      <c r="D101" s="1115">
        <v>41313241</v>
      </c>
      <c r="E101" s="1115">
        <v>3800406</v>
      </c>
      <c r="F101" s="1115">
        <f t="shared" si="23"/>
        <v>100114.352</v>
      </c>
      <c r="G101" s="1115">
        <f t="shared" si="24"/>
        <v>58801.110999999997</v>
      </c>
      <c r="H101" s="1115">
        <f t="shared" si="25"/>
        <v>41313.241000000002</v>
      </c>
      <c r="I101" s="1115">
        <f t="shared" si="26"/>
        <v>3800.4059999999999</v>
      </c>
      <c r="Q101" s="94" t="s">
        <v>401</v>
      </c>
      <c r="R101" s="840">
        <v>99161134</v>
      </c>
      <c r="S101" s="840">
        <v>73518339</v>
      </c>
      <c r="T101" s="840">
        <v>25642795</v>
      </c>
      <c r="U101" s="840">
        <v>10757689</v>
      </c>
      <c r="V101" s="169">
        <f t="shared" si="28"/>
        <v>99161.134000000005</v>
      </c>
      <c r="W101" s="169">
        <f t="shared" si="29"/>
        <v>73518.339000000007</v>
      </c>
      <c r="X101" s="169">
        <f t="shared" si="30"/>
        <v>25642.794999999998</v>
      </c>
      <c r="Y101" s="169">
        <f t="shared" si="31"/>
        <v>10757.689</v>
      </c>
      <c r="AB101" s="1390" t="s">
        <v>606</v>
      </c>
      <c r="AC101" s="1391">
        <v>140742</v>
      </c>
      <c r="AD101" s="169">
        <f t="shared" si="32"/>
        <v>140.74199999999999</v>
      </c>
      <c r="AG101" s="1390" t="s">
        <v>400</v>
      </c>
      <c r="AH101" s="1391">
        <v>352736938</v>
      </c>
      <c r="AI101" s="1391">
        <v>84487130</v>
      </c>
      <c r="AJ101" s="1391">
        <v>217296885</v>
      </c>
      <c r="AK101" s="1391">
        <v>135440053</v>
      </c>
      <c r="AL101" s="1407">
        <f t="shared" si="33"/>
        <v>352736.93800000002</v>
      </c>
      <c r="AM101" s="1407">
        <f t="shared" si="34"/>
        <v>84487.13</v>
      </c>
      <c r="AN101" s="1407">
        <f t="shared" si="35"/>
        <v>217296.88500000001</v>
      </c>
      <c r="AO101" s="1407">
        <f t="shared" si="36"/>
        <v>135440.05300000001</v>
      </c>
      <c r="AR101" s="1390" t="s">
        <v>407</v>
      </c>
      <c r="AS101" s="169">
        <v>0</v>
      </c>
      <c r="AT101" s="169">
        <f t="shared" si="37"/>
        <v>0</v>
      </c>
      <c r="AW101" s="1390" t="s">
        <v>399</v>
      </c>
      <c r="AX101" s="840">
        <v>4063634</v>
      </c>
      <c r="AY101" s="840">
        <v>4063634</v>
      </c>
      <c r="AZ101" s="840">
        <v>4063634</v>
      </c>
      <c r="BA101" s="840">
        <v>0</v>
      </c>
      <c r="BB101" s="169">
        <f t="shared" si="38"/>
        <v>4063.634</v>
      </c>
      <c r="BC101" s="169">
        <f t="shared" si="39"/>
        <v>4063.634</v>
      </c>
      <c r="BD101" s="169">
        <f t="shared" si="40"/>
        <v>4063.634</v>
      </c>
      <c r="BE101" s="169">
        <f t="shared" si="41"/>
        <v>0</v>
      </c>
    </row>
    <row r="102" spans="1:57" ht="15" customHeight="1" x14ac:dyDescent="0.35">
      <c r="A102" s="841" t="s">
        <v>493</v>
      </c>
      <c r="B102" s="1115">
        <v>12000000</v>
      </c>
      <c r="C102" s="1115">
        <v>0</v>
      </c>
      <c r="D102" s="1115">
        <v>12000000</v>
      </c>
      <c r="E102" s="1115">
        <v>0</v>
      </c>
      <c r="F102" s="1115">
        <f t="shared" si="23"/>
        <v>12000</v>
      </c>
      <c r="G102" s="1115">
        <f t="shared" si="24"/>
        <v>0</v>
      </c>
      <c r="H102" s="1115">
        <f t="shared" si="25"/>
        <v>12000</v>
      </c>
      <c r="I102" s="1115">
        <f t="shared" si="26"/>
        <v>0</v>
      </c>
      <c r="Q102" s="94" t="s">
        <v>493</v>
      </c>
      <c r="R102" s="840">
        <v>10000000</v>
      </c>
      <c r="S102" s="840">
        <v>0</v>
      </c>
      <c r="T102" s="840">
        <v>10000000</v>
      </c>
      <c r="U102" s="840">
        <v>0</v>
      </c>
      <c r="V102" s="169">
        <f t="shared" si="28"/>
        <v>10000</v>
      </c>
      <c r="W102" s="169">
        <f t="shared" si="29"/>
        <v>0</v>
      </c>
      <c r="X102" s="169">
        <f t="shared" si="30"/>
        <v>10000</v>
      </c>
      <c r="Y102" s="169">
        <f t="shared" si="31"/>
        <v>0</v>
      </c>
      <c r="AB102" s="1390" t="s">
        <v>405</v>
      </c>
      <c r="AC102" s="1391">
        <v>140742</v>
      </c>
      <c r="AD102" s="169">
        <f t="shared" si="32"/>
        <v>140.74199999999999</v>
      </c>
      <c r="AG102" s="1390" t="s">
        <v>401</v>
      </c>
      <c r="AH102" s="1391">
        <v>99161134</v>
      </c>
      <c r="AI102" s="1391">
        <v>19519671</v>
      </c>
      <c r="AJ102" s="1391">
        <v>73518339</v>
      </c>
      <c r="AK102" s="1391">
        <v>25642795</v>
      </c>
      <c r="AL102" s="1407">
        <f t="shared" si="33"/>
        <v>99161.134000000005</v>
      </c>
      <c r="AM102" s="1407">
        <f t="shared" si="34"/>
        <v>19519.670999999998</v>
      </c>
      <c r="AN102" s="1407">
        <f t="shared" si="35"/>
        <v>73518.339000000007</v>
      </c>
      <c r="AO102" s="1407">
        <f t="shared" si="36"/>
        <v>25642.794999999998</v>
      </c>
      <c r="AR102" s="1390" t="s">
        <v>408</v>
      </c>
      <c r="AS102" s="169">
        <v>0</v>
      </c>
      <c r="AT102" s="169">
        <f t="shared" si="37"/>
        <v>0</v>
      </c>
      <c r="AW102" s="1390" t="s">
        <v>400</v>
      </c>
      <c r="AX102" s="840">
        <v>486161283</v>
      </c>
      <c r="AY102" s="840">
        <v>259933042</v>
      </c>
      <c r="AZ102" s="840">
        <v>118582606</v>
      </c>
      <c r="BA102" s="840">
        <v>226228241</v>
      </c>
      <c r="BB102" s="169">
        <f t="shared" si="38"/>
        <v>486161.283</v>
      </c>
      <c r="BC102" s="169">
        <f t="shared" si="39"/>
        <v>259933.04199999999</v>
      </c>
      <c r="BD102" s="169">
        <f t="shared" si="40"/>
        <v>118582.606</v>
      </c>
      <c r="BE102" s="169">
        <f t="shared" si="41"/>
        <v>226228.24100000001</v>
      </c>
    </row>
    <row r="103" spans="1:57" ht="15" customHeight="1" x14ac:dyDescent="0.35">
      <c r="A103" s="841" t="s">
        <v>994</v>
      </c>
      <c r="B103" s="1115">
        <v>0</v>
      </c>
      <c r="C103" s="1115">
        <v>0</v>
      </c>
      <c r="D103" s="1115">
        <v>0</v>
      </c>
      <c r="E103" s="1115">
        <v>0</v>
      </c>
      <c r="F103" s="1115">
        <f t="shared" si="23"/>
        <v>0</v>
      </c>
      <c r="G103" s="1115">
        <f t="shared" si="24"/>
        <v>0</v>
      </c>
      <c r="H103" s="1115">
        <f t="shared" si="25"/>
        <v>0</v>
      </c>
      <c r="I103" s="1115">
        <f t="shared" si="26"/>
        <v>0</v>
      </c>
      <c r="Q103" s="94" t="s">
        <v>994</v>
      </c>
      <c r="R103" s="840">
        <v>0</v>
      </c>
      <c r="S103" s="840">
        <v>0</v>
      </c>
      <c r="T103" s="840">
        <v>0</v>
      </c>
      <c r="U103" s="840">
        <v>0</v>
      </c>
      <c r="V103" s="169">
        <f t="shared" si="28"/>
        <v>0</v>
      </c>
      <c r="W103" s="169">
        <f t="shared" si="29"/>
        <v>0</v>
      </c>
      <c r="X103" s="169">
        <f t="shared" si="30"/>
        <v>0</v>
      </c>
      <c r="Y103" s="169">
        <f t="shared" si="31"/>
        <v>0</v>
      </c>
      <c r="AB103" s="1390" t="s">
        <v>607</v>
      </c>
      <c r="AC103" s="1391">
        <v>127042099</v>
      </c>
      <c r="AD103" s="169">
        <f t="shared" si="32"/>
        <v>127042.099</v>
      </c>
      <c r="AG103" s="1390" t="s">
        <v>493</v>
      </c>
      <c r="AH103" s="1391">
        <v>10000000</v>
      </c>
      <c r="AI103" s="1391">
        <v>0</v>
      </c>
      <c r="AJ103" s="1391">
        <v>0</v>
      </c>
      <c r="AK103" s="1391">
        <v>10000000</v>
      </c>
      <c r="AL103" s="1407">
        <f t="shared" si="33"/>
        <v>10000</v>
      </c>
      <c r="AM103" s="1407">
        <f t="shared" si="34"/>
        <v>0</v>
      </c>
      <c r="AN103" s="1407">
        <f t="shared" si="35"/>
        <v>0</v>
      </c>
      <c r="AO103" s="1407">
        <f t="shared" si="36"/>
        <v>10000</v>
      </c>
      <c r="AR103" s="1390" t="s">
        <v>608</v>
      </c>
      <c r="AS103" s="169">
        <v>6981720</v>
      </c>
      <c r="AT103" s="169">
        <f t="shared" si="37"/>
        <v>6981.72</v>
      </c>
      <c r="AW103" s="1390" t="s">
        <v>401</v>
      </c>
      <c r="AX103" s="840">
        <v>101783730</v>
      </c>
      <c r="AY103" s="840">
        <v>83675803</v>
      </c>
      <c r="AZ103" s="840">
        <v>27073354</v>
      </c>
      <c r="BA103" s="840">
        <v>18107927</v>
      </c>
      <c r="BB103" s="169">
        <f t="shared" si="38"/>
        <v>101783.73</v>
      </c>
      <c r="BC103" s="169">
        <f t="shared" si="39"/>
        <v>83675.803</v>
      </c>
      <c r="BD103" s="169">
        <f t="shared" si="40"/>
        <v>27073.353999999999</v>
      </c>
      <c r="BE103" s="169">
        <f t="shared" si="41"/>
        <v>18107.927</v>
      </c>
    </row>
    <row r="104" spans="1:57" ht="15" customHeight="1" x14ac:dyDescent="0.35">
      <c r="A104" s="841" t="s">
        <v>601</v>
      </c>
      <c r="B104" s="1115">
        <v>159210458</v>
      </c>
      <c r="C104" s="1115">
        <v>55075027</v>
      </c>
      <c r="D104" s="1115">
        <v>104135431</v>
      </c>
      <c r="E104" s="1115">
        <v>18610264</v>
      </c>
      <c r="F104" s="1115">
        <f t="shared" si="23"/>
        <v>159210.45800000001</v>
      </c>
      <c r="G104" s="1115">
        <f t="shared" si="24"/>
        <v>55075.027000000002</v>
      </c>
      <c r="H104" s="1115">
        <f t="shared" si="25"/>
        <v>104135.431</v>
      </c>
      <c r="I104" s="1115">
        <f t="shared" si="26"/>
        <v>18610.263999999999</v>
      </c>
      <c r="Q104" s="94" t="s">
        <v>601</v>
      </c>
      <c r="R104" s="840">
        <v>159666208</v>
      </c>
      <c r="S104" s="840">
        <v>68077216</v>
      </c>
      <c r="T104" s="840">
        <v>91588992</v>
      </c>
      <c r="U104" s="840">
        <v>26211833</v>
      </c>
      <c r="V104" s="169">
        <f t="shared" si="28"/>
        <v>159666.20800000001</v>
      </c>
      <c r="W104" s="169">
        <f t="shared" si="29"/>
        <v>68077.216</v>
      </c>
      <c r="X104" s="169">
        <f t="shared" si="30"/>
        <v>91588.991999999998</v>
      </c>
      <c r="Y104" s="169">
        <f t="shared" si="31"/>
        <v>26211.832999999999</v>
      </c>
      <c r="AB104" s="1390" t="s">
        <v>406</v>
      </c>
      <c r="AC104" s="1391">
        <v>58825000</v>
      </c>
      <c r="AD104" s="169">
        <f t="shared" si="32"/>
        <v>58825</v>
      </c>
      <c r="AG104" s="1390" t="s">
        <v>994</v>
      </c>
      <c r="AH104" s="1391">
        <v>0</v>
      </c>
      <c r="AI104" s="1391">
        <v>0</v>
      </c>
      <c r="AJ104" s="1391">
        <v>0</v>
      </c>
      <c r="AK104" s="1391">
        <v>0</v>
      </c>
      <c r="AL104" s="1407">
        <f t="shared" si="33"/>
        <v>0</v>
      </c>
      <c r="AM104" s="1407">
        <f t="shared" si="34"/>
        <v>0</v>
      </c>
      <c r="AN104" s="1407">
        <f t="shared" si="35"/>
        <v>0</v>
      </c>
      <c r="AO104" s="1407">
        <f t="shared" si="36"/>
        <v>0</v>
      </c>
      <c r="AR104" s="1390" t="s">
        <v>410</v>
      </c>
      <c r="AS104" s="169">
        <v>1448220</v>
      </c>
      <c r="AT104" s="169">
        <f t="shared" si="37"/>
        <v>1448.22</v>
      </c>
      <c r="AW104" s="1390" t="s">
        <v>493</v>
      </c>
      <c r="AX104" s="840">
        <v>8000000</v>
      </c>
      <c r="AY104" s="840">
        <v>0</v>
      </c>
      <c r="AZ104" s="840">
        <v>0</v>
      </c>
      <c r="BA104" s="840">
        <v>8000000</v>
      </c>
      <c r="BB104" s="169">
        <f t="shared" si="38"/>
        <v>8000</v>
      </c>
      <c r="BC104" s="169">
        <f t="shared" si="39"/>
        <v>0</v>
      </c>
      <c r="BD104" s="169">
        <f t="shared" si="40"/>
        <v>0</v>
      </c>
      <c r="BE104" s="169">
        <f t="shared" si="41"/>
        <v>8000</v>
      </c>
    </row>
    <row r="105" spans="1:57" ht="15" customHeight="1" x14ac:dyDescent="0.35">
      <c r="A105" s="841" t="s">
        <v>602</v>
      </c>
      <c r="B105" s="1115">
        <v>56104597</v>
      </c>
      <c r="C105" s="1115">
        <v>25717990</v>
      </c>
      <c r="D105" s="1115">
        <v>30386607</v>
      </c>
      <c r="E105" s="1115">
        <v>2440000</v>
      </c>
      <c r="F105" s="1115">
        <f t="shared" si="23"/>
        <v>56104.597000000002</v>
      </c>
      <c r="G105" s="1115">
        <f t="shared" si="24"/>
        <v>25717.99</v>
      </c>
      <c r="H105" s="1115">
        <f t="shared" si="25"/>
        <v>30386.607</v>
      </c>
      <c r="I105" s="1115">
        <f t="shared" si="26"/>
        <v>2440</v>
      </c>
      <c r="Q105" s="94" t="s">
        <v>602</v>
      </c>
      <c r="R105" s="840">
        <v>56104597</v>
      </c>
      <c r="S105" s="840">
        <v>35601990</v>
      </c>
      <c r="T105" s="840">
        <v>20502607</v>
      </c>
      <c r="U105" s="840">
        <v>4934000</v>
      </c>
      <c r="V105" s="169">
        <f t="shared" si="28"/>
        <v>56104.597000000002</v>
      </c>
      <c r="W105" s="169">
        <f t="shared" si="29"/>
        <v>35601.99</v>
      </c>
      <c r="X105" s="169">
        <f t="shared" si="30"/>
        <v>20502.607</v>
      </c>
      <c r="Y105" s="169">
        <f t="shared" si="31"/>
        <v>4934</v>
      </c>
      <c r="AB105" s="1390" t="s">
        <v>407</v>
      </c>
      <c r="AC105" s="1391">
        <v>0</v>
      </c>
      <c r="AD105" s="169">
        <f t="shared" si="32"/>
        <v>0</v>
      </c>
      <c r="AG105" s="1390" t="s">
        <v>601</v>
      </c>
      <c r="AH105" s="1391">
        <v>161198186</v>
      </c>
      <c r="AI105" s="1391">
        <v>41259774</v>
      </c>
      <c r="AJ105" s="1391">
        <v>77547477</v>
      </c>
      <c r="AK105" s="1391">
        <v>83650709</v>
      </c>
      <c r="AL105" s="1407">
        <f t="shared" si="33"/>
        <v>161198.18599999999</v>
      </c>
      <c r="AM105" s="1407">
        <f t="shared" si="34"/>
        <v>41259.773999999998</v>
      </c>
      <c r="AN105" s="1407">
        <f t="shared" si="35"/>
        <v>77547.476999999999</v>
      </c>
      <c r="AO105" s="1407">
        <f t="shared" si="36"/>
        <v>83650.709000000003</v>
      </c>
      <c r="AR105" s="1390" t="s">
        <v>609</v>
      </c>
      <c r="AS105" s="169">
        <v>5533500</v>
      </c>
      <c r="AT105" s="169">
        <f t="shared" si="37"/>
        <v>5533.5</v>
      </c>
      <c r="AW105" s="1390" t="s">
        <v>994</v>
      </c>
      <c r="AX105" s="840">
        <v>0</v>
      </c>
      <c r="AY105" s="840">
        <v>0</v>
      </c>
      <c r="AZ105" s="840">
        <v>0</v>
      </c>
      <c r="BA105" s="840">
        <v>0</v>
      </c>
      <c r="BB105" s="169">
        <f t="shared" si="38"/>
        <v>0</v>
      </c>
      <c r="BC105" s="169">
        <f t="shared" si="39"/>
        <v>0</v>
      </c>
      <c r="BD105" s="169">
        <f t="shared" si="40"/>
        <v>0</v>
      </c>
      <c r="BE105" s="169">
        <f t="shared" si="41"/>
        <v>0</v>
      </c>
    </row>
    <row r="106" spans="1:57" ht="15" customHeight="1" x14ac:dyDescent="0.35">
      <c r="A106" s="841" t="s">
        <v>603</v>
      </c>
      <c r="B106" s="1115">
        <v>3300000</v>
      </c>
      <c r="C106" s="1115">
        <v>1663992</v>
      </c>
      <c r="D106" s="1115">
        <v>1636008</v>
      </c>
      <c r="E106" s="1115">
        <v>685212</v>
      </c>
      <c r="F106" s="1115">
        <f t="shared" si="23"/>
        <v>3300</v>
      </c>
      <c r="G106" s="1115">
        <f t="shared" si="24"/>
        <v>1663.992</v>
      </c>
      <c r="H106" s="1115">
        <f t="shared" si="25"/>
        <v>1636.008</v>
      </c>
      <c r="I106" s="1115">
        <f t="shared" si="26"/>
        <v>685.21199999999999</v>
      </c>
      <c r="Q106" s="94" t="s">
        <v>603</v>
      </c>
      <c r="R106" s="840">
        <v>2300000</v>
      </c>
      <c r="S106" s="840">
        <v>1975632</v>
      </c>
      <c r="T106" s="840">
        <v>324368</v>
      </c>
      <c r="U106" s="840">
        <v>1450613</v>
      </c>
      <c r="V106" s="169">
        <f t="shared" si="28"/>
        <v>2300</v>
      </c>
      <c r="W106" s="169">
        <f t="shared" si="29"/>
        <v>1975.6320000000001</v>
      </c>
      <c r="X106" s="169">
        <f t="shared" si="30"/>
        <v>324.36799999999999</v>
      </c>
      <c r="Y106" s="169">
        <f t="shared" si="31"/>
        <v>1450.6130000000001</v>
      </c>
      <c r="AB106" s="1390" t="s">
        <v>408</v>
      </c>
      <c r="AC106" s="1391">
        <v>68217099</v>
      </c>
      <c r="AD106" s="169">
        <f t="shared" si="32"/>
        <v>68217.099000000002</v>
      </c>
      <c r="AG106" s="1390" t="s">
        <v>602</v>
      </c>
      <c r="AH106" s="1391">
        <v>55762750</v>
      </c>
      <c r="AI106" s="1391">
        <v>11025500</v>
      </c>
      <c r="AJ106" s="1391">
        <v>48862654</v>
      </c>
      <c r="AK106" s="1391">
        <v>6900096</v>
      </c>
      <c r="AL106" s="1407">
        <f t="shared" si="33"/>
        <v>55762.75</v>
      </c>
      <c r="AM106" s="1407">
        <f t="shared" si="34"/>
        <v>11025.5</v>
      </c>
      <c r="AN106" s="1407">
        <f t="shared" si="35"/>
        <v>48862.654000000002</v>
      </c>
      <c r="AO106" s="1407">
        <f t="shared" si="36"/>
        <v>6900.0959999999995</v>
      </c>
      <c r="AR106" s="1390" t="s">
        <v>411</v>
      </c>
      <c r="AS106" s="169">
        <v>0</v>
      </c>
      <c r="AT106" s="169">
        <f t="shared" si="37"/>
        <v>0</v>
      </c>
      <c r="AW106" s="1390" t="s">
        <v>601</v>
      </c>
      <c r="AX106" s="840">
        <v>162731355</v>
      </c>
      <c r="AY106" s="840">
        <v>93083011</v>
      </c>
      <c r="AZ106" s="840">
        <v>55800558</v>
      </c>
      <c r="BA106" s="840">
        <v>69648344</v>
      </c>
      <c r="BB106" s="169">
        <f t="shared" si="38"/>
        <v>162731.35500000001</v>
      </c>
      <c r="BC106" s="169">
        <f t="shared" si="39"/>
        <v>93083.010999999999</v>
      </c>
      <c r="BD106" s="169">
        <f t="shared" si="40"/>
        <v>55800.557999999997</v>
      </c>
      <c r="BE106" s="169">
        <f t="shared" si="41"/>
        <v>69648.343999999997</v>
      </c>
    </row>
    <row r="107" spans="1:57" ht="15" customHeight="1" x14ac:dyDescent="0.35">
      <c r="A107" s="841" t="s">
        <v>402</v>
      </c>
      <c r="B107" s="1115">
        <v>5727584</v>
      </c>
      <c r="C107" s="1115">
        <v>4227582</v>
      </c>
      <c r="D107" s="1115">
        <v>1500002</v>
      </c>
      <c r="E107" s="1115">
        <v>4227582</v>
      </c>
      <c r="F107" s="1115">
        <f t="shared" si="23"/>
        <v>5727.5839999999998</v>
      </c>
      <c r="G107" s="1115">
        <f t="shared" si="24"/>
        <v>4227.5820000000003</v>
      </c>
      <c r="H107" s="1115">
        <f t="shared" si="25"/>
        <v>1500.002</v>
      </c>
      <c r="I107" s="1115">
        <f t="shared" si="26"/>
        <v>4227.5820000000003</v>
      </c>
      <c r="Q107" s="94" t="s">
        <v>402</v>
      </c>
      <c r="R107" s="840">
        <v>21784561</v>
      </c>
      <c r="S107" s="840">
        <v>6548082</v>
      </c>
      <c r="T107" s="840">
        <v>15236479</v>
      </c>
      <c r="U107" s="840">
        <v>5001082</v>
      </c>
      <c r="V107" s="169">
        <f t="shared" si="28"/>
        <v>21784.561000000002</v>
      </c>
      <c r="W107" s="169">
        <f t="shared" si="29"/>
        <v>6548.0820000000003</v>
      </c>
      <c r="X107" s="169">
        <f t="shared" si="30"/>
        <v>15236.478999999999</v>
      </c>
      <c r="Y107" s="169">
        <f t="shared" si="31"/>
        <v>5001.0820000000003</v>
      </c>
      <c r="AB107" s="1390" t="s">
        <v>409</v>
      </c>
      <c r="AC107" s="1391">
        <v>0</v>
      </c>
      <c r="AD107" s="169">
        <f t="shared" si="32"/>
        <v>0</v>
      </c>
      <c r="AG107" s="1390" t="s">
        <v>603</v>
      </c>
      <c r="AH107" s="1391">
        <v>2503154</v>
      </c>
      <c r="AI107" s="1391">
        <v>1762253</v>
      </c>
      <c r="AJ107" s="1391">
        <v>2239394</v>
      </c>
      <c r="AK107" s="1391">
        <v>263760</v>
      </c>
      <c r="AL107" s="1407">
        <f t="shared" si="33"/>
        <v>2503.154</v>
      </c>
      <c r="AM107" s="1407">
        <f t="shared" si="34"/>
        <v>1762.2529999999999</v>
      </c>
      <c r="AN107" s="1407">
        <f t="shared" si="35"/>
        <v>2239.3939999999998</v>
      </c>
      <c r="AO107" s="1407">
        <f t="shared" si="36"/>
        <v>263.76</v>
      </c>
      <c r="AR107" s="1390" t="s">
        <v>412</v>
      </c>
      <c r="AS107" s="169">
        <v>1775469</v>
      </c>
      <c r="AT107" s="169">
        <f t="shared" si="37"/>
        <v>1775.4690000000001</v>
      </c>
      <c r="AW107" s="1390" t="s">
        <v>602</v>
      </c>
      <c r="AX107" s="840">
        <v>67623662</v>
      </c>
      <c r="AY107" s="840">
        <v>64394654</v>
      </c>
      <c r="AZ107" s="840">
        <v>17834500</v>
      </c>
      <c r="BA107" s="840">
        <v>3229008</v>
      </c>
      <c r="BB107" s="169">
        <f t="shared" si="38"/>
        <v>67623.661999999997</v>
      </c>
      <c r="BC107" s="169">
        <f t="shared" si="39"/>
        <v>64394.654000000002</v>
      </c>
      <c r="BD107" s="169">
        <f t="shared" si="40"/>
        <v>17834.5</v>
      </c>
      <c r="BE107" s="169">
        <f t="shared" si="41"/>
        <v>3229.0079999999998</v>
      </c>
    </row>
    <row r="108" spans="1:57" ht="15" customHeight="1" x14ac:dyDescent="0.35">
      <c r="A108" s="841" t="s">
        <v>403</v>
      </c>
      <c r="B108" s="1115">
        <v>791977568</v>
      </c>
      <c r="C108" s="1115">
        <v>647146000</v>
      </c>
      <c r="D108" s="1115">
        <v>144831568</v>
      </c>
      <c r="E108" s="1115">
        <v>63647631</v>
      </c>
      <c r="F108" s="1115">
        <f t="shared" si="23"/>
        <v>791977.56799999997</v>
      </c>
      <c r="G108" s="1115">
        <f t="shared" si="24"/>
        <v>647146</v>
      </c>
      <c r="H108" s="1115">
        <f t="shared" si="25"/>
        <v>144831.568</v>
      </c>
      <c r="I108" s="1115">
        <f t="shared" si="26"/>
        <v>63647.631000000001</v>
      </c>
      <c r="Q108" s="94" t="s">
        <v>403</v>
      </c>
      <c r="R108" s="840">
        <v>740377568</v>
      </c>
      <c r="S108" s="840">
        <v>600752250</v>
      </c>
      <c r="T108" s="840">
        <v>139625318</v>
      </c>
      <c r="U108" s="840">
        <v>85010794</v>
      </c>
      <c r="V108" s="169">
        <f t="shared" si="28"/>
        <v>740377.56799999997</v>
      </c>
      <c r="W108" s="169">
        <f t="shared" si="29"/>
        <v>600752.25</v>
      </c>
      <c r="X108" s="169">
        <f t="shared" si="30"/>
        <v>139625.318</v>
      </c>
      <c r="Y108" s="169">
        <f t="shared" si="31"/>
        <v>85010.793999999994</v>
      </c>
      <c r="AB108" s="1390" t="s">
        <v>608</v>
      </c>
      <c r="AC108" s="1391">
        <v>205978</v>
      </c>
      <c r="AD108" s="169">
        <f t="shared" si="32"/>
        <v>205.97800000000001</v>
      </c>
      <c r="AG108" s="1390" t="s">
        <v>402</v>
      </c>
      <c r="AH108" s="1391">
        <v>24111714</v>
      </c>
      <c r="AI108" s="1391">
        <v>10919932</v>
      </c>
      <c r="AJ108" s="1391">
        <v>15129021</v>
      </c>
      <c r="AK108" s="1391">
        <v>8982693</v>
      </c>
      <c r="AL108" s="1407">
        <f t="shared" si="33"/>
        <v>24111.714</v>
      </c>
      <c r="AM108" s="1407">
        <f t="shared" si="34"/>
        <v>10919.932000000001</v>
      </c>
      <c r="AN108" s="1407">
        <f t="shared" si="35"/>
        <v>15129.021000000001</v>
      </c>
      <c r="AO108" s="1407">
        <f t="shared" si="36"/>
        <v>8982.6929999999993</v>
      </c>
      <c r="AR108" s="1390" t="s">
        <v>413</v>
      </c>
      <c r="AS108" s="169">
        <v>1775469</v>
      </c>
      <c r="AT108" s="169">
        <f t="shared" si="37"/>
        <v>1775.4690000000001</v>
      </c>
      <c r="AW108" s="1390" t="s">
        <v>603</v>
      </c>
      <c r="AX108" s="840">
        <v>2503154</v>
      </c>
      <c r="AY108" s="840">
        <v>2503154</v>
      </c>
      <c r="AZ108" s="840">
        <v>2371274</v>
      </c>
      <c r="BA108" s="840">
        <v>0</v>
      </c>
      <c r="BB108" s="169">
        <f t="shared" si="38"/>
        <v>2503.154</v>
      </c>
      <c r="BC108" s="169">
        <f t="shared" si="39"/>
        <v>2503.154</v>
      </c>
      <c r="BD108" s="169">
        <f t="shared" si="40"/>
        <v>2371.2739999999999</v>
      </c>
      <c r="BE108" s="169">
        <f t="shared" si="41"/>
        <v>0</v>
      </c>
    </row>
    <row r="109" spans="1:57" ht="15" customHeight="1" x14ac:dyDescent="0.35">
      <c r="A109" s="841" t="s">
        <v>404</v>
      </c>
      <c r="B109" s="1115">
        <v>656797568</v>
      </c>
      <c r="C109" s="1115">
        <v>570266000</v>
      </c>
      <c r="D109" s="1115">
        <v>86531568</v>
      </c>
      <c r="E109" s="1115">
        <v>56732254</v>
      </c>
      <c r="F109" s="1115">
        <f t="shared" si="23"/>
        <v>656797.56799999997</v>
      </c>
      <c r="G109" s="1115">
        <f t="shared" si="24"/>
        <v>570266</v>
      </c>
      <c r="H109" s="1115">
        <f t="shared" si="25"/>
        <v>86531.567999999999</v>
      </c>
      <c r="I109" s="1115">
        <f t="shared" si="26"/>
        <v>56732.254000000001</v>
      </c>
      <c r="Q109" s="94" t="s">
        <v>404</v>
      </c>
      <c r="R109" s="840">
        <v>605197568</v>
      </c>
      <c r="S109" s="840">
        <v>518666000</v>
      </c>
      <c r="T109" s="840">
        <v>86531568</v>
      </c>
      <c r="U109" s="840">
        <v>75328657</v>
      </c>
      <c r="V109" s="169">
        <f t="shared" si="28"/>
        <v>605197.56799999997</v>
      </c>
      <c r="W109" s="169">
        <f t="shared" si="29"/>
        <v>518666</v>
      </c>
      <c r="X109" s="169">
        <f t="shared" si="30"/>
        <v>86531.567999999999</v>
      </c>
      <c r="Y109" s="169">
        <f t="shared" si="31"/>
        <v>75328.657000000007</v>
      </c>
      <c r="AB109" s="1390" t="s">
        <v>410</v>
      </c>
      <c r="AC109" s="1391">
        <v>205978</v>
      </c>
      <c r="AD109" s="169">
        <f t="shared" si="32"/>
        <v>205.97800000000001</v>
      </c>
      <c r="AG109" s="1390" t="s">
        <v>403</v>
      </c>
      <c r="AH109" s="1391">
        <v>642645496</v>
      </c>
      <c r="AI109" s="1391">
        <v>188863984</v>
      </c>
      <c r="AJ109" s="1391">
        <v>524560131</v>
      </c>
      <c r="AK109" s="1391">
        <v>118085365</v>
      </c>
      <c r="AL109" s="1407">
        <f t="shared" si="33"/>
        <v>642645.49600000004</v>
      </c>
      <c r="AM109" s="1407">
        <f t="shared" si="34"/>
        <v>188863.984</v>
      </c>
      <c r="AN109" s="1407">
        <f t="shared" si="35"/>
        <v>524560.13100000005</v>
      </c>
      <c r="AO109" s="1407">
        <f t="shared" si="36"/>
        <v>118085.36500000001</v>
      </c>
      <c r="AR109" s="1390" t="s">
        <v>532</v>
      </c>
      <c r="AS109" s="169">
        <v>1775469</v>
      </c>
      <c r="AT109" s="169">
        <f t="shared" si="37"/>
        <v>1775.4690000000001</v>
      </c>
      <c r="AW109" s="1390" t="s">
        <v>402</v>
      </c>
      <c r="AX109" s="840">
        <v>143519382</v>
      </c>
      <c r="AY109" s="840">
        <v>16276420</v>
      </c>
      <c r="AZ109" s="840">
        <v>15502920</v>
      </c>
      <c r="BA109" s="840">
        <v>127242962</v>
      </c>
      <c r="BB109" s="169">
        <f t="shared" si="38"/>
        <v>143519.38200000001</v>
      </c>
      <c r="BC109" s="169">
        <f t="shared" si="39"/>
        <v>16276.42</v>
      </c>
      <c r="BD109" s="169">
        <f t="shared" si="40"/>
        <v>15502.92</v>
      </c>
      <c r="BE109" s="169">
        <f t="shared" si="41"/>
        <v>127242.962</v>
      </c>
    </row>
    <row r="110" spans="1:57" ht="15" customHeight="1" x14ac:dyDescent="0.35">
      <c r="A110" s="841" t="s">
        <v>604</v>
      </c>
      <c r="B110" s="1115">
        <v>37080000</v>
      </c>
      <c r="C110" s="1115">
        <v>29880000</v>
      </c>
      <c r="D110" s="1115">
        <v>7200000</v>
      </c>
      <c r="E110" s="1115">
        <v>1830399</v>
      </c>
      <c r="F110" s="1115">
        <f t="shared" si="23"/>
        <v>37080</v>
      </c>
      <c r="G110" s="1115">
        <f t="shared" si="24"/>
        <v>29880</v>
      </c>
      <c r="H110" s="1115">
        <f t="shared" si="25"/>
        <v>7200</v>
      </c>
      <c r="I110" s="1115">
        <f t="shared" si="26"/>
        <v>1830.3989999999999</v>
      </c>
      <c r="Q110" s="94" t="s">
        <v>604</v>
      </c>
      <c r="R110" s="840">
        <v>37080000</v>
      </c>
      <c r="S110" s="840">
        <v>29880000</v>
      </c>
      <c r="T110" s="840">
        <v>7200000</v>
      </c>
      <c r="U110" s="840">
        <v>3555909</v>
      </c>
      <c r="V110" s="169">
        <f t="shared" si="28"/>
        <v>37080</v>
      </c>
      <c r="W110" s="169">
        <f t="shared" si="29"/>
        <v>29880</v>
      </c>
      <c r="X110" s="169">
        <f t="shared" si="30"/>
        <v>7200</v>
      </c>
      <c r="Y110" s="169">
        <f t="shared" si="31"/>
        <v>3555.9090000000001</v>
      </c>
      <c r="AB110" s="1390" t="s">
        <v>609</v>
      </c>
      <c r="AC110" s="1391">
        <v>0</v>
      </c>
      <c r="AD110" s="169">
        <f t="shared" si="32"/>
        <v>0</v>
      </c>
      <c r="AG110" s="1390" t="s">
        <v>404</v>
      </c>
      <c r="AH110" s="1391">
        <v>526215496</v>
      </c>
      <c r="AI110" s="1391">
        <v>166442771</v>
      </c>
      <c r="AJ110" s="1391">
        <v>442473881</v>
      </c>
      <c r="AK110" s="1391">
        <v>83741615</v>
      </c>
      <c r="AL110" s="1407">
        <f t="shared" si="33"/>
        <v>526215.49600000004</v>
      </c>
      <c r="AM110" s="1407">
        <f t="shared" si="34"/>
        <v>166442.77100000001</v>
      </c>
      <c r="AN110" s="1407">
        <f t="shared" si="35"/>
        <v>442473.88099999999</v>
      </c>
      <c r="AO110" s="1407">
        <f t="shared" si="36"/>
        <v>83741.615000000005</v>
      </c>
      <c r="AR110" s="1390" t="s">
        <v>638</v>
      </c>
      <c r="AS110" s="169">
        <v>30377952</v>
      </c>
      <c r="AT110" s="169">
        <f t="shared" si="37"/>
        <v>30377.952000000001</v>
      </c>
      <c r="AW110" s="1390" t="s">
        <v>403</v>
      </c>
      <c r="AX110" s="840">
        <v>685416507</v>
      </c>
      <c r="AY110" s="840">
        <v>579489607</v>
      </c>
      <c r="AZ110" s="840">
        <v>259573291</v>
      </c>
      <c r="BA110" s="840">
        <v>105926900</v>
      </c>
      <c r="BB110" s="169">
        <f t="shared" si="38"/>
        <v>685416.50699999998</v>
      </c>
      <c r="BC110" s="169">
        <f t="shared" si="39"/>
        <v>579489.60699999996</v>
      </c>
      <c r="BD110" s="169">
        <f t="shared" si="40"/>
        <v>259573.291</v>
      </c>
      <c r="BE110" s="169">
        <f t="shared" si="41"/>
        <v>105926.9</v>
      </c>
    </row>
    <row r="111" spans="1:57" ht="15" customHeight="1" x14ac:dyDescent="0.35">
      <c r="A111" s="841" t="s">
        <v>605</v>
      </c>
      <c r="B111" s="1115">
        <v>85600000</v>
      </c>
      <c r="C111" s="1115">
        <v>47000000</v>
      </c>
      <c r="D111" s="1115">
        <v>38600000</v>
      </c>
      <c r="E111" s="1115">
        <v>5084978</v>
      </c>
      <c r="F111" s="1115">
        <f t="shared" si="23"/>
        <v>85600</v>
      </c>
      <c r="G111" s="1115">
        <f t="shared" si="24"/>
        <v>47000</v>
      </c>
      <c r="H111" s="1115">
        <f t="shared" si="25"/>
        <v>38600</v>
      </c>
      <c r="I111" s="1115">
        <f t="shared" si="26"/>
        <v>5084.9780000000001</v>
      </c>
      <c r="Q111" s="94" t="s">
        <v>605</v>
      </c>
      <c r="R111" s="840">
        <v>85600000</v>
      </c>
      <c r="S111" s="840">
        <v>47000000</v>
      </c>
      <c r="T111" s="840">
        <v>38600000</v>
      </c>
      <c r="U111" s="840">
        <v>5084978</v>
      </c>
      <c r="V111" s="169">
        <f t="shared" si="28"/>
        <v>85600</v>
      </c>
      <c r="W111" s="169">
        <f t="shared" si="29"/>
        <v>47000</v>
      </c>
      <c r="X111" s="169">
        <f t="shared" si="30"/>
        <v>38600</v>
      </c>
      <c r="Y111" s="169">
        <f t="shared" si="31"/>
        <v>5084.9780000000001</v>
      </c>
      <c r="AB111" s="1390" t="s">
        <v>411</v>
      </c>
      <c r="AC111" s="1391">
        <v>0</v>
      </c>
      <c r="AD111" s="169">
        <f t="shared" si="32"/>
        <v>0</v>
      </c>
      <c r="AG111" s="1390" t="s">
        <v>604</v>
      </c>
      <c r="AH111" s="1391">
        <v>37080000</v>
      </c>
      <c r="AI111" s="1391">
        <v>5355163</v>
      </c>
      <c r="AJ111" s="1391">
        <v>29880000</v>
      </c>
      <c r="AK111" s="1391">
        <v>7200000</v>
      </c>
      <c r="AL111" s="1407">
        <f t="shared" si="33"/>
        <v>37080</v>
      </c>
      <c r="AM111" s="1407">
        <f t="shared" si="34"/>
        <v>5355.1629999999996</v>
      </c>
      <c r="AN111" s="1407">
        <f t="shared" si="35"/>
        <v>29880</v>
      </c>
      <c r="AO111" s="1407">
        <f t="shared" si="36"/>
        <v>7200</v>
      </c>
      <c r="AR111" s="1390" t="s">
        <v>639</v>
      </c>
      <c r="AS111" s="169">
        <v>30377952</v>
      </c>
      <c r="AT111" s="169">
        <f t="shared" si="37"/>
        <v>30377.952000000001</v>
      </c>
      <c r="AW111" s="1390" t="s">
        <v>404</v>
      </c>
      <c r="AX111" s="840">
        <v>563390773</v>
      </c>
      <c r="AY111" s="840">
        <v>497403357</v>
      </c>
      <c r="AZ111" s="840">
        <v>231184460</v>
      </c>
      <c r="BA111" s="840">
        <v>65987416</v>
      </c>
      <c r="BB111" s="169">
        <f t="shared" si="38"/>
        <v>563390.77300000004</v>
      </c>
      <c r="BC111" s="169">
        <f t="shared" si="39"/>
        <v>497403.35700000002</v>
      </c>
      <c r="BD111" s="169">
        <f t="shared" si="40"/>
        <v>231184.46</v>
      </c>
      <c r="BE111" s="169">
        <f t="shared" si="41"/>
        <v>65987.415999999997</v>
      </c>
    </row>
    <row r="112" spans="1:57" ht="15" customHeight="1" x14ac:dyDescent="0.35">
      <c r="A112" s="841" t="s">
        <v>494</v>
      </c>
      <c r="B112" s="1115">
        <v>12500000</v>
      </c>
      <c r="C112" s="1115">
        <v>0</v>
      </c>
      <c r="D112" s="1115">
        <v>12500000</v>
      </c>
      <c r="E112" s="1115">
        <v>0</v>
      </c>
      <c r="F112" s="1115">
        <f t="shared" si="23"/>
        <v>12500</v>
      </c>
      <c r="G112" s="1115">
        <f t="shared" si="24"/>
        <v>0</v>
      </c>
      <c r="H112" s="1115">
        <f t="shared" si="25"/>
        <v>12500</v>
      </c>
      <c r="I112" s="1115">
        <f t="shared" si="26"/>
        <v>0</v>
      </c>
      <c r="Q112" s="94" t="s">
        <v>494</v>
      </c>
      <c r="R112" s="840">
        <v>12500000</v>
      </c>
      <c r="S112" s="840">
        <v>5206250</v>
      </c>
      <c r="T112" s="840">
        <v>7293750</v>
      </c>
      <c r="U112" s="840">
        <v>1041250</v>
      </c>
      <c r="V112" s="169">
        <f t="shared" si="28"/>
        <v>12500</v>
      </c>
      <c r="W112" s="169">
        <f t="shared" si="29"/>
        <v>5206.25</v>
      </c>
      <c r="X112" s="169">
        <f t="shared" si="30"/>
        <v>7293.75</v>
      </c>
      <c r="Y112" s="169">
        <f t="shared" si="31"/>
        <v>1041.25</v>
      </c>
      <c r="AB112" s="1390" t="s">
        <v>412</v>
      </c>
      <c r="AC112" s="1391">
        <v>9175469</v>
      </c>
      <c r="AD112" s="169">
        <f t="shared" si="32"/>
        <v>9175.4689999999991</v>
      </c>
      <c r="AG112" s="1390" t="s">
        <v>605</v>
      </c>
      <c r="AH112" s="1391">
        <v>66850000</v>
      </c>
      <c r="AI112" s="1391">
        <v>14983550</v>
      </c>
      <c r="AJ112" s="1391">
        <v>47000000</v>
      </c>
      <c r="AK112" s="1391">
        <v>19850000</v>
      </c>
      <c r="AL112" s="1407">
        <f t="shared" si="33"/>
        <v>66850</v>
      </c>
      <c r="AM112" s="1407">
        <f t="shared" si="34"/>
        <v>14983.55</v>
      </c>
      <c r="AN112" s="1407">
        <f t="shared" si="35"/>
        <v>47000</v>
      </c>
      <c r="AO112" s="1407">
        <f t="shared" si="36"/>
        <v>19850</v>
      </c>
      <c r="AR112" s="1390" t="s">
        <v>618</v>
      </c>
      <c r="AS112" s="169">
        <v>4140000</v>
      </c>
      <c r="AT112" s="169">
        <f t="shared" si="37"/>
        <v>4140</v>
      </c>
      <c r="AW112" s="1390" t="s">
        <v>604</v>
      </c>
      <c r="AX112" s="840">
        <v>37080000</v>
      </c>
      <c r="AY112" s="840">
        <v>29880000</v>
      </c>
      <c r="AZ112" s="840">
        <v>5355163</v>
      </c>
      <c r="BA112" s="840">
        <v>7200000</v>
      </c>
      <c r="BB112" s="169">
        <f t="shared" si="38"/>
        <v>37080</v>
      </c>
      <c r="BC112" s="169">
        <f t="shared" si="39"/>
        <v>29880</v>
      </c>
      <c r="BD112" s="169">
        <f t="shared" si="40"/>
        <v>5355.1629999999996</v>
      </c>
      <c r="BE112" s="169">
        <f t="shared" si="41"/>
        <v>7200</v>
      </c>
    </row>
    <row r="113" spans="1:57" ht="15" customHeight="1" x14ac:dyDescent="0.35">
      <c r="A113" s="841" t="s">
        <v>606</v>
      </c>
      <c r="B113" s="1115">
        <v>37000000</v>
      </c>
      <c r="C113" s="1115">
        <v>0</v>
      </c>
      <c r="D113" s="1115">
        <v>37000000</v>
      </c>
      <c r="E113" s="1115">
        <v>0</v>
      </c>
      <c r="F113" s="1115">
        <f t="shared" si="23"/>
        <v>37000</v>
      </c>
      <c r="G113" s="1115">
        <f t="shared" si="24"/>
        <v>0</v>
      </c>
      <c r="H113" s="1115">
        <f t="shared" si="25"/>
        <v>37000</v>
      </c>
      <c r="I113" s="1115">
        <f t="shared" si="26"/>
        <v>0</v>
      </c>
      <c r="Q113" s="94" t="s">
        <v>606</v>
      </c>
      <c r="R113" s="840">
        <v>35500000</v>
      </c>
      <c r="S113" s="840">
        <v>140742</v>
      </c>
      <c r="T113" s="840">
        <v>35359258</v>
      </c>
      <c r="U113" s="840">
        <v>0</v>
      </c>
      <c r="V113" s="169">
        <f t="shared" si="28"/>
        <v>35500</v>
      </c>
      <c r="W113" s="169">
        <f t="shared" si="29"/>
        <v>140.74199999999999</v>
      </c>
      <c r="X113" s="169">
        <f t="shared" si="30"/>
        <v>35359.258000000002</v>
      </c>
      <c r="Y113" s="169">
        <f t="shared" si="31"/>
        <v>0</v>
      </c>
      <c r="AB113" s="1390" t="s">
        <v>413</v>
      </c>
      <c r="AC113" s="1391">
        <v>9175469</v>
      </c>
      <c r="AD113" s="169">
        <f t="shared" si="32"/>
        <v>9175.4689999999991</v>
      </c>
      <c r="AG113" s="1390" t="s">
        <v>494</v>
      </c>
      <c r="AH113" s="1391">
        <v>12500000</v>
      </c>
      <c r="AI113" s="1391">
        <v>2082500</v>
      </c>
      <c r="AJ113" s="1391">
        <v>5206250</v>
      </c>
      <c r="AK113" s="1391">
        <v>7293750</v>
      </c>
      <c r="AL113" s="1407">
        <f t="shared" si="33"/>
        <v>12500</v>
      </c>
      <c r="AM113" s="1407">
        <f t="shared" si="34"/>
        <v>2082.5</v>
      </c>
      <c r="AN113" s="1407">
        <f t="shared" si="35"/>
        <v>5206.25</v>
      </c>
      <c r="AO113" s="1407">
        <f t="shared" si="36"/>
        <v>7293.75</v>
      </c>
      <c r="AR113" s="1390" t="s">
        <v>415</v>
      </c>
      <c r="AS113" s="169">
        <v>4140000</v>
      </c>
      <c r="AT113" s="169">
        <f t="shared" si="37"/>
        <v>4140</v>
      </c>
      <c r="AW113" s="1390" t="s">
        <v>605</v>
      </c>
      <c r="AX113" s="840">
        <v>60439484</v>
      </c>
      <c r="AY113" s="840">
        <v>47000000</v>
      </c>
      <c r="AZ113" s="840">
        <v>19909918</v>
      </c>
      <c r="BA113" s="840">
        <v>13439484</v>
      </c>
      <c r="BB113" s="169">
        <f t="shared" si="38"/>
        <v>60439.483999999997</v>
      </c>
      <c r="BC113" s="169">
        <f t="shared" si="39"/>
        <v>47000</v>
      </c>
      <c r="BD113" s="169">
        <f t="shared" si="40"/>
        <v>19909.918000000001</v>
      </c>
      <c r="BE113" s="169">
        <f t="shared" si="41"/>
        <v>13439.484</v>
      </c>
    </row>
    <row r="114" spans="1:57" ht="15" customHeight="1" x14ac:dyDescent="0.35">
      <c r="A114" s="841" t="s">
        <v>405</v>
      </c>
      <c r="B114" s="1115">
        <v>37000000</v>
      </c>
      <c r="C114" s="1115">
        <v>0</v>
      </c>
      <c r="D114" s="1115">
        <v>37000000</v>
      </c>
      <c r="E114" s="1115">
        <v>0</v>
      </c>
      <c r="F114" s="1115">
        <f t="shared" si="23"/>
        <v>37000</v>
      </c>
      <c r="G114" s="1115">
        <f t="shared" si="24"/>
        <v>0</v>
      </c>
      <c r="H114" s="1115">
        <f t="shared" si="25"/>
        <v>37000</v>
      </c>
      <c r="I114" s="1115">
        <f t="shared" si="26"/>
        <v>0</v>
      </c>
      <c r="Q114" s="94" t="s">
        <v>405</v>
      </c>
      <c r="R114" s="840">
        <v>35500000</v>
      </c>
      <c r="S114" s="840">
        <v>140742</v>
      </c>
      <c r="T114" s="840">
        <v>35359258</v>
      </c>
      <c r="U114" s="840">
        <v>0</v>
      </c>
      <c r="V114" s="169">
        <f t="shared" si="28"/>
        <v>35500</v>
      </c>
      <c r="W114" s="169">
        <f t="shared" si="29"/>
        <v>140.74199999999999</v>
      </c>
      <c r="X114" s="169">
        <f t="shared" si="30"/>
        <v>35359.258000000002</v>
      </c>
      <c r="Y114" s="169">
        <f t="shared" si="31"/>
        <v>0</v>
      </c>
      <c r="AB114" s="1390" t="s">
        <v>532</v>
      </c>
      <c r="AC114" s="1391">
        <v>9175469</v>
      </c>
      <c r="AD114" s="169">
        <f t="shared" si="32"/>
        <v>9175.4689999999991</v>
      </c>
      <c r="AG114" s="1390" t="s">
        <v>606</v>
      </c>
      <c r="AH114" s="1391">
        <v>35500000</v>
      </c>
      <c r="AI114" s="1391">
        <v>140742</v>
      </c>
      <c r="AJ114" s="1391">
        <v>140742</v>
      </c>
      <c r="AK114" s="1391">
        <v>35359258</v>
      </c>
      <c r="AL114" s="1407">
        <f t="shared" si="33"/>
        <v>35500</v>
      </c>
      <c r="AM114" s="1407">
        <f t="shared" si="34"/>
        <v>140.74199999999999</v>
      </c>
      <c r="AN114" s="1407">
        <f t="shared" si="35"/>
        <v>140.74199999999999</v>
      </c>
      <c r="AO114" s="1407">
        <f t="shared" si="36"/>
        <v>35359.258000000002</v>
      </c>
      <c r="AR114" s="1390" t="s">
        <v>620</v>
      </c>
      <c r="AS114" s="169">
        <v>0</v>
      </c>
      <c r="AT114" s="169">
        <f t="shared" si="37"/>
        <v>0</v>
      </c>
      <c r="AW114" s="1390" t="s">
        <v>494</v>
      </c>
      <c r="AX114" s="840">
        <v>24506250</v>
      </c>
      <c r="AY114" s="840">
        <v>5206250</v>
      </c>
      <c r="AZ114" s="840">
        <v>3123750</v>
      </c>
      <c r="BA114" s="840">
        <v>19300000</v>
      </c>
      <c r="BB114" s="169">
        <f t="shared" si="38"/>
        <v>24506.25</v>
      </c>
      <c r="BC114" s="169">
        <f t="shared" si="39"/>
        <v>5206.25</v>
      </c>
      <c r="BD114" s="169">
        <f t="shared" si="40"/>
        <v>3123.75</v>
      </c>
      <c r="BE114" s="169">
        <f t="shared" si="41"/>
        <v>19300</v>
      </c>
    </row>
    <row r="115" spans="1:57" ht="15" customHeight="1" x14ac:dyDescent="0.35">
      <c r="A115" s="841" t="s">
        <v>607</v>
      </c>
      <c r="B115" s="1115">
        <v>882367002</v>
      </c>
      <c r="C115" s="1115">
        <v>46723000</v>
      </c>
      <c r="D115" s="1115">
        <v>835644002</v>
      </c>
      <c r="E115" s="1115">
        <v>0</v>
      </c>
      <c r="F115" s="1115">
        <f t="shared" si="23"/>
        <v>882367.00199999998</v>
      </c>
      <c r="G115" s="1115">
        <f t="shared" si="24"/>
        <v>46723</v>
      </c>
      <c r="H115" s="1115">
        <f t="shared" si="25"/>
        <v>835644.00199999998</v>
      </c>
      <c r="I115" s="1115">
        <f t="shared" si="26"/>
        <v>0</v>
      </c>
      <c r="Q115" s="94" t="s">
        <v>607</v>
      </c>
      <c r="R115" s="840">
        <v>899595071</v>
      </c>
      <c r="S115" s="840">
        <v>166820694</v>
      </c>
      <c r="T115" s="840">
        <v>732774377</v>
      </c>
      <c r="U115" s="840">
        <v>13606334</v>
      </c>
      <c r="V115" s="169">
        <f t="shared" si="28"/>
        <v>899595.071</v>
      </c>
      <c r="W115" s="169">
        <f t="shared" si="29"/>
        <v>166820.69399999999</v>
      </c>
      <c r="X115" s="169">
        <f t="shared" si="30"/>
        <v>732774.37699999998</v>
      </c>
      <c r="Y115" s="169">
        <f t="shared" si="31"/>
        <v>13606.334000000001</v>
      </c>
      <c r="AB115" s="1390" t="s">
        <v>618</v>
      </c>
      <c r="AC115" s="1391">
        <v>0</v>
      </c>
      <c r="AD115" s="169">
        <f t="shared" si="32"/>
        <v>0</v>
      </c>
      <c r="AG115" s="1390" t="s">
        <v>405</v>
      </c>
      <c r="AH115" s="1391">
        <v>35500000</v>
      </c>
      <c r="AI115" s="1391">
        <v>140742</v>
      </c>
      <c r="AJ115" s="1391">
        <v>140742</v>
      </c>
      <c r="AK115" s="1391">
        <v>35359258</v>
      </c>
      <c r="AL115" s="1407">
        <f t="shared" si="33"/>
        <v>35500</v>
      </c>
      <c r="AM115" s="1407">
        <f t="shared" si="34"/>
        <v>140.74199999999999</v>
      </c>
      <c r="AN115" s="1407">
        <f t="shared" si="35"/>
        <v>140.74199999999999</v>
      </c>
      <c r="AO115" s="1407">
        <f t="shared" si="36"/>
        <v>35359.258000000002</v>
      </c>
      <c r="AR115" s="1390" t="s">
        <v>914</v>
      </c>
      <c r="AS115" s="169">
        <v>4140000</v>
      </c>
      <c r="AT115" s="169">
        <f t="shared" si="37"/>
        <v>4140</v>
      </c>
      <c r="AW115" s="1390" t="s">
        <v>606</v>
      </c>
      <c r="AX115" s="840">
        <v>33915277</v>
      </c>
      <c r="AY115" s="840">
        <v>140742</v>
      </c>
      <c r="AZ115" s="840">
        <v>140742</v>
      </c>
      <c r="BA115" s="840">
        <v>33774535</v>
      </c>
      <c r="BB115" s="169">
        <f t="shared" si="38"/>
        <v>33915.277000000002</v>
      </c>
      <c r="BC115" s="169">
        <f t="shared" si="39"/>
        <v>140.74199999999999</v>
      </c>
      <c r="BD115" s="169">
        <f t="shared" si="40"/>
        <v>140.74199999999999</v>
      </c>
      <c r="BE115" s="169">
        <f t="shared" si="41"/>
        <v>33774.535000000003</v>
      </c>
    </row>
    <row r="116" spans="1:57" ht="15" customHeight="1" x14ac:dyDescent="0.35">
      <c r="A116" s="841" t="s">
        <v>406</v>
      </c>
      <c r="B116" s="1115">
        <v>24323001</v>
      </c>
      <c r="C116" s="1115">
        <v>24323000</v>
      </c>
      <c r="D116" s="1115">
        <v>1</v>
      </c>
      <c r="E116" s="1115">
        <v>0</v>
      </c>
      <c r="F116" s="1115">
        <f t="shared" si="23"/>
        <v>24323.001</v>
      </c>
      <c r="G116" s="1115">
        <f t="shared" si="24"/>
        <v>24323</v>
      </c>
      <c r="H116" s="1115">
        <f t="shared" si="25"/>
        <v>1E-3</v>
      </c>
      <c r="I116" s="1115">
        <f t="shared" si="26"/>
        <v>0</v>
      </c>
      <c r="Q116" s="94" t="s">
        <v>406</v>
      </c>
      <c r="R116" s="840">
        <v>144420694</v>
      </c>
      <c r="S116" s="840">
        <v>144420694</v>
      </c>
      <c r="T116" s="840">
        <v>0</v>
      </c>
      <c r="U116" s="840">
        <v>9873000</v>
      </c>
      <c r="V116" s="169">
        <f t="shared" si="28"/>
        <v>144420.69399999999</v>
      </c>
      <c r="W116" s="169">
        <f t="shared" si="29"/>
        <v>144420.69399999999</v>
      </c>
      <c r="X116" s="169">
        <f t="shared" si="30"/>
        <v>0</v>
      </c>
      <c r="Y116" s="169">
        <f t="shared" si="31"/>
        <v>9873</v>
      </c>
      <c r="AB116" s="1390" t="s">
        <v>415</v>
      </c>
      <c r="AC116" s="1391">
        <v>0</v>
      </c>
      <c r="AD116" s="169">
        <f t="shared" si="32"/>
        <v>0</v>
      </c>
      <c r="AG116" s="1390" t="s">
        <v>607</v>
      </c>
      <c r="AH116" s="1391">
        <v>988130307</v>
      </c>
      <c r="AI116" s="1391">
        <v>140648433</v>
      </c>
      <c r="AJ116" s="1391">
        <v>829741064</v>
      </c>
      <c r="AK116" s="1391">
        <v>158389243</v>
      </c>
      <c r="AL116" s="1407">
        <f t="shared" si="33"/>
        <v>988130.30700000003</v>
      </c>
      <c r="AM116" s="1407">
        <f t="shared" si="34"/>
        <v>140648.43299999999</v>
      </c>
      <c r="AN116" s="1407">
        <f t="shared" si="35"/>
        <v>829741.06400000001</v>
      </c>
      <c r="AO116" s="1407">
        <f t="shared" si="36"/>
        <v>158389.24299999999</v>
      </c>
      <c r="AR116" s="1390" t="s">
        <v>416</v>
      </c>
      <c r="AS116" s="169">
        <v>1331291288</v>
      </c>
      <c r="AT116" s="169">
        <f t="shared" si="37"/>
        <v>1331291.2879999999</v>
      </c>
      <c r="AW116" s="1390" t="s">
        <v>405</v>
      </c>
      <c r="AX116" s="840">
        <v>33915277</v>
      </c>
      <c r="AY116" s="840">
        <v>140742</v>
      </c>
      <c r="AZ116" s="840">
        <v>140742</v>
      </c>
      <c r="BA116" s="840">
        <v>33774535</v>
      </c>
      <c r="BB116" s="169">
        <f t="shared" si="38"/>
        <v>33915.277000000002</v>
      </c>
      <c r="BC116" s="169">
        <f t="shared" si="39"/>
        <v>140.74199999999999</v>
      </c>
      <c r="BD116" s="169">
        <f t="shared" si="40"/>
        <v>140.74199999999999</v>
      </c>
      <c r="BE116" s="169">
        <f t="shared" si="41"/>
        <v>33774.535000000003</v>
      </c>
    </row>
    <row r="117" spans="1:57" ht="15" customHeight="1" x14ac:dyDescent="0.35">
      <c r="A117" s="841" t="s">
        <v>407</v>
      </c>
      <c r="B117" s="1115">
        <v>52663000</v>
      </c>
      <c r="C117" s="1115">
        <v>0</v>
      </c>
      <c r="D117" s="1115">
        <v>52663000</v>
      </c>
      <c r="E117" s="1115">
        <v>0</v>
      </c>
      <c r="F117" s="1115">
        <f t="shared" si="23"/>
        <v>52663</v>
      </c>
      <c r="G117" s="1115">
        <f t="shared" si="24"/>
        <v>0</v>
      </c>
      <c r="H117" s="1115">
        <f t="shared" si="25"/>
        <v>52663</v>
      </c>
      <c r="I117" s="1115">
        <f t="shared" si="26"/>
        <v>0</v>
      </c>
      <c r="Q117" s="94" t="s">
        <v>407</v>
      </c>
      <c r="R117" s="840">
        <v>52663000</v>
      </c>
      <c r="S117" s="840">
        <v>0</v>
      </c>
      <c r="T117" s="840">
        <v>52663000</v>
      </c>
      <c r="U117" s="840">
        <v>0</v>
      </c>
      <c r="V117" s="169">
        <f t="shared" si="28"/>
        <v>52663</v>
      </c>
      <c r="W117" s="169">
        <f t="shared" si="29"/>
        <v>0</v>
      </c>
      <c r="X117" s="169">
        <f t="shared" si="30"/>
        <v>52663</v>
      </c>
      <c r="Y117" s="169">
        <f t="shared" si="31"/>
        <v>0</v>
      </c>
      <c r="AB117" s="1390" t="s">
        <v>620</v>
      </c>
      <c r="AC117" s="1391">
        <v>0</v>
      </c>
      <c r="AD117" s="169">
        <f t="shared" si="32"/>
        <v>0</v>
      </c>
      <c r="AG117" s="1390" t="s">
        <v>406</v>
      </c>
      <c r="AH117" s="1391">
        <v>259420694</v>
      </c>
      <c r="AI117" s="1391">
        <v>68698000</v>
      </c>
      <c r="AJ117" s="1391">
        <v>219420694</v>
      </c>
      <c r="AK117" s="1391">
        <v>40000000</v>
      </c>
      <c r="AL117" s="1407">
        <f t="shared" si="33"/>
        <v>259420.69399999999</v>
      </c>
      <c r="AM117" s="1407">
        <f t="shared" si="34"/>
        <v>68698</v>
      </c>
      <c r="AN117" s="1407">
        <f t="shared" si="35"/>
        <v>219420.69399999999</v>
      </c>
      <c r="AO117" s="1407">
        <f t="shared" si="36"/>
        <v>40000</v>
      </c>
      <c r="AR117" s="1390" t="s">
        <v>417</v>
      </c>
      <c r="AS117" s="169">
        <v>1258472140</v>
      </c>
      <c r="AT117" s="169">
        <f t="shared" si="37"/>
        <v>1258472.1399999999</v>
      </c>
      <c r="AW117" s="1390" t="s">
        <v>607</v>
      </c>
      <c r="AX117" s="840">
        <v>1193280416</v>
      </c>
      <c r="AY117" s="840">
        <v>835453971</v>
      </c>
      <c r="AZ117" s="840">
        <v>140648433</v>
      </c>
      <c r="BA117" s="840">
        <v>357826445</v>
      </c>
      <c r="BB117" s="169">
        <f t="shared" si="38"/>
        <v>1193280.416</v>
      </c>
      <c r="BC117" s="169">
        <f t="shared" si="39"/>
        <v>835453.97100000002</v>
      </c>
      <c r="BD117" s="169">
        <f t="shared" si="40"/>
        <v>140648.43299999999</v>
      </c>
      <c r="BE117" s="169">
        <f t="shared" si="41"/>
        <v>357826.44500000001</v>
      </c>
    </row>
    <row r="118" spans="1:57" ht="15" customHeight="1" x14ac:dyDescent="0.35">
      <c r="A118" s="841" t="s">
        <v>408</v>
      </c>
      <c r="B118" s="1115">
        <v>799881001</v>
      </c>
      <c r="C118" s="1115">
        <v>22400000</v>
      </c>
      <c r="D118" s="1115">
        <v>777481001</v>
      </c>
      <c r="E118" s="1115">
        <v>0</v>
      </c>
      <c r="F118" s="1115">
        <f t="shared" si="23"/>
        <v>799881.00100000005</v>
      </c>
      <c r="G118" s="1115">
        <f t="shared" si="24"/>
        <v>22400</v>
      </c>
      <c r="H118" s="1115">
        <f t="shared" si="25"/>
        <v>777481.00100000005</v>
      </c>
      <c r="I118" s="1115">
        <f t="shared" si="26"/>
        <v>0</v>
      </c>
      <c r="Q118" s="94" t="s">
        <v>408</v>
      </c>
      <c r="R118" s="840">
        <v>697011377</v>
      </c>
      <c r="S118" s="840">
        <v>22400000</v>
      </c>
      <c r="T118" s="840">
        <v>674611377</v>
      </c>
      <c r="U118" s="840">
        <v>3733334</v>
      </c>
      <c r="V118" s="169">
        <f t="shared" si="28"/>
        <v>697011.37699999998</v>
      </c>
      <c r="W118" s="169">
        <f t="shared" si="29"/>
        <v>22400</v>
      </c>
      <c r="X118" s="169">
        <f t="shared" si="30"/>
        <v>674611.37699999998</v>
      </c>
      <c r="Y118" s="169">
        <f t="shared" si="31"/>
        <v>3733.3339999999998</v>
      </c>
      <c r="AB118" s="1390" t="s">
        <v>416</v>
      </c>
      <c r="AC118" s="1391">
        <v>7043505941</v>
      </c>
      <c r="AD118" s="169">
        <f t="shared" si="32"/>
        <v>7043505.9409999996</v>
      </c>
      <c r="AG118" s="1390" t="s">
        <v>407</v>
      </c>
      <c r="AH118" s="1391">
        <v>52663000</v>
      </c>
      <c r="AI118" s="1391">
        <v>0</v>
      </c>
      <c r="AJ118" s="1391">
        <v>3512000</v>
      </c>
      <c r="AK118" s="1391">
        <v>49151000</v>
      </c>
      <c r="AL118" s="1407">
        <f t="shared" si="33"/>
        <v>52663</v>
      </c>
      <c r="AM118" s="1407">
        <f t="shared" si="34"/>
        <v>0</v>
      </c>
      <c r="AN118" s="1407">
        <f t="shared" si="35"/>
        <v>3512</v>
      </c>
      <c r="AO118" s="1407">
        <f t="shared" si="36"/>
        <v>49151</v>
      </c>
      <c r="AR118" s="1390" t="s">
        <v>418</v>
      </c>
      <c r="AS118" s="169">
        <v>0</v>
      </c>
      <c r="AT118" s="169">
        <v>0</v>
      </c>
      <c r="AW118" s="1390" t="s">
        <v>406</v>
      </c>
      <c r="AX118" s="840">
        <v>447835971</v>
      </c>
      <c r="AY118" s="840">
        <v>219420694</v>
      </c>
      <c r="AZ118" s="840">
        <v>68698000</v>
      </c>
      <c r="BA118" s="840">
        <v>228415277</v>
      </c>
      <c r="BB118" s="169">
        <f t="shared" si="38"/>
        <v>447835.97100000002</v>
      </c>
      <c r="BC118" s="169">
        <f t="shared" si="39"/>
        <v>219420.69399999999</v>
      </c>
      <c r="BD118" s="169">
        <f t="shared" si="40"/>
        <v>68698</v>
      </c>
      <c r="BE118" s="169">
        <f t="shared" si="41"/>
        <v>228415.277</v>
      </c>
    </row>
    <row r="119" spans="1:57" ht="15" customHeight="1" x14ac:dyDescent="0.35">
      <c r="A119" s="841" t="s">
        <v>409</v>
      </c>
      <c r="B119" s="1115">
        <v>5500000</v>
      </c>
      <c r="C119" s="1115">
        <v>0</v>
      </c>
      <c r="D119" s="1115">
        <v>5500000</v>
      </c>
      <c r="E119" s="1115">
        <v>0</v>
      </c>
      <c r="F119" s="1115">
        <f t="shared" si="23"/>
        <v>5500</v>
      </c>
      <c r="G119" s="1115">
        <f t="shared" si="24"/>
        <v>0</v>
      </c>
      <c r="H119" s="1115">
        <f t="shared" si="25"/>
        <v>5500</v>
      </c>
      <c r="I119" s="1115">
        <f t="shared" si="26"/>
        <v>0</v>
      </c>
      <c r="Q119" s="94" t="s">
        <v>409</v>
      </c>
      <c r="R119" s="840">
        <v>5500000</v>
      </c>
      <c r="S119" s="840">
        <v>0</v>
      </c>
      <c r="T119" s="840">
        <v>5500000</v>
      </c>
      <c r="U119" s="840">
        <v>0</v>
      </c>
      <c r="V119" s="169">
        <f t="shared" si="28"/>
        <v>5500</v>
      </c>
      <c r="W119" s="169">
        <f t="shared" si="29"/>
        <v>0</v>
      </c>
      <c r="X119" s="169">
        <f t="shared" si="30"/>
        <v>5500</v>
      </c>
      <c r="Y119" s="169">
        <f t="shared" si="31"/>
        <v>0</v>
      </c>
      <c r="AB119" s="1390" t="s">
        <v>417</v>
      </c>
      <c r="AC119" s="1391">
        <v>6079119430</v>
      </c>
      <c r="AD119" s="169">
        <f t="shared" si="32"/>
        <v>6079119.4299999997</v>
      </c>
      <c r="AG119" s="1390" t="s">
        <v>408</v>
      </c>
      <c r="AH119" s="1391">
        <v>670546613</v>
      </c>
      <c r="AI119" s="1391">
        <v>71950433</v>
      </c>
      <c r="AJ119" s="1391">
        <v>606808370</v>
      </c>
      <c r="AK119" s="1391">
        <v>63738243</v>
      </c>
      <c r="AL119" s="1407">
        <f t="shared" si="33"/>
        <v>670546.61300000001</v>
      </c>
      <c r="AM119" s="1407">
        <f t="shared" si="34"/>
        <v>71950.433000000005</v>
      </c>
      <c r="AN119" s="1407">
        <f t="shared" si="35"/>
        <v>606808.37</v>
      </c>
      <c r="AO119" s="1407">
        <f t="shared" si="36"/>
        <v>63738.243000000002</v>
      </c>
      <c r="AR119" s="1390" t="s">
        <v>419</v>
      </c>
      <c r="AS119" s="169">
        <v>72819148</v>
      </c>
      <c r="AT119" s="169">
        <f t="shared" si="37"/>
        <v>72819.148000000001</v>
      </c>
      <c r="AW119" s="1390" t="s">
        <v>407</v>
      </c>
      <c r="AX119" s="840">
        <v>52663000</v>
      </c>
      <c r="AY119" s="840">
        <v>9224907</v>
      </c>
      <c r="AZ119" s="840">
        <v>0</v>
      </c>
      <c r="BA119" s="840">
        <v>43438093</v>
      </c>
      <c r="BB119" s="169">
        <f t="shared" si="38"/>
        <v>52663</v>
      </c>
      <c r="BC119" s="169">
        <f t="shared" si="39"/>
        <v>9224.9069999999992</v>
      </c>
      <c r="BD119" s="169">
        <f t="shared" si="40"/>
        <v>0</v>
      </c>
      <c r="BE119" s="169">
        <f t="shared" si="41"/>
        <v>43438.093000000001</v>
      </c>
    </row>
    <row r="120" spans="1:57" ht="15" customHeight="1" x14ac:dyDescent="0.35">
      <c r="A120" s="841" t="s">
        <v>608</v>
      </c>
      <c r="B120" s="1115">
        <v>991013</v>
      </c>
      <c r="C120" s="1115">
        <v>191010</v>
      </c>
      <c r="D120" s="1115">
        <v>800003</v>
      </c>
      <c r="E120" s="1115">
        <v>191010</v>
      </c>
      <c r="F120" s="1115">
        <f t="shared" si="23"/>
        <v>991.01300000000003</v>
      </c>
      <c r="G120" s="1115">
        <f t="shared" si="24"/>
        <v>191.01</v>
      </c>
      <c r="H120" s="1115">
        <f t="shared" si="25"/>
        <v>800.00300000000004</v>
      </c>
      <c r="I120" s="1115">
        <f t="shared" si="26"/>
        <v>191.01</v>
      </c>
      <c r="Q120" s="94" t="s">
        <v>608</v>
      </c>
      <c r="R120" s="840">
        <v>1665050</v>
      </c>
      <c r="S120" s="840">
        <v>865047</v>
      </c>
      <c r="T120" s="840">
        <v>800003</v>
      </c>
      <c r="U120" s="840">
        <v>840047</v>
      </c>
      <c r="V120" s="169">
        <f t="shared" si="28"/>
        <v>1665.05</v>
      </c>
      <c r="W120" s="169">
        <f t="shared" si="29"/>
        <v>865.04700000000003</v>
      </c>
      <c r="X120" s="169">
        <f t="shared" si="30"/>
        <v>800.00300000000004</v>
      </c>
      <c r="Y120" s="169">
        <f t="shared" si="31"/>
        <v>840.04700000000003</v>
      </c>
      <c r="AB120" s="1390" t="s">
        <v>418</v>
      </c>
      <c r="AC120" s="1391">
        <v>6079119430</v>
      </c>
      <c r="AD120" s="169">
        <f t="shared" si="32"/>
        <v>6079119.4299999997</v>
      </c>
      <c r="AG120" s="1390" t="s">
        <v>409</v>
      </c>
      <c r="AH120" s="1391">
        <v>5500000</v>
      </c>
      <c r="AI120" s="1391">
        <v>0</v>
      </c>
      <c r="AJ120" s="1391">
        <v>0</v>
      </c>
      <c r="AK120" s="1391">
        <v>5500000</v>
      </c>
      <c r="AL120" s="1407">
        <f t="shared" si="33"/>
        <v>5500</v>
      </c>
      <c r="AM120" s="1407">
        <f t="shared" si="34"/>
        <v>0</v>
      </c>
      <c r="AN120" s="1407">
        <f t="shared" si="35"/>
        <v>0</v>
      </c>
      <c r="AO120" s="1407">
        <f t="shared" si="36"/>
        <v>5500</v>
      </c>
      <c r="AR120" s="1390" t="s">
        <v>420</v>
      </c>
      <c r="AS120" s="169">
        <v>0</v>
      </c>
      <c r="AT120" s="169">
        <v>0</v>
      </c>
      <c r="AW120" s="1390" t="s">
        <v>408</v>
      </c>
      <c r="AX120" s="840">
        <v>687281445</v>
      </c>
      <c r="AY120" s="840">
        <v>606808370</v>
      </c>
      <c r="AZ120" s="840">
        <v>71950433</v>
      </c>
      <c r="BA120" s="840">
        <v>80473075</v>
      </c>
      <c r="BB120" s="169">
        <f t="shared" si="38"/>
        <v>687281.44499999995</v>
      </c>
      <c r="BC120" s="169">
        <f t="shared" si="39"/>
        <v>606808.37</v>
      </c>
      <c r="BD120" s="169">
        <f t="shared" si="40"/>
        <v>71950.433000000005</v>
      </c>
      <c r="BE120" s="169">
        <f t="shared" si="41"/>
        <v>80473.074999999997</v>
      </c>
    </row>
    <row r="121" spans="1:57" ht="15" customHeight="1" x14ac:dyDescent="0.35">
      <c r="A121" s="841" t="s">
        <v>410</v>
      </c>
      <c r="B121" s="1115">
        <v>991011</v>
      </c>
      <c r="C121" s="1115">
        <v>191010</v>
      </c>
      <c r="D121" s="1115">
        <v>800001</v>
      </c>
      <c r="E121" s="1115">
        <v>191010</v>
      </c>
      <c r="F121" s="1115">
        <f t="shared" si="23"/>
        <v>991.01099999999997</v>
      </c>
      <c r="G121" s="1115">
        <f t="shared" si="24"/>
        <v>191.01</v>
      </c>
      <c r="H121" s="1115">
        <f t="shared" si="25"/>
        <v>800.00099999999998</v>
      </c>
      <c r="I121" s="1115">
        <f t="shared" si="26"/>
        <v>191.01</v>
      </c>
      <c r="Q121" s="94" t="s">
        <v>410</v>
      </c>
      <c r="R121" s="840">
        <v>1665048</v>
      </c>
      <c r="S121" s="840">
        <v>865047</v>
      </c>
      <c r="T121" s="840">
        <v>800001</v>
      </c>
      <c r="U121" s="840">
        <v>840047</v>
      </c>
      <c r="V121" s="169">
        <f t="shared" si="28"/>
        <v>1665.048</v>
      </c>
      <c r="W121" s="169">
        <f t="shared" si="29"/>
        <v>865.04700000000003</v>
      </c>
      <c r="X121" s="169">
        <f t="shared" si="30"/>
        <v>800.00099999999998</v>
      </c>
      <c r="Y121" s="169">
        <f t="shared" si="31"/>
        <v>840.04700000000003</v>
      </c>
      <c r="AB121" s="1390" t="s">
        <v>419</v>
      </c>
      <c r="AC121" s="1391">
        <v>964386511</v>
      </c>
      <c r="AD121" s="169">
        <f t="shared" si="32"/>
        <v>964386.51100000006</v>
      </c>
      <c r="AG121" s="1390" t="s">
        <v>608</v>
      </c>
      <c r="AH121" s="1391">
        <v>16099607</v>
      </c>
      <c r="AI121" s="1391">
        <v>1046025</v>
      </c>
      <c r="AJ121" s="1391">
        <v>6895145</v>
      </c>
      <c r="AK121" s="1391">
        <v>9204462</v>
      </c>
      <c r="AL121" s="1407">
        <f t="shared" si="33"/>
        <v>16099.607</v>
      </c>
      <c r="AM121" s="1407">
        <f t="shared" si="34"/>
        <v>1046.0250000000001</v>
      </c>
      <c r="AN121" s="1407">
        <f t="shared" si="35"/>
        <v>6895.1450000000004</v>
      </c>
      <c r="AO121" s="1407">
        <f t="shared" si="36"/>
        <v>9204.4619999999995</v>
      </c>
      <c r="AR121" s="1390" t="s">
        <v>621</v>
      </c>
      <c r="AS121" s="169">
        <v>0</v>
      </c>
      <c r="AT121" s="169">
        <v>0</v>
      </c>
      <c r="AW121" s="1390" t="s">
        <v>409</v>
      </c>
      <c r="AX121" s="840">
        <v>5500000</v>
      </c>
      <c r="AY121" s="840">
        <v>0</v>
      </c>
      <c r="AZ121" s="840">
        <v>0</v>
      </c>
      <c r="BA121" s="840">
        <v>5500000</v>
      </c>
      <c r="BB121" s="169">
        <f t="shared" si="38"/>
        <v>5500</v>
      </c>
      <c r="BC121" s="169">
        <f t="shared" si="39"/>
        <v>0</v>
      </c>
      <c r="BD121" s="169">
        <f t="shared" si="40"/>
        <v>0</v>
      </c>
      <c r="BE121" s="169">
        <f t="shared" si="41"/>
        <v>5500</v>
      </c>
    </row>
    <row r="122" spans="1:57" ht="15" customHeight="1" x14ac:dyDescent="0.35">
      <c r="A122" s="841" t="s">
        <v>609</v>
      </c>
      <c r="B122" s="1115">
        <v>1</v>
      </c>
      <c r="C122" s="1115">
        <v>0</v>
      </c>
      <c r="D122" s="1115">
        <v>1</v>
      </c>
      <c r="E122" s="1115">
        <v>0</v>
      </c>
      <c r="F122" s="1115">
        <f t="shared" si="23"/>
        <v>1E-3</v>
      </c>
      <c r="G122" s="1115">
        <f t="shared" si="24"/>
        <v>0</v>
      </c>
      <c r="H122" s="1115">
        <f t="shared" si="25"/>
        <v>1E-3</v>
      </c>
      <c r="I122" s="1115">
        <f t="shared" si="26"/>
        <v>0</v>
      </c>
      <c r="Q122" s="94" t="s">
        <v>609</v>
      </c>
      <c r="R122" s="840">
        <v>1</v>
      </c>
      <c r="S122" s="840">
        <v>0</v>
      </c>
      <c r="T122" s="840">
        <v>1</v>
      </c>
      <c r="U122" s="840">
        <v>0</v>
      </c>
      <c r="V122" s="169">
        <f t="shared" si="28"/>
        <v>1E-3</v>
      </c>
      <c r="W122" s="169">
        <f t="shared" si="29"/>
        <v>0</v>
      </c>
      <c r="X122" s="169">
        <f t="shared" si="30"/>
        <v>1E-3</v>
      </c>
      <c r="Y122" s="169">
        <f t="shared" si="31"/>
        <v>0</v>
      </c>
      <c r="AB122" s="1390" t="s">
        <v>420</v>
      </c>
      <c r="AC122" s="1391">
        <v>964386511</v>
      </c>
      <c r="AD122" s="169">
        <f t="shared" si="32"/>
        <v>964386.51100000006</v>
      </c>
      <c r="AG122" s="1390" t="s">
        <v>410</v>
      </c>
      <c r="AH122" s="1391">
        <v>1943137</v>
      </c>
      <c r="AI122" s="1391">
        <v>1046025</v>
      </c>
      <c r="AJ122" s="1391">
        <v>1361645</v>
      </c>
      <c r="AK122" s="1391">
        <v>581492</v>
      </c>
      <c r="AL122" s="1407">
        <f t="shared" si="33"/>
        <v>1943.1369999999999</v>
      </c>
      <c r="AM122" s="1407">
        <f t="shared" si="34"/>
        <v>1046.0250000000001</v>
      </c>
      <c r="AN122" s="1407">
        <f t="shared" si="35"/>
        <v>1361.645</v>
      </c>
      <c r="AO122" s="1407">
        <f t="shared" si="36"/>
        <v>581.49199999999996</v>
      </c>
      <c r="AS122" s="291"/>
      <c r="AT122" s="291"/>
      <c r="AW122" s="1390" t="s">
        <v>608</v>
      </c>
      <c r="AX122" s="840">
        <v>8549555</v>
      </c>
      <c r="AY122" s="840">
        <v>8066745</v>
      </c>
      <c r="AZ122" s="840">
        <v>8027745</v>
      </c>
      <c r="BA122" s="840">
        <v>482810</v>
      </c>
      <c r="BB122" s="169">
        <f t="shared" si="38"/>
        <v>8549.5550000000003</v>
      </c>
      <c r="BC122" s="169">
        <f t="shared" si="39"/>
        <v>8066.7449999999999</v>
      </c>
      <c r="BD122" s="169">
        <f t="shared" si="40"/>
        <v>8027.7449999999999</v>
      </c>
      <c r="BE122" s="169">
        <f t="shared" si="41"/>
        <v>482.81</v>
      </c>
    </row>
    <row r="123" spans="1:57" ht="15" customHeight="1" x14ac:dyDescent="0.35">
      <c r="A123" s="841" t="s">
        <v>411</v>
      </c>
      <c r="B123" s="1115">
        <v>1</v>
      </c>
      <c r="C123" s="1115">
        <v>0</v>
      </c>
      <c r="D123" s="1115">
        <v>1</v>
      </c>
      <c r="E123" s="1115">
        <v>0</v>
      </c>
      <c r="F123" s="1115">
        <f t="shared" si="23"/>
        <v>1E-3</v>
      </c>
      <c r="G123" s="1115">
        <f t="shared" si="24"/>
        <v>0</v>
      </c>
      <c r="H123" s="1115">
        <f t="shared" si="25"/>
        <v>1E-3</v>
      </c>
      <c r="I123" s="1115">
        <f t="shared" si="26"/>
        <v>0</v>
      </c>
      <c r="Q123" s="94" t="s">
        <v>411</v>
      </c>
      <c r="R123" s="840">
        <v>1</v>
      </c>
      <c r="S123" s="840">
        <v>0</v>
      </c>
      <c r="T123" s="840">
        <v>1</v>
      </c>
      <c r="U123" s="840">
        <v>0</v>
      </c>
      <c r="V123" s="169">
        <f t="shared" si="28"/>
        <v>1E-3</v>
      </c>
      <c r="W123" s="169">
        <f t="shared" si="29"/>
        <v>0</v>
      </c>
      <c r="X123" s="169">
        <f t="shared" si="30"/>
        <v>1E-3</v>
      </c>
      <c r="Y123" s="169">
        <f t="shared" si="31"/>
        <v>0</v>
      </c>
      <c r="AB123" s="1390" t="s">
        <v>621</v>
      </c>
      <c r="AC123" s="1391">
        <v>964386511</v>
      </c>
      <c r="AD123" s="169">
        <f t="shared" si="32"/>
        <v>964386.51100000006</v>
      </c>
      <c r="AG123" s="1390" t="s">
        <v>609</v>
      </c>
      <c r="AH123" s="1391">
        <v>5533500</v>
      </c>
      <c r="AI123" s="1391">
        <v>0</v>
      </c>
      <c r="AJ123" s="1391">
        <v>5533500</v>
      </c>
      <c r="AK123" s="1391">
        <v>0</v>
      </c>
      <c r="AL123" s="1407">
        <f t="shared" si="33"/>
        <v>5533.5</v>
      </c>
      <c r="AM123" s="1407">
        <f t="shared" si="34"/>
        <v>0</v>
      </c>
      <c r="AN123" s="1407">
        <f t="shared" si="35"/>
        <v>5533.5</v>
      </c>
      <c r="AO123" s="1407">
        <f t="shared" si="36"/>
        <v>0</v>
      </c>
      <c r="AW123" s="1390" t="s">
        <v>410</v>
      </c>
      <c r="AX123" s="840">
        <v>2974107</v>
      </c>
      <c r="AY123" s="840">
        <v>2533245</v>
      </c>
      <c r="AZ123" s="840">
        <v>2494245</v>
      </c>
      <c r="BA123" s="840">
        <v>440862</v>
      </c>
      <c r="BB123" s="169">
        <f t="shared" si="38"/>
        <v>2974.107</v>
      </c>
      <c r="BC123" s="169">
        <f t="shared" si="39"/>
        <v>2533.2449999999999</v>
      </c>
      <c r="BD123" s="169">
        <f t="shared" si="40"/>
        <v>2494.2449999999999</v>
      </c>
      <c r="BE123" s="169">
        <f t="shared" si="41"/>
        <v>440.86200000000002</v>
      </c>
    </row>
    <row r="124" spans="1:57" ht="15" customHeight="1" x14ac:dyDescent="0.35">
      <c r="A124" s="841" t="s">
        <v>610</v>
      </c>
      <c r="B124" s="1115">
        <v>10000</v>
      </c>
      <c r="C124" s="1115">
        <v>0</v>
      </c>
      <c r="D124" s="1115">
        <v>10000</v>
      </c>
      <c r="E124" s="1115">
        <v>0</v>
      </c>
      <c r="F124" s="1115">
        <f t="shared" si="23"/>
        <v>10</v>
      </c>
      <c r="G124" s="1115">
        <f t="shared" si="24"/>
        <v>0</v>
      </c>
      <c r="H124" s="1115">
        <f t="shared" si="25"/>
        <v>10</v>
      </c>
      <c r="I124" s="1115">
        <f t="shared" si="26"/>
        <v>0</v>
      </c>
      <c r="Q124" s="94" t="s">
        <v>610</v>
      </c>
      <c r="R124" s="840">
        <v>10000</v>
      </c>
      <c r="S124" s="840">
        <v>0</v>
      </c>
      <c r="T124" s="840">
        <v>10000</v>
      </c>
      <c r="U124" s="840">
        <v>0</v>
      </c>
      <c r="V124" s="169">
        <f t="shared" si="28"/>
        <v>10</v>
      </c>
      <c r="W124" s="169">
        <f t="shared" si="29"/>
        <v>0</v>
      </c>
      <c r="X124" s="169">
        <f t="shared" si="30"/>
        <v>10</v>
      </c>
      <c r="Y124" s="169">
        <f t="shared" si="31"/>
        <v>0</v>
      </c>
      <c r="AB124" s="1390" t="s">
        <v>422</v>
      </c>
      <c r="AC124" s="1391">
        <v>0</v>
      </c>
      <c r="AD124" s="169">
        <f t="shared" si="32"/>
        <v>0</v>
      </c>
      <c r="AG124" s="1390" t="s">
        <v>411</v>
      </c>
      <c r="AH124" s="1391">
        <v>8622970</v>
      </c>
      <c r="AI124" s="1391">
        <v>0</v>
      </c>
      <c r="AJ124" s="1391">
        <v>0</v>
      </c>
      <c r="AK124" s="1391">
        <v>8622970</v>
      </c>
      <c r="AL124" s="1407">
        <f t="shared" si="33"/>
        <v>8622.9699999999993</v>
      </c>
      <c r="AM124" s="1407">
        <f t="shared" si="34"/>
        <v>0</v>
      </c>
      <c r="AN124" s="1407">
        <f t="shared" si="35"/>
        <v>0</v>
      </c>
      <c r="AO124" s="1407">
        <f t="shared" si="36"/>
        <v>8622.9699999999993</v>
      </c>
      <c r="AW124" s="1390" t="s">
        <v>609</v>
      </c>
      <c r="AX124" s="840">
        <v>5533500</v>
      </c>
      <c r="AY124" s="840">
        <v>5533500</v>
      </c>
      <c r="AZ124" s="840">
        <v>5533500</v>
      </c>
      <c r="BA124" s="840">
        <v>0</v>
      </c>
      <c r="BB124" s="169">
        <f t="shared" si="38"/>
        <v>5533.5</v>
      </c>
      <c r="BC124" s="169">
        <f t="shared" si="39"/>
        <v>5533.5</v>
      </c>
      <c r="BD124" s="169">
        <f t="shared" si="40"/>
        <v>5533.5</v>
      </c>
      <c r="BE124" s="169">
        <f t="shared" si="41"/>
        <v>0</v>
      </c>
    </row>
    <row r="125" spans="1:57" ht="15" customHeight="1" x14ac:dyDescent="0.35">
      <c r="A125" s="841" t="s">
        <v>611</v>
      </c>
      <c r="B125" s="1115">
        <v>10000</v>
      </c>
      <c r="C125" s="1115">
        <v>0</v>
      </c>
      <c r="D125" s="1115">
        <v>10000</v>
      </c>
      <c r="E125" s="1115">
        <v>0</v>
      </c>
      <c r="F125" s="1115">
        <f t="shared" si="23"/>
        <v>10</v>
      </c>
      <c r="G125" s="1115">
        <f t="shared" si="24"/>
        <v>0</v>
      </c>
      <c r="H125" s="1115">
        <f t="shared" si="25"/>
        <v>10</v>
      </c>
      <c r="I125" s="1115">
        <f t="shared" si="26"/>
        <v>0</v>
      </c>
      <c r="Q125" s="94" t="s">
        <v>611</v>
      </c>
      <c r="R125" s="840">
        <v>10000</v>
      </c>
      <c r="S125" s="840">
        <v>0</v>
      </c>
      <c r="T125" s="840">
        <v>10000</v>
      </c>
      <c r="U125" s="840">
        <v>0</v>
      </c>
      <c r="V125" s="169">
        <f t="shared" si="28"/>
        <v>10</v>
      </c>
      <c r="W125" s="169">
        <f t="shared" si="29"/>
        <v>0</v>
      </c>
      <c r="X125" s="169">
        <f t="shared" si="30"/>
        <v>10</v>
      </c>
      <c r="Y125" s="169">
        <f t="shared" si="31"/>
        <v>0</v>
      </c>
      <c r="AG125" s="1390" t="s">
        <v>610</v>
      </c>
      <c r="AH125" s="1391">
        <v>10000</v>
      </c>
      <c r="AI125" s="1391">
        <v>0</v>
      </c>
      <c r="AJ125" s="1391">
        <v>0</v>
      </c>
      <c r="AK125" s="1391">
        <v>10000</v>
      </c>
      <c r="AL125" s="1407">
        <f t="shared" si="33"/>
        <v>10</v>
      </c>
      <c r="AM125" s="1407">
        <f t="shared" si="34"/>
        <v>0</v>
      </c>
      <c r="AN125" s="1407">
        <f t="shared" si="35"/>
        <v>0</v>
      </c>
      <c r="AO125" s="1407">
        <f t="shared" si="36"/>
        <v>10</v>
      </c>
      <c r="AW125" s="1390" t="s">
        <v>411</v>
      </c>
      <c r="AX125" s="840">
        <v>41948</v>
      </c>
      <c r="AY125" s="840">
        <v>0</v>
      </c>
      <c r="AZ125" s="840">
        <v>0</v>
      </c>
      <c r="BA125" s="840">
        <v>41948</v>
      </c>
      <c r="BB125" s="169">
        <f t="shared" si="38"/>
        <v>41.948</v>
      </c>
      <c r="BC125" s="169">
        <f t="shared" si="39"/>
        <v>0</v>
      </c>
      <c r="BD125" s="169">
        <f t="shared" si="40"/>
        <v>0</v>
      </c>
      <c r="BE125" s="169">
        <f t="shared" si="41"/>
        <v>41.948</v>
      </c>
    </row>
    <row r="126" spans="1:57" ht="15" customHeight="1" x14ac:dyDescent="0.35">
      <c r="A126" s="841" t="s">
        <v>612</v>
      </c>
      <c r="B126" s="1115">
        <v>10000</v>
      </c>
      <c r="C126" s="1115">
        <v>0</v>
      </c>
      <c r="D126" s="1115">
        <v>10000</v>
      </c>
      <c r="E126" s="1115">
        <v>0</v>
      </c>
      <c r="F126" s="1115">
        <f t="shared" si="23"/>
        <v>10</v>
      </c>
      <c r="G126" s="1115">
        <f t="shared" si="24"/>
        <v>0</v>
      </c>
      <c r="H126" s="1115">
        <f t="shared" si="25"/>
        <v>10</v>
      </c>
      <c r="I126" s="1115">
        <f t="shared" si="26"/>
        <v>0</v>
      </c>
      <c r="Q126" s="94" t="s">
        <v>612</v>
      </c>
      <c r="R126" s="840">
        <v>10000</v>
      </c>
      <c r="S126" s="840">
        <v>0</v>
      </c>
      <c r="T126" s="840">
        <v>10000</v>
      </c>
      <c r="U126" s="840">
        <v>0</v>
      </c>
      <c r="V126" s="169">
        <f t="shared" si="28"/>
        <v>10</v>
      </c>
      <c r="W126" s="169">
        <f t="shared" si="29"/>
        <v>0</v>
      </c>
      <c r="X126" s="169">
        <f t="shared" si="30"/>
        <v>10</v>
      </c>
      <c r="Y126" s="169">
        <f t="shared" si="31"/>
        <v>0</v>
      </c>
      <c r="AG126" s="1390" t="s">
        <v>611</v>
      </c>
      <c r="AH126" s="1391">
        <v>10000</v>
      </c>
      <c r="AI126" s="1391">
        <v>0</v>
      </c>
      <c r="AJ126" s="1391">
        <v>0</v>
      </c>
      <c r="AK126" s="1391">
        <v>10000</v>
      </c>
      <c r="AL126" s="1407">
        <f t="shared" si="33"/>
        <v>10</v>
      </c>
      <c r="AM126" s="1407">
        <f t="shared" si="34"/>
        <v>0</v>
      </c>
      <c r="AN126" s="1407">
        <f t="shared" si="35"/>
        <v>0</v>
      </c>
      <c r="AO126" s="1407">
        <f t="shared" si="36"/>
        <v>10</v>
      </c>
      <c r="AW126" s="1390" t="s">
        <v>610</v>
      </c>
      <c r="AX126" s="840">
        <v>10000</v>
      </c>
      <c r="AY126" s="840">
        <v>0</v>
      </c>
      <c r="AZ126" s="840">
        <v>0</v>
      </c>
      <c r="BA126" s="840">
        <v>10000</v>
      </c>
      <c r="BB126" s="169">
        <f t="shared" si="38"/>
        <v>10</v>
      </c>
      <c r="BC126" s="169">
        <f t="shared" si="39"/>
        <v>0</v>
      </c>
      <c r="BD126" s="169">
        <f t="shared" si="40"/>
        <v>0</v>
      </c>
      <c r="BE126" s="169">
        <f t="shared" si="41"/>
        <v>10</v>
      </c>
    </row>
    <row r="127" spans="1:57" ht="15" customHeight="1" x14ac:dyDescent="0.35">
      <c r="A127" s="841" t="s">
        <v>412</v>
      </c>
      <c r="B127" s="1115">
        <v>136431000</v>
      </c>
      <c r="C127" s="1115">
        <v>68455996</v>
      </c>
      <c r="D127" s="1115">
        <v>67975004</v>
      </c>
      <c r="E127" s="1115">
        <v>8886155</v>
      </c>
      <c r="F127" s="1115">
        <f t="shared" si="23"/>
        <v>136431</v>
      </c>
      <c r="G127" s="1115">
        <f t="shared" si="24"/>
        <v>68455.995999999999</v>
      </c>
      <c r="H127" s="1115">
        <f t="shared" si="25"/>
        <v>67975.004000000001</v>
      </c>
      <c r="I127" s="1115">
        <f t="shared" si="26"/>
        <v>8886.1550000000007</v>
      </c>
      <c r="Q127" s="94" t="s">
        <v>412</v>
      </c>
      <c r="R127" s="840">
        <v>136431000</v>
      </c>
      <c r="S127" s="840">
        <v>68812996</v>
      </c>
      <c r="T127" s="840">
        <v>67618004</v>
      </c>
      <c r="U127" s="840">
        <v>16620999</v>
      </c>
      <c r="V127" s="169">
        <f t="shared" si="28"/>
        <v>136431</v>
      </c>
      <c r="W127" s="169">
        <f t="shared" si="29"/>
        <v>68812.995999999999</v>
      </c>
      <c r="X127" s="169">
        <f t="shared" si="30"/>
        <v>67618.004000000001</v>
      </c>
      <c r="Y127" s="169">
        <f t="shared" si="31"/>
        <v>16620.999</v>
      </c>
      <c r="AG127" s="1390" t="s">
        <v>612</v>
      </c>
      <c r="AH127" s="1391">
        <v>10000</v>
      </c>
      <c r="AI127" s="1391">
        <v>0</v>
      </c>
      <c r="AJ127" s="1391">
        <v>0</v>
      </c>
      <c r="AK127" s="1391">
        <v>10000</v>
      </c>
      <c r="AL127" s="1407">
        <f t="shared" si="33"/>
        <v>10</v>
      </c>
      <c r="AM127" s="1407">
        <f t="shared" si="34"/>
        <v>0</v>
      </c>
      <c r="AN127" s="1407">
        <f t="shared" si="35"/>
        <v>0</v>
      </c>
      <c r="AO127" s="1407">
        <f t="shared" si="36"/>
        <v>10</v>
      </c>
      <c r="AW127" s="1390" t="s">
        <v>611</v>
      </c>
      <c r="AX127" s="840">
        <v>10000</v>
      </c>
      <c r="AY127" s="840">
        <v>0</v>
      </c>
      <c r="AZ127" s="840">
        <v>0</v>
      </c>
      <c r="BA127" s="840">
        <v>10000</v>
      </c>
      <c r="BB127" s="169">
        <f t="shared" si="38"/>
        <v>10</v>
      </c>
      <c r="BC127" s="169">
        <f t="shared" si="39"/>
        <v>0</v>
      </c>
      <c r="BD127" s="169">
        <f t="shared" si="40"/>
        <v>0</v>
      </c>
      <c r="BE127" s="169">
        <f t="shared" si="41"/>
        <v>10</v>
      </c>
    </row>
    <row r="128" spans="1:57" ht="15" customHeight="1" x14ac:dyDescent="0.35">
      <c r="A128" s="841" t="s">
        <v>413</v>
      </c>
      <c r="B128" s="1115">
        <v>136431000</v>
      </c>
      <c r="C128" s="1115">
        <v>68455996</v>
      </c>
      <c r="D128" s="1115">
        <v>67975004</v>
      </c>
      <c r="E128" s="1115">
        <v>8886155</v>
      </c>
      <c r="F128" s="1115">
        <f t="shared" si="23"/>
        <v>136431</v>
      </c>
      <c r="G128" s="1115">
        <f t="shared" si="24"/>
        <v>68455.995999999999</v>
      </c>
      <c r="H128" s="1115">
        <f t="shared" si="25"/>
        <v>67975.004000000001</v>
      </c>
      <c r="I128" s="1115">
        <f t="shared" si="26"/>
        <v>8886.1550000000007</v>
      </c>
      <c r="Q128" s="94" t="s">
        <v>413</v>
      </c>
      <c r="R128" s="840">
        <v>136431000</v>
      </c>
      <c r="S128" s="840">
        <v>68812996</v>
      </c>
      <c r="T128" s="840">
        <v>67618004</v>
      </c>
      <c r="U128" s="840">
        <v>16620999</v>
      </c>
      <c r="V128" s="169">
        <f t="shared" si="28"/>
        <v>136431</v>
      </c>
      <c r="W128" s="169">
        <f t="shared" si="29"/>
        <v>68812.995999999999</v>
      </c>
      <c r="X128" s="169">
        <f t="shared" si="30"/>
        <v>67618.004000000001</v>
      </c>
      <c r="Y128" s="169">
        <f t="shared" si="31"/>
        <v>16620.999</v>
      </c>
      <c r="AG128" s="1390" t="s">
        <v>412</v>
      </c>
      <c r="AH128" s="1391">
        <v>136431000</v>
      </c>
      <c r="AI128" s="1391">
        <v>25796468</v>
      </c>
      <c r="AJ128" s="1391">
        <v>68455996</v>
      </c>
      <c r="AK128" s="1391">
        <v>67975004</v>
      </c>
      <c r="AL128" s="1407">
        <f t="shared" si="33"/>
        <v>136431</v>
      </c>
      <c r="AM128" s="1407">
        <f t="shared" si="34"/>
        <v>25796.468000000001</v>
      </c>
      <c r="AN128" s="1407">
        <f t="shared" si="35"/>
        <v>68455.995999999999</v>
      </c>
      <c r="AO128" s="1407">
        <f t="shared" si="36"/>
        <v>67975.004000000001</v>
      </c>
      <c r="AW128" s="1390" t="s">
        <v>612</v>
      </c>
      <c r="AX128" s="840">
        <v>10000</v>
      </c>
      <c r="AY128" s="840">
        <v>0</v>
      </c>
      <c r="AZ128" s="840">
        <v>0</v>
      </c>
      <c r="BA128" s="840">
        <v>10000</v>
      </c>
      <c r="BB128" s="169">
        <f t="shared" si="38"/>
        <v>10</v>
      </c>
      <c r="BC128" s="169">
        <f t="shared" si="39"/>
        <v>0</v>
      </c>
      <c r="BD128" s="169">
        <f t="shared" si="40"/>
        <v>0</v>
      </c>
      <c r="BE128" s="169">
        <f t="shared" si="41"/>
        <v>10</v>
      </c>
    </row>
    <row r="129" spans="1:57" ht="15" customHeight="1" x14ac:dyDescent="0.35">
      <c r="A129" s="841" t="s">
        <v>614</v>
      </c>
      <c r="B129" s="1115">
        <v>10000</v>
      </c>
      <c r="C129" s="1115">
        <v>0</v>
      </c>
      <c r="D129" s="1115">
        <v>10000</v>
      </c>
      <c r="E129" s="1115">
        <v>0</v>
      </c>
      <c r="F129" s="1115">
        <f t="shared" si="23"/>
        <v>10</v>
      </c>
      <c r="G129" s="1115">
        <f t="shared" si="24"/>
        <v>0</v>
      </c>
      <c r="H129" s="1115">
        <f t="shared" si="25"/>
        <v>10</v>
      </c>
      <c r="I129" s="1115">
        <f t="shared" si="26"/>
        <v>0</v>
      </c>
      <c r="Q129" s="94" t="s">
        <v>614</v>
      </c>
      <c r="R129" s="840">
        <v>10000</v>
      </c>
      <c r="S129" s="840">
        <v>0</v>
      </c>
      <c r="T129" s="840">
        <v>10000</v>
      </c>
      <c r="U129" s="840">
        <v>0</v>
      </c>
      <c r="V129" s="169">
        <f t="shared" si="28"/>
        <v>10</v>
      </c>
      <c r="W129" s="169">
        <f t="shared" si="29"/>
        <v>0</v>
      </c>
      <c r="X129" s="169">
        <f t="shared" si="30"/>
        <v>10</v>
      </c>
      <c r="Y129" s="169">
        <f t="shared" si="31"/>
        <v>0</v>
      </c>
      <c r="AG129" s="1390" t="s">
        <v>413</v>
      </c>
      <c r="AH129" s="1391">
        <v>136431000</v>
      </c>
      <c r="AI129" s="1391">
        <v>25796468</v>
      </c>
      <c r="AJ129" s="1391">
        <v>68455996</v>
      </c>
      <c r="AK129" s="1391">
        <v>67975004</v>
      </c>
      <c r="AL129" s="1407">
        <f t="shared" si="33"/>
        <v>136431</v>
      </c>
      <c r="AM129" s="1407">
        <f t="shared" si="34"/>
        <v>25796.468000000001</v>
      </c>
      <c r="AN129" s="1407">
        <f t="shared" si="35"/>
        <v>68455.995999999999</v>
      </c>
      <c r="AO129" s="1407">
        <f t="shared" si="36"/>
        <v>67975.004000000001</v>
      </c>
      <c r="AW129" s="1390" t="s">
        <v>412</v>
      </c>
      <c r="AX129" s="840">
        <v>136431000</v>
      </c>
      <c r="AY129" s="840">
        <v>68812996</v>
      </c>
      <c r="AZ129" s="840">
        <v>27571937</v>
      </c>
      <c r="BA129" s="840">
        <v>67618004</v>
      </c>
      <c r="BB129" s="169">
        <f t="shared" si="38"/>
        <v>136431</v>
      </c>
      <c r="BC129" s="169">
        <f t="shared" si="39"/>
        <v>68812.995999999999</v>
      </c>
      <c r="BD129" s="169">
        <f t="shared" si="40"/>
        <v>27571.937000000002</v>
      </c>
      <c r="BE129" s="169">
        <f t="shared" si="41"/>
        <v>67618.004000000001</v>
      </c>
    </row>
    <row r="130" spans="1:57" ht="15" customHeight="1" x14ac:dyDescent="0.35">
      <c r="A130" s="841" t="s">
        <v>532</v>
      </c>
      <c r="B130" s="1115">
        <v>136421000</v>
      </c>
      <c r="C130" s="1115">
        <v>68455996</v>
      </c>
      <c r="D130" s="1115">
        <v>67965004</v>
      </c>
      <c r="E130" s="1115">
        <v>8886155</v>
      </c>
      <c r="F130" s="1115">
        <f t="shared" si="23"/>
        <v>136421</v>
      </c>
      <c r="G130" s="1115">
        <f t="shared" si="24"/>
        <v>68455.995999999999</v>
      </c>
      <c r="H130" s="1115">
        <f t="shared" si="25"/>
        <v>67965.004000000001</v>
      </c>
      <c r="I130" s="1115">
        <f t="shared" si="26"/>
        <v>8886.1550000000007</v>
      </c>
      <c r="Q130" s="94" t="s">
        <v>532</v>
      </c>
      <c r="R130" s="840">
        <v>136421000</v>
      </c>
      <c r="S130" s="840">
        <v>68812996</v>
      </c>
      <c r="T130" s="840">
        <v>67608004</v>
      </c>
      <c r="U130" s="840">
        <v>16620999</v>
      </c>
      <c r="V130" s="169">
        <f t="shared" si="28"/>
        <v>136421</v>
      </c>
      <c r="W130" s="169">
        <f t="shared" si="29"/>
        <v>68812.995999999999</v>
      </c>
      <c r="X130" s="169">
        <f t="shared" si="30"/>
        <v>67608.004000000001</v>
      </c>
      <c r="Y130" s="169">
        <f t="shared" si="31"/>
        <v>16620.999</v>
      </c>
      <c r="AG130" s="1390" t="s">
        <v>614</v>
      </c>
      <c r="AH130" s="1391">
        <v>10000</v>
      </c>
      <c r="AI130" s="1391">
        <v>0</v>
      </c>
      <c r="AJ130" s="1391">
        <v>0</v>
      </c>
      <c r="AK130" s="1391">
        <v>10000</v>
      </c>
      <c r="AL130" s="1407">
        <f t="shared" si="33"/>
        <v>10</v>
      </c>
      <c r="AM130" s="1407">
        <f t="shared" si="34"/>
        <v>0</v>
      </c>
      <c r="AN130" s="1407">
        <f t="shared" si="35"/>
        <v>0</v>
      </c>
      <c r="AO130" s="1407">
        <f t="shared" si="36"/>
        <v>10</v>
      </c>
      <c r="AW130" s="1390" t="s">
        <v>413</v>
      </c>
      <c r="AX130" s="840">
        <v>136431000</v>
      </c>
      <c r="AY130" s="840">
        <v>68812996</v>
      </c>
      <c r="AZ130" s="840">
        <v>27571937</v>
      </c>
      <c r="BA130" s="840">
        <v>67618004</v>
      </c>
      <c r="BB130" s="169">
        <f t="shared" si="38"/>
        <v>136431</v>
      </c>
      <c r="BC130" s="169">
        <f t="shared" si="39"/>
        <v>68812.995999999999</v>
      </c>
      <c r="BD130" s="169">
        <f t="shared" si="40"/>
        <v>27571.937000000002</v>
      </c>
      <c r="BE130" s="169">
        <f t="shared" si="41"/>
        <v>67618.004000000001</v>
      </c>
    </row>
    <row r="131" spans="1:57" ht="15" customHeight="1" x14ac:dyDescent="0.35">
      <c r="A131" s="841" t="s">
        <v>638</v>
      </c>
      <c r="B131" s="1115">
        <v>165389000</v>
      </c>
      <c r="C131" s="1115">
        <v>35780628</v>
      </c>
      <c r="D131" s="1115">
        <v>129608372</v>
      </c>
      <c r="E131" s="1115">
        <v>35780628</v>
      </c>
      <c r="F131" s="1115">
        <f t="shared" si="23"/>
        <v>165389</v>
      </c>
      <c r="G131" s="1115">
        <f t="shared" si="24"/>
        <v>35780.627999999997</v>
      </c>
      <c r="H131" s="1115">
        <f t="shared" si="25"/>
        <v>129608.372</v>
      </c>
      <c r="I131" s="1115">
        <f t="shared" si="26"/>
        <v>35780.627999999997</v>
      </c>
      <c r="Q131" s="94" t="s">
        <v>638</v>
      </c>
      <c r="R131" s="840">
        <v>165389000</v>
      </c>
      <c r="S131" s="840">
        <v>43370044</v>
      </c>
      <c r="T131" s="840">
        <v>122018956</v>
      </c>
      <c r="U131" s="840">
        <v>43370044</v>
      </c>
      <c r="V131" s="169">
        <f t="shared" si="28"/>
        <v>165389</v>
      </c>
      <c r="W131" s="169">
        <f t="shared" si="29"/>
        <v>43370.044000000002</v>
      </c>
      <c r="X131" s="169">
        <f t="shared" si="30"/>
        <v>122018.95600000001</v>
      </c>
      <c r="Y131" s="169">
        <f t="shared" si="31"/>
        <v>43370.044000000002</v>
      </c>
      <c r="AG131" s="1390" t="s">
        <v>532</v>
      </c>
      <c r="AH131" s="1391">
        <v>136421000</v>
      </c>
      <c r="AI131" s="1391">
        <v>25796468</v>
      </c>
      <c r="AJ131" s="1391">
        <v>68455996</v>
      </c>
      <c r="AK131" s="1391">
        <v>67965004</v>
      </c>
      <c r="AL131" s="1407">
        <f t="shared" si="33"/>
        <v>136421</v>
      </c>
      <c r="AM131" s="1407">
        <f t="shared" si="34"/>
        <v>25796.468000000001</v>
      </c>
      <c r="AN131" s="1407">
        <f t="shared" si="35"/>
        <v>68455.995999999999</v>
      </c>
      <c r="AO131" s="1407">
        <f t="shared" si="36"/>
        <v>67965.004000000001</v>
      </c>
      <c r="AW131" s="1390" t="s">
        <v>614</v>
      </c>
      <c r="AX131" s="840">
        <v>10000</v>
      </c>
      <c r="AY131" s="840">
        <v>0</v>
      </c>
      <c r="AZ131" s="840">
        <v>0</v>
      </c>
      <c r="BA131" s="840">
        <v>10000</v>
      </c>
      <c r="BB131" s="169">
        <f t="shared" si="38"/>
        <v>10</v>
      </c>
      <c r="BC131" s="169">
        <f t="shared" si="39"/>
        <v>0</v>
      </c>
      <c r="BD131" s="169">
        <f t="shared" si="40"/>
        <v>0</v>
      </c>
      <c r="BE131" s="169">
        <f t="shared" si="41"/>
        <v>10</v>
      </c>
    </row>
    <row r="132" spans="1:57" ht="15" customHeight="1" x14ac:dyDescent="0.35">
      <c r="A132" s="841" t="s">
        <v>639</v>
      </c>
      <c r="B132" s="1115">
        <v>165389000</v>
      </c>
      <c r="C132" s="1115">
        <v>35780628</v>
      </c>
      <c r="D132" s="1115">
        <v>129608372</v>
      </c>
      <c r="E132" s="1115">
        <v>35780628</v>
      </c>
      <c r="F132" s="1115">
        <f t="shared" ref="F132:F147" si="42">+B132/$H$1*$I$1</f>
        <v>165389</v>
      </c>
      <c r="G132" s="1115">
        <f t="shared" ref="G132:G147" si="43">+C132/$H$1*$I$1</f>
        <v>35780.627999999997</v>
      </c>
      <c r="H132" s="1115">
        <f t="shared" ref="H132:H147" si="44">+D132/$H$1*$I$1</f>
        <v>129608.372</v>
      </c>
      <c r="I132" s="1115">
        <f t="shared" ref="I132:I147" si="45">+E132/$H$1*$I$1</f>
        <v>35780.627999999997</v>
      </c>
      <c r="Q132" s="94" t="s">
        <v>639</v>
      </c>
      <c r="R132" s="840">
        <v>165389000</v>
      </c>
      <c r="S132" s="840">
        <v>43370044</v>
      </c>
      <c r="T132" s="840">
        <v>122018956</v>
      </c>
      <c r="U132" s="840">
        <v>43370044</v>
      </c>
      <c r="V132" s="169">
        <f t="shared" ref="V132:V146" si="46">+R132/$X$1*$Y$1</f>
        <v>165389</v>
      </c>
      <c r="W132" s="169">
        <f t="shared" ref="W132:W146" si="47">+S132/$X$1*$Y$1</f>
        <v>43370.044000000002</v>
      </c>
      <c r="X132" s="169">
        <f t="shared" ref="X132:X146" si="48">+T132/$X$1*$Y$1</f>
        <v>122018.95600000001</v>
      </c>
      <c r="Y132" s="169">
        <f t="shared" ref="Y132:Y146" si="49">+U132/$X$1*$Y$1</f>
        <v>43370.044000000002</v>
      </c>
      <c r="AG132" s="1390" t="s">
        <v>638</v>
      </c>
      <c r="AH132" s="1391">
        <v>165389000</v>
      </c>
      <c r="AI132" s="1391">
        <v>43370044</v>
      </c>
      <c r="AJ132" s="1391">
        <v>43370044</v>
      </c>
      <c r="AK132" s="1391">
        <v>122018956</v>
      </c>
      <c r="AL132" s="1407">
        <f t="shared" ref="AL132:AL147" si="50">+AH132/$AN$1*$AO$1</f>
        <v>165389</v>
      </c>
      <c r="AM132" s="1407">
        <f t="shared" ref="AM132:AM147" si="51">+AI132/$AN$1*$AO$1</f>
        <v>43370.044000000002</v>
      </c>
      <c r="AN132" s="1407">
        <f t="shared" ref="AN132:AN147" si="52">+AJ132/$AN$1*$AO$1</f>
        <v>43370.044000000002</v>
      </c>
      <c r="AO132" s="1407">
        <f t="shared" ref="AO132:AO147" si="53">+AK132/$AN$1*$AO$1</f>
        <v>122018.95600000001</v>
      </c>
      <c r="AW132" s="1390" t="s">
        <v>532</v>
      </c>
      <c r="AX132" s="840">
        <v>136421000</v>
      </c>
      <c r="AY132" s="840">
        <v>68812996</v>
      </c>
      <c r="AZ132" s="840">
        <v>27571937</v>
      </c>
      <c r="BA132" s="840">
        <v>67608004</v>
      </c>
      <c r="BB132" s="169">
        <f t="shared" ref="BB132:BB149" si="54">+AX132/$BD$1*$BE$1</f>
        <v>136421</v>
      </c>
      <c r="BC132" s="169">
        <f t="shared" ref="BC132:BC149" si="55">+AY132/$BD$1*$BE$1</f>
        <v>68812.995999999999</v>
      </c>
      <c r="BD132" s="169">
        <f t="shared" ref="BD132:BD149" si="56">+AZ132/$BD$1*$BE$1</f>
        <v>27571.937000000002</v>
      </c>
      <c r="BE132" s="169">
        <f t="shared" ref="BE132:BE149" si="57">+BA132/$BD$1*$BE$1</f>
        <v>67608.004000000001</v>
      </c>
    </row>
    <row r="133" spans="1:57" ht="15" customHeight="1" x14ac:dyDescent="0.35">
      <c r="A133" s="841" t="s">
        <v>995</v>
      </c>
      <c r="B133" s="1115">
        <v>0</v>
      </c>
      <c r="C133" s="1115">
        <v>0</v>
      </c>
      <c r="D133" s="1115">
        <v>0</v>
      </c>
      <c r="E133" s="1115">
        <v>0</v>
      </c>
      <c r="F133" s="1115">
        <f t="shared" si="42"/>
        <v>0</v>
      </c>
      <c r="G133" s="1115">
        <f t="shared" si="43"/>
        <v>0</v>
      </c>
      <c r="H133" s="1115">
        <f t="shared" si="44"/>
        <v>0</v>
      </c>
      <c r="I133" s="1115">
        <f t="shared" si="45"/>
        <v>0</v>
      </c>
      <c r="Q133" s="94" t="s">
        <v>995</v>
      </c>
      <c r="R133" s="840">
        <v>0</v>
      </c>
      <c r="S133" s="840">
        <v>0</v>
      </c>
      <c r="T133" s="840">
        <v>0</v>
      </c>
      <c r="U133" s="840">
        <v>0</v>
      </c>
      <c r="V133" s="169">
        <f t="shared" si="46"/>
        <v>0</v>
      </c>
      <c r="W133" s="169">
        <f t="shared" si="47"/>
        <v>0</v>
      </c>
      <c r="X133" s="169">
        <f t="shared" si="48"/>
        <v>0</v>
      </c>
      <c r="Y133" s="169">
        <f t="shared" si="49"/>
        <v>0</v>
      </c>
      <c r="AG133" s="1390" t="s">
        <v>639</v>
      </c>
      <c r="AH133" s="1391">
        <v>165389000</v>
      </c>
      <c r="AI133" s="1391">
        <v>43370044</v>
      </c>
      <c r="AJ133" s="1391">
        <v>43370044</v>
      </c>
      <c r="AK133" s="1391">
        <v>122018956</v>
      </c>
      <c r="AL133" s="1407">
        <f t="shared" si="50"/>
        <v>165389</v>
      </c>
      <c r="AM133" s="1407">
        <f t="shared" si="51"/>
        <v>43370.044000000002</v>
      </c>
      <c r="AN133" s="1407">
        <f t="shared" si="52"/>
        <v>43370.044000000002</v>
      </c>
      <c r="AO133" s="1407">
        <f t="shared" si="53"/>
        <v>122018.95600000001</v>
      </c>
      <c r="AW133" s="1390" t="s">
        <v>638</v>
      </c>
      <c r="AX133" s="840">
        <v>165389000</v>
      </c>
      <c r="AY133" s="840">
        <v>73747996</v>
      </c>
      <c r="AZ133" s="840">
        <v>73747996</v>
      </c>
      <c r="BA133" s="840">
        <v>91641004</v>
      </c>
      <c r="BB133" s="169">
        <f t="shared" si="54"/>
        <v>165389</v>
      </c>
      <c r="BC133" s="169">
        <f t="shared" si="55"/>
        <v>73747.995999999999</v>
      </c>
      <c r="BD133" s="169">
        <f t="shared" si="56"/>
        <v>73747.995999999999</v>
      </c>
      <c r="BE133" s="169">
        <f t="shared" si="57"/>
        <v>91641.004000000001</v>
      </c>
    </row>
    <row r="134" spans="1:57" ht="15" customHeight="1" x14ac:dyDescent="0.35">
      <c r="A134" s="841" t="s">
        <v>996</v>
      </c>
      <c r="B134" s="1115">
        <v>0</v>
      </c>
      <c r="C134" s="1115">
        <v>0</v>
      </c>
      <c r="D134" s="1115">
        <v>0</v>
      </c>
      <c r="E134" s="1115">
        <v>0</v>
      </c>
      <c r="F134" s="1115">
        <f t="shared" si="42"/>
        <v>0</v>
      </c>
      <c r="G134" s="1115">
        <f t="shared" si="43"/>
        <v>0</v>
      </c>
      <c r="H134" s="1115">
        <f t="shared" si="44"/>
        <v>0</v>
      </c>
      <c r="I134" s="1115">
        <f t="shared" si="45"/>
        <v>0</v>
      </c>
      <c r="Q134" s="94" t="s">
        <v>996</v>
      </c>
      <c r="R134" s="840">
        <v>0</v>
      </c>
      <c r="S134" s="840">
        <v>0</v>
      </c>
      <c r="T134" s="840">
        <v>0</v>
      </c>
      <c r="U134" s="840">
        <v>0</v>
      </c>
      <c r="V134" s="169">
        <f t="shared" si="46"/>
        <v>0</v>
      </c>
      <c r="W134" s="169">
        <f t="shared" si="47"/>
        <v>0</v>
      </c>
      <c r="X134" s="169">
        <f t="shared" si="48"/>
        <v>0</v>
      </c>
      <c r="Y134" s="169">
        <f t="shared" si="49"/>
        <v>0</v>
      </c>
      <c r="AG134" s="1390" t="s">
        <v>995</v>
      </c>
      <c r="AH134" s="1391">
        <v>0</v>
      </c>
      <c r="AI134" s="1391">
        <v>0</v>
      </c>
      <c r="AJ134" s="1391">
        <v>0</v>
      </c>
      <c r="AK134" s="1391">
        <v>0</v>
      </c>
      <c r="AL134" s="1407">
        <f t="shared" si="50"/>
        <v>0</v>
      </c>
      <c r="AM134" s="1407">
        <f t="shared" si="51"/>
        <v>0</v>
      </c>
      <c r="AN134" s="1407">
        <f t="shared" si="52"/>
        <v>0</v>
      </c>
      <c r="AO134" s="1407">
        <f t="shared" si="53"/>
        <v>0</v>
      </c>
      <c r="AW134" s="1390" t="s">
        <v>639</v>
      </c>
      <c r="AX134" s="840">
        <v>165389000</v>
      </c>
      <c r="AY134" s="840">
        <v>73747996</v>
      </c>
      <c r="AZ134" s="840">
        <v>73747996</v>
      </c>
      <c r="BA134" s="840">
        <v>91641004</v>
      </c>
      <c r="BB134" s="169">
        <f t="shared" si="54"/>
        <v>165389</v>
      </c>
      <c r="BC134" s="169">
        <f t="shared" si="55"/>
        <v>73747.995999999999</v>
      </c>
      <c r="BD134" s="169">
        <f t="shared" si="56"/>
        <v>73747.995999999999</v>
      </c>
      <c r="BE134" s="169">
        <f t="shared" si="57"/>
        <v>91641.004000000001</v>
      </c>
    </row>
    <row r="135" spans="1:57" ht="15" customHeight="1" x14ac:dyDescent="0.35">
      <c r="A135" s="841" t="s">
        <v>618</v>
      </c>
      <c r="B135" s="1115">
        <v>332151000</v>
      </c>
      <c r="C135" s="1115">
        <v>0</v>
      </c>
      <c r="D135" s="1115">
        <v>332151000</v>
      </c>
      <c r="E135" s="1115">
        <v>0</v>
      </c>
      <c r="F135" s="1115">
        <f t="shared" si="42"/>
        <v>332151</v>
      </c>
      <c r="G135" s="1115">
        <f t="shared" si="43"/>
        <v>0</v>
      </c>
      <c r="H135" s="1115">
        <f t="shared" si="44"/>
        <v>332151</v>
      </c>
      <c r="I135" s="1115">
        <f t="shared" si="45"/>
        <v>0</v>
      </c>
      <c r="Q135" s="94" t="s">
        <v>618</v>
      </c>
      <c r="R135" s="840">
        <v>332151000</v>
      </c>
      <c r="S135" s="840">
        <v>0</v>
      </c>
      <c r="T135" s="840">
        <v>332151000</v>
      </c>
      <c r="U135" s="840">
        <v>0</v>
      </c>
      <c r="V135" s="169">
        <f t="shared" si="46"/>
        <v>332151</v>
      </c>
      <c r="W135" s="169">
        <f t="shared" si="47"/>
        <v>0</v>
      </c>
      <c r="X135" s="169">
        <f t="shared" si="48"/>
        <v>332151</v>
      </c>
      <c r="Y135" s="169">
        <f t="shared" si="49"/>
        <v>0</v>
      </c>
      <c r="AG135" s="1390" t="s">
        <v>996</v>
      </c>
      <c r="AH135" s="1391">
        <v>0</v>
      </c>
      <c r="AI135" s="1391">
        <v>0</v>
      </c>
      <c r="AJ135" s="1391">
        <v>0</v>
      </c>
      <c r="AK135" s="1391">
        <v>0</v>
      </c>
      <c r="AL135" s="1407">
        <f t="shared" si="50"/>
        <v>0</v>
      </c>
      <c r="AM135" s="1407">
        <f t="shared" si="51"/>
        <v>0</v>
      </c>
      <c r="AN135" s="1407">
        <f t="shared" si="52"/>
        <v>0</v>
      </c>
      <c r="AO135" s="1407">
        <f t="shared" si="53"/>
        <v>0</v>
      </c>
      <c r="AW135" s="1390" t="s">
        <v>995</v>
      </c>
      <c r="AX135" s="840">
        <v>0</v>
      </c>
      <c r="AY135" s="840">
        <v>0</v>
      </c>
      <c r="AZ135" s="840">
        <v>0</v>
      </c>
      <c r="BA135" s="840">
        <v>0</v>
      </c>
      <c r="BB135" s="169">
        <f t="shared" si="54"/>
        <v>0</v>
      </c>
      <c r="BC135" s="169">
        <f t="shared" si="55"/>
        <v>0</v>
      </c>
      <c r="BD135" s="169">
        <f t="shared" si="56"/>
        <v>0</v>
      </c>
      <c r="BE135" s="169">
        <f t="shared" si="57"/>
        <v>0</v>
      </c>
    </row>
    <row r="136" spans="1:57" ht="15" customHeight="1" x14ac:dyDescent="0.35">
      <c r="A136" s="841" t="s">
        <v>929</v>
      </c>
      <c r="B136" s="1115">
        <v>82914000</v>
      </c>
      <c r="C136" s="1115">
        <v>0</v>
      </c>
      <c r="D136" s="1115">
        <v>82914000</v>
      </c>
      <c r="E136" s="1115">
        <v>0</v>
      </c>
      <c r="F136" s="1115">
        <f t="shared" si="42"/>
        <v>82914</v>
      </c>
      <c r="G136" s="1115">
        <f t="shared" si="43"/>
        <v>0</v>
      </c>
      <c r="H136" s="1115">
        <f t="shared" si="44"/>
        <v>82914</v>
      </c>
      <c r="I136" s="1115">
        <f t="shared" si="45"/>
        <v>0</v>
      </c>
      <c r="Q136" s="94" t="s">
        <v>929</v>
      </c>
      <c r="R136" s="840">
        <v>82914000</v>
      </c>
      <c r="S136" s="840">
        <v>0</v>
      </c>
      <c r="T136" s="840">
        <v>82914000</v>
      </c>
      <c r="U136" s="840">
        <v>0</v>
      </c>
      <c r="V136" s="169">
        <f t="shared" si="46"/>
        <v>82914</v>
      </c>
      <c r="W136" s="169">
        <f t="shared" si="47"/>
        <v>0</v>
      </c>
      <c r="X136" s="169">
        <f t="shared" si="48"/>
        <v>82914</v>
      </c>
      <c r="Y136" s="169">
        <f t="shared" si="49"/>
        <v>0</v>
      </c>
      <c r="AG136" s="1390" t="s">
        <v>618</v>
      </c>
      <c r="AH136" s="1391">
        <v>332151000</v>
      </c>
      <c r="AI136" s="1391">
        <v>0</v>
      </c>
      <c r="AJ136" s="1391">
        <v>357000</v>
      </c>
      <c r="AK136" s="1391">
        <v>331794000</v>
      </c>
      <c r="AL136" s="1407">
        <f t="shared" si="50"/>
        <v>332151</v>
      </c>
      <c r="AM136" s="1407">
        <f t="shared" si="51"/>
        <v>0</v>
      </c>
      <c r="AN136" s="1407">
        <f t="shared" si="52"/>
        <v>357</v>
      </c>
      <c r="AO136" s="1407">
        <f t="shared" si="53"/>
        <v>331794</v>
      </c>
      <c r="AW136" s="1390" t="s">
        <v>996</v>
      </c>
      <c r="AX136" s="840">
        <v>0</v>
      </c>
      <c r="AY136" s="840">
        <v>0</v>
      </c>
      <c r="AZ136" s="840">
        <v>0</v>
      </c>
      <c r="BA136" s="840">
        <v>0</v>
      </c>
      <c r="BB136" s="169">
        <f t="shared" si="54"/>
        <v>0</v>
      </c>
      <c r="BC136" s="169">
        <f t="shared" si="55"/>
        <v>0</v>
      </c>
      <c r="BD136" s="169">
        <f t="shared" si="56"/>
        <v>0</v>
      </c>
      <c r="BE136" s="169">
        <f t="shared" si="57"/>
        <v>0</v>
      </c>
    </row>
    <row r="137" spans="1:57" ht="15" customHeight="1" x14ac:dyDescent="0.35">
      <c r="A137" s="841" t="s">
        <v>997</v>
      </c>
      <c r="B137" s="1115">
        <v>16508000</v>
      </c>
      <c r="C137" s="1115">
        <v>0</v>
      </c>
      <c r="D137" s="1115">
        <v>16508000</v>
      </c>
      <c r="E137" s="1115">
        <v>0</v>
      </c>
      <c r="F137" s="1115">
        <f t="shared" si="42"/>
        <v>16508</v>
      </c>
      <c r="G137" s="1115">
        <f t="shared" si="43"/>
        <v>0</v>
      </c>
      <c r="H137" s="1115">
        <f t="shared" si="44"/>
        <v>16508</v>
      </c>
      <c r="I137" s="1115">
        <f t="shared" si="45"/>
        <v>0</v>
      </c>
      <c r="Q137" s="94" t="s">
        <v>997</v>
      </c>
      <c r="R137" s="840">
        <v>16508000</v>
      </c>
      <c r="S137" s="840">
        <v>0</v>
      </c>
      <c r="T137" s="840">
        <v>16508000</v>
      </c>
      <c r="U137" s="840">
        <v>0</v>
      </c>
      <c r="V137" s="169">
        <f t="shared" si="46"/>
        <v>16508</v>
      </c>
      <c r="W137" s="169">
        <f t="shared" si="47"/>
        <v>0</v>
      </c>
      <c r="X137" s="169">
        <f t="shared" si="48"/>
        <v>16508</v>
      </c>
      <c r="Y137" s="169">
        <f t="shared" si="49"/>
        <v>0</v>
      </c>
      <c r="AG137" s="1390" t="s">
        <v>929</v>
      </c>
      <c r="AH137" s="1391">
        <v>82914000</v>
      </c>
      <c r="AI137" s="1391">
        <v>0</v>
      </c>
      <c r="AJ137" s="1391">
        <v>0</v>
      </c>
      <c r="AK137" s="1391">
        <v>82914000</v>
      </c>
      <c r="AL137" s="1407">
        <f t="shared" si="50"/>
        <v>82914</v>
      </c>
      <c r="AM137" s="1407">
        <f t="shared" si="51"/>
        <v>0</v>
      </c>
      <c r="AN137" s="1407">
        <f t="shared" si="52"/>
        <v>0</v>
      </c>
      <c r="AO137" s="1407">
        <f t="shared" si="53"/>
        <v>82914</v>
      </c>
      <c r="AW137" s="1390" t="s">
        <v>618</v>
      </c>
      <c r="AX137" s="840">
        <v>332151000</v>
      </c>
      <c r="AY137" s="840">
        <v>13497000</v>
      </c>
      <c r="AZ137" s="840">
        <v>4140000</v>
      </c>
      <c r="BA137" s="840">
        <v>318654000</v>
      </c>
      <c r="BB137" s="169">
        <f t="shared" si="54"/>
        <v>332151</v>
      </c>
      <c r="BC137" s="169">
        <f t="shared" si="55"/>
        <v>13497</v>
      </c>
      <c r="BD137" s="169">
        <f t="shared" si="56"/>
        <v>4140</v>
      </c>
      <c r="BE137" s="169">
        <f t="shared" si="57"/>
        <v>318654</v>
      </c>
    </row>
    <row r="138" spans="1:57" ht="15" customHeight="1" x14ac:dyDescent="0.35">
      <c r="A138" s="841" t="s">
        <v>415</v>
      </c>
      <c r="B138" s="1115">
        <v>232729000</v>
      </c>
      <c r="C138" s="1115">
        <v>0</v>
      </c>
      <c r="D138" s="1115">
        <v>232729000</v>
      </c>
      <c r="E138" s="1115">
        <v>0</v>
      </c>
      <c r="F138" s="1115">
        <f t="shared" si="42"/>
        <v>232729</v>
      </c>
      <c r="G138" s="1115">
        <f t="shared" si="43"/>
        <v>0</v>
      </c>
      <c r="H138" s="1115">
        <f t="shared" si="44"/>
        <v>232729</v>
      </c>
      <c r="I138" s="1115">
        <f t="shared" si="45"/>
        <v>0</v>
      </c>
      <c r="Q138" s="94" t="s">
        <v>415</v>
      </c>
      <c r="R138" s="840">
        <v>232729000</v>
      </c>
      <c r="S138" s="840">
        <v>0</v>
      </c>
      <c r="T138" s="840">
        <v>232729000</v>
      </c>
      <c r="U138" s="840">
        <v>0</v>
      </c>
      <c r="V138" s="169">
        <f t="shared" si="46"/>
        <v>232729</v>
      </c>
      <c r="W138" s="169">
        <f t="shared" si="47"/>
        <v>0</v>
      </c>
      <c r="X138" s="169">
        <f t="shared" si="48"/>
        <v>232729</v>
      </c>
      <c r="Y138" s="169">
        <f t="shared" si="49"/>
        <v>0</v>
      </c>
      <c r="AG138" s="1390" t="s">
        <v>997</v>
      </c>
      <c r="AH138" s="1391">
        <v>16508000</v>
      </c>
      <c r="AI138" s="1391">
        <v>0</v>
      </c>
      <c r="AJ138" s="1391">
        <v>0</v>
      </c>
      <c r="AK138" s="1391">
        <v>16508000</v>
      </c>
      <c r="AL138" s="1407">
        <f t="shared" si="50"/>
        <v>16508</v>
      </c>
      <c r="AM138" s="1407">
        <f t="shared" si="51"/>
        <v>0</v>
      </c>
      <c r="AN138" s="1407">
        <f t="shared" si="52"/>
        <v>0</v>
      </c>
      <c r="AO138" s="1407">
        <f t="shared" si="53"/>
        <v>16508</v>
      </c>
      <c r="AW138" s="1390" t="s">
        <v>929</v>
      </c>
      <c r="AX138" s="840">
        <v>82914000</v>
      </c>
      <c r="AY138" s="840">
        <v>0</v>
      </c>
      <c r="AZ138" s="840">
        <v>0</v>
      </c>
      <c r="BA138" s="840">
        <v>82914000</v>
      </c>
      <c r="BB138" s="169">
        <f t="shared" si="54"/>
        <v>82914</v>
      </c>
      <c r="BC138" s="169">
        <f t="shared" si="55"/>
        <v>0</v>
      </c>
      <c r="BD138" s="169">
        <f t="shared" si="56"/>
        <v>0</v>
      </c>
      <c r="BE138" s="169">
        <f t="shared" si="57"/>
        <v>82914</v>
      </c>
    </row>
    <row r="139" spans="1:57" ht="15" customHeight="1" x14ac:dyDescent="0.35">
      <c r="A139" s="841" t="s">
        <v>620</v>
      </c>
      <c r="B139" s="1115">
        <v>232729000</v>
      </c>
      <c r="C139" s="1115">
        <v>0</v>
      </c>
      <c r="D139" s="1115">
        <v>232729000</v>
      </c>
      <c r="E139" s="1115">
        <v>0</v>
      </c>
      <c r="F139" s="1115">
        <f t="shared" si="42"/>
        <v>232729</v>
      </c>
      <c r="G139" s="1115">
        <f t="shared" si="43"/>
        <v>0</v>
      </c>
      <c r="H139" s="1115">
        <f t="shared" si="44"/>
        <v>232729</v>
      </c>
      <c r="I139" s="1115">
        <f t="shared" si="45"/>
        <v>0</v>
      </c>
      <c r="Q139" s="94" t="s">
        <v>620</v>
      </c>
      <c r="R139" s="840">
        <v>232729000</v>
      </c>
      <c r="S139" s="840">
        <v>0</v>
      </c>
      <c r="T139" s="840">
        <v>232729000</v>
      </c>
      <c r="U139" s="840">
        <v>0</v>
      </c>
      <c r="V139" s="169">
        <f t="shared" si="46"/>
        <v>232729</v>
      </c>
      <c r="W139" s="169">
        <f t="shared" si="47"/>
        <v>0</v>
      </c>
      <c r="X139" s="169">
        <f t="shared" si="48"/>
        <v>232729</v>
      </c>
      <c r="Y139" s="169">
        <f t="shared" si="49"/>
        <v>0</v>
      </c>
      <c r="AG139" s="1390" t="s">
        <v>415</v>
      </c>
      <c r="AH139" s="1391">
        <v>232729000</v>
      </c>
      <c r="AI139" s="1391">
        <v>0</v>
      </c>
      <c r="AJ139" s="1391">
        <v>357000</v>
      </c>
      <c r="AK139" s="1391">
        <v>232372000</v>
      </c>
      <c r="AL139" s="1407">
        <f t="shared" si="50"/>
        <v>232729</v>
      </c>
      <c r="AM139" s="1407">
        <f t="shared" si="51"/>
        <v>0</v>
      </c>
      <c r="AN139" s="1407">
        <f t="shared" si="52"/>
        <v>357</v>
      </c>
      <c r="AO139" s="1407">
        <f t="shared" si="53"/>
        <v>232372</v>
      </c>
      <c r="AW139" s="1390" t="s">
        <v>997</v>
      </c>
      <c r="AX139" s="840">
        <v>16508000</v>
      </c>
      <c r="AY139" s="840">
        <v>0</v>
      </c>
      <c r="AZ139" s="840">
        <v>0</v>
      </c>
      <c r="BA139" s="840">
        <v>16508000</v>
      </c>
      <c r="BB139" s="169">
        <f t="shared" si="54"/>
        <v>16508</v>
      </c>
      <c r="BC139" s="169">
        <f t="shared" si="55"/>
        <v>0</v>
      </c>
      <c r="BD139" s="169">
        <f t="shared" si="56"/>
        <v>0</v>
      </c>
      <c r="BE139" s="169">
        <f t="shared" si="57"/>
        <v>16508</v>
      </c>
    </row>
    <row r="140" spans="1:57" ht="15" customHeight="1" x14ac:dyDescent="0.35">
      <c r="A140" s="841" t="s">
        <v>416</v>
      </c>
      <c r="B140" s="1115">
        <v>17962478000</v>
      </c>
      <c r="C140" s="1115">
        <v>1044492824</v>
      </c>
      <c r="D140" s="1115">
        <v>16917985176</v>
      </c>
      <c r="E140" s="1115">
        <v>1044492824</v>
      </c>
      <c r="F140" s="1115">
        <f t="shared" si="42"/>
        <v>17962478</v>
      </c>
      <c r="G140" s="1115">
        <f t="shared" si="43"/>
        <v>1044492.824</v>
      </c>
      <c r="H140" s="1115">
        <f t="shared" si="44"/>
        <v>16917985.175999999</v>
      </c>
      <c r="I140" s="1115">
        <f t="shared" si="45"/>
        <v>1044492.824</v>
      </c>
      <c r="Q140" s="94" t="s">
        <v>416</v>
      </c>
      <c r="R140" s="840">
        <v>17962478000</v>
      </c>
      <c r="S140" s="840">
        <v>1045641840</v>
      </c>
      <c r="T140" s="840">
        <v>16916836160</v>
      </c>
      <c r="U140" s="840">
        <v>1045641840</v>
      </c>
      <c r="V140" s="169">
        <f t="shared" si="46"/>
        <v>17962478</v>
      </c>
      <c r="W140" s="169">
        <f t="shared" si="47"/>
        <v>1045641.84</v>
      </c>
      <c r="X140" s="169">
        <f t="shared" si="48"/>
        <v>16916836.16</v>
      </c>
      <c r="Y140" s="169">
        <f t="shared" si="49"/>
        <v>1045641.84</v>
      </c>
      <c r="AG140" s="1390" t="s">
        <v>620</v>
      </c>
      <c r="AH140" s="1391">
        <v>232729000</v>
      </c>
      <c r="AI140" s="1391">
        <v>0</v>
      </c>
      <c r="AJ140" s="1391">
        <v>357000</v>
      </c>
      <c r="AK140" s="1391">
        <v>232372000</v>
      </c>
      <c r="AL140" s="1407">
        <f t="shared" si="50"/>
        <v>232729</v>
      </c>
      <c r="AM140" s="1407">
        <f t="shared" si="51"/>
        <v>0</v>
      </c>
      <c r="AN140" s="1407">
        <f t="shared" si="52"/>
        <v>357</v>
      </c>
      <c r="AO140" s="1407">
        <f t="shared" si="53"/>
        <v>232372</v>
      </c>
      <c r="AW140" s="1390" t="s">
        <v>415</v>
      </c>
      <c r="AX140" s="840">
        <v>232729000</v>
      </c>
      <c r="AY140" s="840">
        <v>13497000</v>
      </c>
      <c r="AZ140" s="840">
        <v>4140000</v>
      </c>
      <c r="BA140" s="840">
        <v>219232000</v>
      </c>
      <c r="BB140" s="169">
        <f t="shared" si="54"/>
        <v>232729</v>
      </c>
      <c r="BC140" s="169">
        <f t="shared" si="55"/>
        <v>13497</v>
      </c>
      <c r="BD140" s="169">
        <f t="shared" si="56"/>
        <v>4140</v>
      </c>
      <c r="BE140" s="169">
        <f t="shared" si="57"/>
        <v>219232</v>
      </c>
    </row>
    <row r="141" spans="1:57" ht="15" customHeight="1" x14ac:dyDescent="0.35">
      <c r="A141" s="841" t="s">
        <v>417</v>
      </c>
      <c r="B141" s="1115">
        <v>15463357000</v>
      </c>
      <c r="C141" s="1115">
        <v>0</v>
      </c>
      <c r="D141" s="1115">
        <v>15463357000</v>
      </c>
      <c r="E141" s="1115">
        <v>0</v>
      </c>
      <c r="F141" s="1115">
        <f t="shared" si="42"/>
        <v>15463357</v>
      </c>
      <c r="G141" s="1115">
        <f t="shared" si="43"/>
        <v>0</v>
      </c>
      <c r="H141" s="1115">
        <f t="shared" si="44"/>
        <v>15463357</v>
      </c>
      <c r="I141" s="1115">
        <f t="shared" si="45"/>
        <v>0</v>
      </c>
      <c r="Q141" s="94" t="s">
        <v>417</v>
      </c>
      <c r="R141" s="840">
        <v>15463357000</v>
      </c>
      <c r="S141" s="840">
        <v>0</v>
      </c>
      <c r="T141" s="840">
        <v>15463357000</v>
      </c>
      <c r="U141" s="840">
        <v>0</v>
      </c>
      <c r="V141" s="169">
        <f t="shared" si="46"/>
        <v>15463357</v>
      </c>
      <c r="W141" s="169">
        <f t="shared" si="47"/>
        <v>0</v>
      </c>
      <c r="X141" s="169">
        <f t="shared" si="48"/>
        <v>15463357</v>
      </c>
      <c r="Y141" s="169">
        <f t="shared" si="49"/>
        <v>0</v>
      </c>
      <c r="AG141" s="1390" t="s">
        <v>416</v>
      </c>
      <c r="AH141" s="1391">
        <v>18420114000</v>
      </c>
      <c r="AI141" s="1391">
        <v>8089147781</v>
      </c>
      <c r="AJ141" s="1391">
        <v>8089147781</v>
      </c>
      <c r="AK141" s="1391">
        <v>10330966219</v>
      </c>
      <c r="AL141" s="1407">
        <f t="shared" si="50"/>
        <v>18420114</v>
      </c>
      <c r="AM141" s="1407">
        <f t="shared" si="51"/>
        <v>8089147.7810000004</v>
      </c>
      <c r="AN141" s="1407">
        <f t="shared" si="52"/>
        <v>8089147.7810000004</v>
      </c>
      <c r="AO141" s="1407">
        <f t="shared" si="53"/>
        <v>10330966.219000001</v>
      </c>
      <c r="AW141" s="1390" t="s">
        <v>620</v>
      </c>
      <c r="AX141" s="840">
        <v>228589000</v>
      </c>
      <c r="AY141" s="840">
        <v>9357000</v>
      </c>
      <c r="AZ141" s="840">
        <v>0</v>
      </c>
      <c r="BA141" s="840">
        <v>219232000</v>
      </c>
      <c r="BB141" s="169">
        <f t="shared" si="54"/>
        <v>228589</v>
      </c>
      <c r="BC141" s="169">
        <f t="shared" si="55"/>
        <v>9357</v>
      </c>
      <c r="BD141" s="169">
        <f t="shared" si="56"/>
        <v>0</v>
      </c>
      <c r="BE141" s="169">
        <f t="shared" si="57"/>
        <v>219232</v>
      </c>
    </row>
    <row r="142" spans="1:57" ht="15" customHeight="1" x14ac:dyDescent="0.35">
      <c r="A142" s="841" t="s">
        <v>418</v>
      </c>
      <c r="B142" s="1115">
        <v>15463357000</v>
      </c>
      <c r="C142" s="1115">
        <v>0</v>
      </c>
      <c r="D142" s="1115">
        <v>15463357000</v>
      </c>
      <c r="E142" s="1115">
        <v>0</v>
      </c>
      <c r="F142" s="1115">
        <f t="shared" si="42"/>
        <v>15463357</v>
      </c>
      <c r="G142" s="1115">
        <f t="shared" si="43"/>
        <v>0</v>
      </c>
      <c r="H142" s="1115">
        <f t="shared" si="44"/>
        <v>15463357</v>
      </c>
      <c r="I142" s="1115">
        <f t="shared" si="45"/>
        <v>0</v>
      </c>
      <c r="Q142" s="94" t="s">
        <v>418</v>
      </c>
      <c r="R142" s="840">
        <v>15463357000</v>
      </c>
      <c r="S142" s="840">
        <v>0</v>
      </c>
      <c r="T142" s="840">
        <v>15463357000</v>
      </c>
      <c r="U142" s="840">
        <v>0</v>
      </c>
      <c r="V142" s="169">
        <f t="shared" si="46"/>
        <v>15463357</v>
      </c>
      <c r="W142" s="169">
        <f t="shared" si="47"/>
        <v>0</v>
      </c>
      <c r="X142" s="169">
        <f t="shared" si="48"/>
        <v>15463357</v>
      </c>
      <c r="Y142" s="169">
        <f t="shared" si="49"/>
        <v>0</v>
      </c>
      <c r="AG142" s="1390" t="s">
        <v>417</v>
      </c>
      <c r="AH142" s="1391">
        <v>15463357000</v>
      </c>
      <c r="AI142" s="1391">
        <v>6079119430</v>
      </c>
      <c r="AJ142" s="1391">
        <v>6079119430</v>
      </c>
      <c r="AK142" s="1391">
        <v>9384237570</v>
      </c>
      <c r="AL142" s="1407">
        <f t="shared" si="50"/>
        <v>15463357</v>
      </c>
      <c r="AM142" s="1407">
        <f t="shared" si="51"/>
        <v>6079119.4299999997</v>
      </c>
      <c r="AN142" s="1407">
        <f t="shared" si="52"/>
        <v>6079119.4299999997</v>
      </c>
      <c r="AO142" s="1407">
        <f t="shared" si="53"/>
        <v>9384237.5700000003</v>
      </c>
      <c r="AW142" s="1390" t="s">
        <v>914</v>
      </c>
      <c r="AX142" s="840">
        <v>4140000</v>
      </c>
      <c r="AY142" s="840">
        <v>4140000</v>
      </c>
      <c r="AZ142" s="840">
        <v>4140000</v>
      </c>
      <c r="BA142" s="840">
        <v>0</v>
      </c>
      <c r="BB142" s="169">
        <f t="shared" si="54"/>
        <v>4140</v>
      </c>
      <c r="BC142" s="169">
        <f t="shared" si="55"/>
        <v>4140</v>
      </c>
      <c r="BD142" s="169">
        <f t="shared" si="56"/>
        <v>4140</v>
      </c>
      <c r="BE142" s="169">
        <f t="shared" si="57"/>
        <v>0</v>
      </c>
    </row>
    <row r="143" spans="1:57" ht="15" customHeight="1" x14ac:dyDescent="0.35">
      <c r="A143" s="841" t="s">
        <v>419</v>
      </c>
      <c r="B143" s="1115">
        <v>2499111000</v>
      </c>
      <c r="C143" s="1115">
        <v>587996762</v>
      </c>
      <c r="D143" s="1115">
        <v>1911114238</v>
      </c>
      <c r="E143" s="1115">
        <v>587996762</v>
      </c>
      <c r="F143" s="1115">
        <f t="shared" si="42"/>
        <v>2499111</v>
      </c>
      <c r="G143" s="1115">
        <f t="shared" si="43"/>
        <v>587996.76199999999</v>
      </c>
      <c r="H143" s="1115">
        <f t="shared" si="44"/>
        <v>1911114.2379999999</v>
      </c>
      <c r="I143" s="1115">
        <f t="shared" si="45"/>
        <v>587996.76199999999</v>
      </c>
      <c r="Q143" s="94" t="s">
        <v>419</v>
      </c>
      <c r="R143" s="840">
        <v>2499111000</v>
      </c>
      <c r="S143" s="840">
        <v>587996762</v>
      </c>
      <c r="T143" s="840">
        <v>1911114238</v>
      </c>
      <c r="U143" s="840">
        <v>587996762</v>
      </c>
      <c r="V143" s="169">
        <f t="shared" si="46"/>
        <v>2499111</v>
      </c>
      <c r="W143" s="169">
        <f t="shared" si="47"/>
        <v>587996.76199999999</v>
      </c>
      <c r="X143" s="169">
        <f t="shared" si="48"/>
        <v>1911114.2379999999</v>
      </c>
      <c r="Y143" s="169">
        <f t="shared" si="49"/>
        <v>587996.76199999999</v>
      </c>
      <c r="AG143" s="1390" t="s">
        <v>418</v>
      </c>
      <c r="AH143" s="1391">
        <v>15463357000</v>
      </c>
      <c r="AI143" s="1391">
        <v>6079119430</v>
      </c>
      <c r="AJ143" s="1391">
        <v>6079119430</v>
      </c>
      <c r="AK143" s="1391">
        <v>9384237570</v>
      </c>
      <c r="AL143" s="1407">
        <f t="shared" si="50"/>
        <v>15463357</v>
      </c>
      <c r="AM143" s="1407">
        <f t="shared" si="51"/>
        <v>6079119.4299999997</v>
      </c>
      <c r="AN143" s="1407">
        <f t="shared" si="52"/>
        <v>6079119.4299999997</v>
      </c>
      <c r="AO143" s="1407">
        <f t="shared" si="53"/>
        <v>9384237.5700000003</v>
      </c>
      <c r="AW143" s="1390" t="s">
        <v>416</v>
      </c>
      <c r="AX143" s="840">
        <v>18420114000</v>
      </c>
      <c r="AY143" s="840">
        <v>9420439069</v>
      </c>
      <c r="AZ143" s="840">
        <v>9420439069</v>
      </c>
      <c r="BA143" s="840">
        <v>8999674931</v>
      </c>
      <c r="BB143" s="169">
        <f t="shared" si="54"/>
        <v>18420114</v>
      </c>
      <c r="BC143" s="169">
        <f t="shared" si="55"/>
        <v>9420439.0690000001</v>
      </c>
      <c r="BD143" s="169">
        <f t="shared" si="56"/>
        <v>9420439.0690000001</v>
      </c>
      <c r="BE143" s="169">
        <f t="shared" si="57"/>
        <v>8999674.9309999999</v>
      </c>
    </row>
    <row r="144" spans="1:57" ht="15" customHeight="1" x14ac:dyDescent="0.35">
      <c r="A144" s="841" t="s">
        <v>420</v>
      </c>
      <c r="B144" s="1115">
        <v>2499111000</v>
      </c>
      <c r="C144" s="1115">
        <v>587996762</v>
      </c>
      <c r="D144" s="1115">
        <v>1911114238</v>
      </c>
      <c r="E144" s="1115">
        <v>587996762</v>
      </c>
      <c r="F144" s="1115">
        <f t="shared" si="42"/>
        <v>2499111</v>
      </c>
      <c r="G144" s="1115">
        <f t="shared" si="43"/>
        <v>587996.76199999999</v>
      </c>
      <c r="H144" s="1115">
        <f t="shared" si="44"/>
        <v>1911114.2379999999</v>
      </c>
      <c r="I144" s="1115">
        <f t="shared" si="45"/>
        <v>587996.76199999999</v>
      </c>
      <c r="Q144" s="94" t="s">
        <v>420</v>
      </c>
      <c r="R144" s="840">
        <v>2499111000</v>
      </c>
      <c r="S144" s="840">
        <v>587996762</v>
      </c>
      <c r="T144" s="840">
        <v>1911114238</v>
      </c>
      <c r="U144" s="840">
        <v>587996762</v>
      </c>
      <c r="V144" s="169">
        <f t="shared" si="46"/>
        <v>2499111</v>
      </c>
      <c r="W144" s="169">
        <f t="shared" si="47"/>
        <v>587996.76199999999</v>
      </c>
      <c r="X144" s="169">
        <f t="shared" si="48"/>
        <v>1911114.2379999999</v>
      </c>
      <c r="Y144" s="169">
        <f t="shared" si="49"/>
        <v>587996.76199999999</v>
      </c>
      <c r="AG144" s="1390" t="s">
        <v>419</v>
      </c>
      <c r="AH144" s="1391">
        <v>2499111000</v>
      </c>
      <c r="AI144" s="1391">
        <v>1552383273</v>
      </c>
      <c r="AJ144" s="1391">
        <v>1552383273</v>
      </c>
      <c r="AK144" s="1391">
        <v>946727727</v>
      </c>
      <c r="AL144" s="1407">
        <f t="shared" si="50"/>
        <v>2499111</v>
      </c>
      <c r="AM144" s="1407">
        <f t="shared" si="51"/>
        <v>1552383.273</v>
      </c>
      <c r="AN144" s="1407">
        <f t="shared" si="52"/>
        <v>1552383.273</v>
      </c>
      <c r="AO144" s="1407">
        <f t="shared" si="53"/>
        <v>946727.72699999996</v>
      </c>
      <c r="AW144" s="1390" t="s">
        <v>417</v>
      </c>
      <c r="AX144" s="840">
        <v>15463357000</v>
      </c>
      <c r="AY144" s="840">
        <v>7337591570</v>
      </c>
      <c r="AZ144" s="840">
        <v>7337591570</v>
      </c>
      <c r="BA144" s="840">
        <v>8125765430</v>
      </c>
      <c r="BB144" s="169">
        <f t="shared" si="54"/>
        <v>15463357</v>
      </c>
      <c r="BC144" s="169">
        <f t="shared" si="55"/>
        <v>7337591.5700000003</v>
      </c>
      <c r="BD144" s="169">
        <f t="shared" si="56"/>
        <v>7337591.5700000003</v>
      </c>
      <c r="BE144" s="169">
        <f t="shared" si="57"/>
        <v>8125765.4299999997</v>
      </c>
    </row>
    <row r="145" spans="1:57" ht="15" customHeight="1" x14ac:dyDescent="0.35">
      <c r="A145" s="841" t="s">
        <v>621</v>
      </c>
      <c r="B145" s="1115">
        <v>2499111000</v>
      </c>
      <c r="C145" s="1115">
        <v>587996762</v>
      </c>
      <c r="D145" s="1115">
        <v>1911114238</v>
      </c>
      <c r="E145" s="1115">
        <v>587996762</v>
      </c>
      <c r="F145" s="1115">
        <f t="shared" si="42"/>
        <v>2499111</v>
      </c>
      <c r="G145" s="1115">
        <f t="shared" si="43"/>
        <v>587996.76199999999</v>
      </c>
      <c r="H145" s="1115">
        <f t="shared" si="44"/>
        <v>1911114.2379999999</v>
      </c>
      <c r="I145" s="1115">
        <f t="shared" si="45"/>
        <v>587996.76199999999</v>
      </c>
      <c r="Q145" s="94" t="s">
        <v>621</v>
      </c>
      <c r="R145" s="840">
        <v>2499111000</v>
      </c>
      <c r="S145" s="840">
        <v>587996762</v>
      </c>
      <c r="T145" s="840">
        <v>1911114238</v>
      </c>
      <c r="U145" s="840">
        <v>587996762</v>
      </c>
      <c r="V145" s="169">
        <f t="shared" si="46"/>
        <v>2499111</v>
      </c>
      <c r="W145" s="169">
        <f t="shared" si="47"/>
        <v>587996.76199999999</v>
      </c>
      <c r="X145" s="169">
        <f t="shared" si="48"/>
        <v>1911114.2379999999</v>
      </c>
      <c r="Y145" s="169">
        <f t="shared" si="49"/>
        <v>587996.76199999999</v>
      </c>
      <c r="AG145" s="1390" t="s">
        <v>420</v>
      </c>
      <c r="AH145" s="1391">
        <v>2499111000</v>
      </c>
      <c r="AI145" s="1391">
        <v>1552383273</v>
      </c>
      <c r="AJ145" s="1391">
        <v>1552383273</v>
      </c>
      <c r="AK145" s="1391">
        <v>946727727</v>
      </c>
      <c r="AL145" s="1407">
        <f t="shared" si="50"/>
        <v>2499111</v>
      </c>
      <c r="AM145" s="1407">
        <f t="shared" si="51"/>
        <v>1552383.273</v>
      </c>
      <c r="AN145" s="1407">
        <f t="shared" si="52"/>
        <v>1552383.273</v>
      </c>
      <c r="AO145" s="1407">
        <f t="shared" si="53"/>
        <v>946727.72699999996</v>
      </c>
      <c r="AW145" s="1390" t="s">
        <v>418</v>
      </c>
      <c r="AX145" s="840">
        <v>15463357000</v>
      </c>
      <c r="AY145" s="840">
        <v>7337591570</v>
      </c>
      <c r="AZ145" s="840">
        <v>7337591570</v>
      </c>
      <c r="BA145" s="840">
        <v>8125765430</v>
      </c>
      <c r="BB145" s="169">
        <f t="shared" si="54"/>
        <v>15463357</v>
      </c>
      <c r="BC145" s="169">
        <f t="shared" si="55"/>
        <v>7337591.5700000003</v>
      </c>
      <c r="BD145" s="169">
        <f t="shared" si="56"/>
        <v>7337591.5700000003</v>
      </c>
      <c r="BE145" s="169">
        <f t="shared" si="57"/>
        <v>8125765.4299999997</v>
      </c>
    </row>
    <row r="146" spans="1:57" ht="15" customHeight="1" x14ac:dyDescent="0.35">
      <c r="A146" s="841" t="s">
        <v>422</v>
      </c>
      <c r="B146" s="1115">
        <v>10000</v>
      </c>
      <c r="C146" s="1115">
        <v>456496062</v>
      </c>
      <c r="D146" s="1115">
        <v>-456486062</v>
      </c>
      <c r="E146" s="1115">
        <v>456496062</v>
      </c>
      <c r="F146" s="1115">
        <f t="shared" si="42"/>
        <v>10</v>
      </c>
      <c r="G146" s="1115">
        <f t="shared" si="43"/>
        <v>456496.06199999998</v>
      </c>
      <c r="H146" s="1115">
        <f t="shared" si="44"/>
        <v>-456486.06199999998</v>
      </c>
      <c r="I146" s="1115">
        <f t="shared" si="45"/>
        <v>456496.06199999998</v>
      </c>
      <c r="Q146" s="94" t="s">
        <v>422</v>
      </c>
      <c r="R146" s="840">
        <v>10000</v>
      </c>
      <c r="S146" s="840">
        <v>457645078</v>
      </c>
      <c r="T146" s="840">
        <v>-457635078</v>
      </c>
      <c r="U146" s="840">
        <v>457645078</v>
      </c>
      <c r="V146" s="169">
        <f t="shared" si="46"/>
        <v>10</v>
      </c>
      <c r="W146" s="169">
        <f t="shared" si="47"/>
        <v>457645.07799999998</v>
      </c>
      <c r="X146" s="169">
        <f t="shared" si="48"/>
        <v>-457635.07799999998</v>
      </c>
      <c r="Y146" s="169">
        <f t="shared" si="49"/>
        <v>457645.07799999998</v>
      </c>
      <c r="AG146" s="1390" t="s">
        <v>621</v>
      </c>
      <c r="AH146" s="1391">
        <v>2499111000</v>
      </c>
      <c r="AI146" s="1391">
        <v>1552383273</v>
      </c>
      <c r="AJ146" s="1391">
        <v>1552383273</v>
      </c>
      <c r="AK146" s="1391">
        <v>946727727</v>
      </c>
      <c r="AL146" s="1407">
        <f t="shared" si="50"/>
        <v>2499111</v>
      </c>
      <c r="AM146" s="1407">
        <f t="shared" si="51"/>
        <v>1552383.273</v>
      </c>
      <c r="AN146" s="1407">
        <f t="shared" si="52"/>
        <v>1552383.273</v>
      </c>
      <c r="AO146" s="1407">
        <f t="shared" si="53"/>
        <v>946727.72699999996</v>
      </c>
      <c r="AW146" s="1390" t="s">
        <v>419</v>
      </c>
      <c r="AX146" s="840">
        <v>2499111000</v>
      </c>
      <c r="AY146" s="840">
        <v>1625202421</v>
      </c>
      <c r="AZ146" s="840">
        <v>1625202421</v>
      </c>
      <c r="BA146" s="840">
        <v>873908579</v>
      </c>
      <c r="BB146" s="169">
        <f t="shared" si="54"/>
        <v>2499111</v>
      </c>
      <c r="BC146" s="169">
        <f t="shared" si="55"/>
        <v>1625202.4210000001</v>
      </c>
      <c r="BD146" s="169">
        <f t="shared" si="56"/>
        <v>1625202.4210000001</v>
      </c>
      <c r="BE146" s="169">
        <f t="shared" si="57"/>
        <v>873908.57900000003</v>
      </c>
    </row>
    <row r="147" spans="1:57" ht="30" x14ac:dyDescent="0.35">
      <c r="F147" s="1115">
        <f t="shared" si="42"/>
        <v>0</v>
      </c>
      <c r="G147" s="1115">
        <f t="shared" si="43"/>
        <v>0</v>
      </c>
      <c r="H147" s="1115">
        <f t="shared" si="44"/>
        <v>0</v>
      </c>
      <c r="I147" s="1115">
        <f t="shared" si="45"/>
        <v>0</v>
      </c>
      <c r="AG147" s="1390" t="s">
        <v>422</v>
      </c>
      <c r="AH147" s="1391">
        <v>457646000</v>
      </c>
      <c r="AI147" s="1391">
        <v>457645078</v>
      </c>
      <c r="AJ147" s="1391">
        <v>457645078</v>
      </c>
      <c r="AK147" s="1391">
        <v>922</v>
      </c>
      <c r="AL147" s="1407">
        <f t="shared" si="50"/>
        <v>457646</v>
      </c>
      <c r="AM147" s="1407">
        <f t="shared" si="51"/>
        <v>457645.07799999998</v>
      </c>
      <c r="AN147" s="1407">
        <f t="shared" si="52"/>
        <v>457645.07799999998</v>
      </c>
      <c r="AO147" s="1407">
        <f t="shared" si="53"/>
        <v>0.92200000000000004</v>
      </c>
      <c r="AW147" s="1390" t="s">
        <v>420</v>
      </c>
      <c r="AX147" s="840">
        <v>2499111000</v>
      </c>
      <c r="AY147" s="840">
        <v>1625202421</v>
      </c>
      <c r="AZ147" s="840">
        <v>1625202421</v>
      </c>
      <c r="BA147" s="840">
        <v>873908579</v>
      </c>
      <c r="BB147" s="169">
        <f t="shared" si="54"/>
        <v>2499111</v>
      </c>
      <c r="BC147" s="169">
        <f t="shared" si="55"/>
        <v>1625202.4210000001</v>
      </c>
      <c r="BD147" s="169">
        <f t="shared" si="56"/>
        <v>1625202.4210000001</v>
      </c>
      <c r="BE147" s="169">
        <f t="shared" si="57"/>
        <v>873908.57900000003</v>
      </c>
    </row>
    <row r="148" spans="1:57" ht="30" x14ac:dyDescent="0.35">
      <c r="AW148" s="1390" t="s">
        <v>621</v>
      </c>
      <c r="AX148" s="840">
        <v>2499111000</v>
      </c>
      <c r="AY148" s="840">
        <v>1625202421</v>
      </c>
      <c r="AZ148" s="840">
        <v>1625202421</v>
      </c>
      <c r="BA148" s="840">
        <v>873908579</v>
      </c>
      <c r="BB148" s="169">
        <f t="shared" si="54"/>
        <v>2499111</v>
      </c>
      <c r="BC148" s="169">
        <f t="shared" si="55"/>
        <v>1625202.4210000001</v>
      </c>
      <c r="BD148" s="169">
        <f t="shared" si="56"/>
        <v>1625202.4210000001</v>
      </c>
      <c r="BE148" s="169">
        <f t="shared" si="57"/>
        <v>873908.57900000003</v>
      </c>
    </row>
    <row r="149" spans="1:57" x14ac:dyDescent="0.35">
      <c r="AW149" s="1390" t="s">
        <v>422</v>
      </c>
      <c r="AX149" s="840">
        <v>457646000</v>
      </c>
      <c r="AY149" s="840">
        <v>457645078</v>
      </c>
      <c r="AZ149" s="840">
        <v>457645078</v>
      </c>
      <c r="BA149" s="840">
        <v>922</v>
      </c>
      <c r="BB149" s="169">
        <f t="shared" si="54"/>
        <v>457646</v>
      </c>
      <c r="BC149" s="169">
        <f t="shared" si="55"/>
        <v>457645.07799999998</v>
      </c>
      <c r="BD149" s="169">
        <f t="shared" si="56"/>
        <v>457645.07799999998</v>
      </c>
      <c r="BE149" s="169">
        <f t="shared" si="57"/>
        <v>0.92200000000000004</v>
      </c>
    </row>
  </sheetData>
  <mergeCells count="4">
    <mergeCell ref="L1:M1"/>
    <mergeCell ref="Q1:W1"/>
    <mergeCell ref="AB1:AC1"/>
    <mergeCell ref="AG1:AM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9A46"/>
    <pageSetUpPr fitToPage="1"/>
  </sheetPr>
  <dimension ref="A1:AP69"/>
  <sheetViews>
    <sheetView zoomScale="70" zoomScaleNormal="70" workbookViewId="0">
      <pane ySplit="8" topLeftCell="A9" activePane="bottomLeft" state="frozen"/>
      <selection activeCell="H72" sqref="H72"/>
      <selection pane="bottomLeft" activeCell="J39" sqref="J39"/>
    </sheetView>
  </sheetViews>
  <sheetFormatPr baseColWidth="10" defaultColWidth="11.42578125" defaultRowHeight="12.75" customHeight="1" x14ac:dyDescent="0.2"/>
  <cols>
    <col min="1" max="1" width="6.28515625" style="37" customWidth="1"/>
    <col min="2" max="2" width="5.5703125" style="44" customWidth="1"/>
    <col min="3" max="3" width="5.5703125" style="45" customWidth="1"/>
    <col min="4" max="4" width="5.7109375" style="46" customWidth="1"/>
    <col min="5" max="5" width="4.7109375" style="47" customWidth="1"/>
    <col min="6" max="6" width="15.140625" style="47" customWidth="1"/>
    <col min="7" max="7" width="67.85546875" style="38" customWidth="1"/>
    <col min="8" max="9" width="19.7109375" style="66" customWidth="1"/>
    <col min="10" max="10" width="19.7109375" style="36" customWidth="1"/>
    <col min="11" max="11" width="19.7109375" style="236" customWidth="1"/>
    <col min="12" max="12" width="19.7109375" style="66" customWidth="1"/>
    <col min="13" max="13" width="19.7109375" style="36" customWidth="1"/>
    <col min="14" max="14" width="19.7109375" style="66" customWidth="1"/>
    <col min="15" max="17" width="19.7109375" style="36" customWidth="1"/>
    <col min="18" max="18" width="19.7109375" style="1058" customWidth="1"/>
    <col min="19" max="19" width="19.7109375" style="979" hidden="1" customWidth="1"/>
    <col min="20" max="24" width="19.7109375" style="36" hidden="1" customWidth="1"/>
    <col min="25" max="25" width="19.7109375" style="36" customWidth="1"/>
    <col min="26" max="26" width="19.7109375" style="66" customWidth="1"/>
    <col min="27" max="34" width="19.7109375" style="36" hidden="1" customWidth="1"/>
    <col min="35" max="35" width="4.28515625" style="1425" customWidth="1"/>
    <col min="36" max="36" width="10" style="1593" customWidth="1"/>
    <col min="37" max="37" width="52" style="327" customWidth="1"/>
    <col min="38" max="40" width="11.42578125" style="237"/>
    <col min="41" max="16384" width="11.42578125" style="37"/>
  </cols>
  <sheetData>
    <row r="1" spans="2:42" s="75" customFormat="1" ht="15" customHeight="1" thickBot="1" x14ac:dyDescent="0.3"/>
    <row r="2" spans="2:42" ht="24.75" customHeight="1" thickBot="1" x14ac:dyDescent="0.35">
      <c r="B2" s="1655" t="s">
        <v>284</v>
      </c>
      <c r="C2" s="1656"/>
      <c r="D2" s="1656"/>
      <c r="E2" s="1656"/>
      <c r="F2" s="1656"/>
      <c r="G2" s="1656"/>
      <c r="H2" s="1656"/>
      <c r="I2" s="1656"/>
      <c r="J2" s="1656"/>
      <c r="K2" s="1656"/>
      <c r="L2" s="1656"/>
      <c r="M2" s="1656"/>
      <c r="N2" s="1656"/>
      <c r="O2" s="1656"/>
      <c r="P2" s="1656"/>
      <c r="Q2" s="1656"/>
      <c r="R2" s="1656"/>
      <c r="S2" s="1656"/>
      <c r="T2" s="1656"/>
      <c r="U2" s="1656"/>
      <c r="V2" s="1656"/>
      <c r="W2" s="1656"/>
      <c r="X2" s="1656"/>
      <c r="Y2" s="1656"/>
      <c r="Z2" s="1656"/>
      <c r="AA2" s="1656"/>
      <c r="AB2" s="1656"/>
      <c r="AC2" s="1656"/>
      <c r="AD2" s="1656"/>
      <c r="AE2" s="1656"/>
      <c r="AF2" s="1656"/>
      <c r="AG2" s="1656"/>
      <c r="AH2" s="1656"/>
    </row>
    <row r="3" spans="2:42" ht="12.75" hidden="1" customHeight="1" x14ac:dyDescent="0.2">
      <c r="B3" s="615"/>
      <c r="C3" s="616"/>
      <c r="D3" s="617"/>
      <c r="E3" s="618"/>
      <c r="F3" s="618"/>
      <c r="G3" s="619"/>
      <c r="H3" s="1082"/>
      <c r="I3" s="1082"/>
      <c r="J3" s="620"/>
      <c r="K3" s="621"/>
      <c r="L3" s="1082"/>
      <c r="M3" s="620"/>
      <c r="N3" s="1082"/>
      <c r="O3" s="620"/>
      <c r="P3" s="620"/>
      <c r="Q3" s="620"/>
      <c r="R3" s="1053"/>
      <c r="S3" s="1065" t="s">
        <v>273</v>
      </c>
      <c r="T3" s="311" t="s">
        <v>127</v>
      </c>
      <c r="U3" s="1065" t="s">
        <v>273</v>
      </c>
      <c r="V3" s="311" t="s">
        <v>127</v>
      </c>
      <c r="W3" s="1065" t="s">
        <v>273</v>
      </c>
      <c r="X3" s="311" t="s">
        <v>127</v>
      </c>
      <c r="Y3" s="1065" t="s">
        <v>273</v>
      </c>
      <c r="Z3" s="311" t="s">
        <v>127</v>
      </c>
      <c r="AA3" s="1341"/>
      <c r="AB3" s="622"/>
      <c r="AC3" s="622"/>
      <c r="AD3" s="622"/>
      <c r="AE3" s="622"/>
      <c r="AF3" s="622"/>
      <c r="AG3" s="622"/>
      <c r="AH3" s="622"/>
    </row>
    <row r="4" spans="2:42" ht="15" hidden="1" customHeight="1" x14ac:dyDescent="0.2">
      <c r="B4" s="615"/>
      <c r="C4" s="616"/>
      <c r="D4" s="617"/>
      <c r="E4" s="618"/>
      <c r="F4" s="618"/>
      <c r="G4" s="619"/>
      <c r="H4" s="1082"/>
      <c r="I4" s="1082"/>
      <c r="J4" s="620"/>
      <c r="K4" s="621"/>
      <c r="L4" s="1082"/>
      <c r="M4" s="620"/>
      <c r="N4" s="1082"/>
      <c r="O4" s="620"/>
      <c r="P4" s="620"/>
      <c r="Q4" s="620"/>
      <c r="R4" s="1053"/>
      <c r="S4" s="1061"/>
      <c r="T4" s="623"/>
      <c r="U4" s="623"/>
      <c r="V4" s="623"/>
      <c r="W4" s="623"/>
      <c r="X4" s="623"/>
      <c r="Y4" s="623"/>
      <c r="Z4" s="624"/>
      <c r="AA4" s="1341"/>
      <c r="AB4" s="78"/>
      <c r="AC4" s="78"/>
      <c r="AD4" s="622"/>
      <c r="AE4" s="622"/>
      <c r="AF4" s="78"/>
    </row>
    <row r="5" spans="2:42" ht="21" customHeight="1" thickBot="1" x14ac:dyDescent="0.35">
      <c r="B5" s="1735" t="s">
        <v>136</v>
      </c>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row>
    <row r="6" spans="2:42" ht="21.75" customHeight="1" thickBot="1" x14ac:dyDescent="0.3">
      <c r="B6" s="1741" t="s">
        <v>283</v>
      </c>
      <c r="C6" s="1742"/>
      <c r="D6" s="1742"/>
      <c r="E6" s="1742"/>
      <c r="F6" s="1742"/>
      <c r="G6" s="1742"/>
      <c r="H6" s="1748" t="s">
        <v>942</v>
      </c>
      <c r="I6" s="1749"/>
      <c r="J6" s="1750"/>
      <c r="K6" s="1750"/>
      <c r="L6" s="1749"/>
      <c r="M6" s="1750"/>
      <c r="N6" s="1749"/>
      <c r="O6" s="1751"/>
      <c r="P6" s="1745" t="s">
        <v>707</v>
      </c>
      <c r="Q6" s="1746"/>
      <c r="R6" s="1747"/>
      <c r="S6" s="1739"/>
      <c r="T6" s="1753"/>
      <c r="U6" s="1733"/>
      <c r="V6" s="1734"/>
      <c r="W6" s="1739"/>
      <c r="X6" s="1740"/>
      <c r="Y6" s="1739"/>
      <c r="Z6" s="1740"/>
      <c r="AA6" s="1590"/>
      <c r="AB6" s="307"/>
      <c r="AC6" s="1052"/>
      <c r="AD6" s="307"/>
      <c r="AE6" s="1045"/>
      <c r="AF6" s="1045"/>
      <c r="AG6" s="1052"/>
      <c r="AH6" s="1052"/>
    </row>
    <row r="7" spans="2:42" ht="15.75" customHeight="1" thickBot="1" x14ac:dyDescent="0.3">
      <c r="B7" s="1743"/>
      <c r="C7" s="1744"/>
      <c r="D7" s="1744"/>
      <c r="E7" s="1744"/>
      <c r="F7" s="1744"/>
      <c r="G7" s="1744"/>
      <c r="H7" s="1080" t="s">
        <v>130</v>
      </c>
      <c r="I7" s="1081" t="s">
        <v>131</v>
      </c>
      <c r="J7" s="1079" t="s">
        <v>132</v>
      </c>
      <c r="K7" s="442" t="s">
        <v>133</v>
      </c>
      <c r="L7" s="1081" t="s">
        <v>789</v>
      </c>
      <c r="M7" s="442" t="s">
        <v>791</v>
      </c>
      <c r="N7" s="1081" t="s">
        <v>790</v>
      </c>
      <c r="O7" s="442" t="s">
        <v>792</v>
      </c>
      <c r="P7" s="53" t="s">
        <v>130</v>
      </c>
      <c r="Q7" s="53" t="s">
        <v>131</v>
      </c>
      <c r="R7" s="1093" t="s">
        <v>134</v>
      </c>
      <c r="S7" s="1737" t="s">
        <v>0</v>
      </c>
      <c r="T7" s="1752"/>
      <c r="U7" s="1731" t="s">
        <v>137</v>
      </c>
      <c r="V7" s="1732"/>
      <c r="W7" s="1737" t="s">
        <v>6</v>
      </c>
      <c r="X7" s="1738"/>
      <c r="Y7" s="1754" t="s">
        <v>7</v>
      </c>
      <c r="Z7" s="1755"/>
      <c r="AA7" s="1591" t="s">
        <v>8</v>
      </c>
      <c r="AB7" s="1050" t="s">
        <v>9</v>
      </c>
      <c r="AC7" s="1046" t="s">
        <v>79</v>
      </c>
      <c r="AD7" s="1367" t="s">
        <v>10</v>
      </c>
      <c r="AE7" s="1046" t="s">
        <v>11</v>
      </c>
      <c r="AF7" s="1046" t="s">
        <v>12</v>
      </c>
      <c r="AG7" s="1373" t="s">
        <v>13</v>
      </c>
      <c r="AH7" s="1046" t="s">
        <v>14</v>
      </c>
    </row>
    <row r="8" spans="2:42" s="55" customFormat="1" ht="57" customHeight="1" thickBot="1" x14ac:dyDescent="0.3">
      <c r="B8" s="1743"/>
      <c r="C8" s="1744"/>
      <c r="D8" s="1744"/>
      <c r="E8" s="1744"/>
      <c r="F8" s="1744"/>
      <c r="G8" s="1744"/>
      <c r="H8" s="357" t="s">
        <v>944</v>
      </c>
      <c r="I8" s="358" t="s">
        <v>943</v>
      </c>
      <c r="J8" s="358" t="s">
        <v>1019</v>
      </c>
      <c r="K8" s="1100" t="s">
        <v>1028</v>
      </c>
      <c r="L8" s="358" t="s">
        <v>814</v>
      </c>
      <c r="M8" s="1100" t="s">
        <v>813</v>
      </c>
      <c r="N8" s="358" t="s">
        <v>811</v>
      </c>
      <c r="O8" s="1094" t="s">
        <v>812</v>
      </c>
      <c r="P8" s="610" t="s">
        <v>1025</v>
      </c>
      <c r="Q8" s="611" t="s">
        <v>1026</v>
      </c>
      <c r="R8" s="1066" t="s">
        <v>1027</v>
      </c>
      <c r="S8" s="1078" t="s">
        <v>986</v>
      </c>
      <c r="T8" s="1268" t="s">
        <v>708</v>
      </c>
      <c r="U8" s="1274" t="s">
        <v>986</v>
      </c>
      <c r="V8" s="1412" t="s">
        <v>708</v>
      </c>
      <c r="W8" s="1417" t="s">
        <v>986</v>
      </c>
      <c r="X8" s="1418" t="s">
        <v>708</v>
      </c>
      <c r="Y8" s="1377" t="s">
        <v>986</v>
      </c>
      <c r="Z8" s="1492" t="s">
        <v>708</v>
      </c>
      <c r="AA8" s="1549" t="s">
        <v>709</v>
      </c>
      <c r="AB8" s="382" t="s">
        <v>709</v>
      </c>
      <c r="AC8" s="140" t="s">
        <v>709</v>
      </c>
      <c r="AD8" s="382" t="s">
        <v>709</v>
      </c>
      <c r="AE8" s="140" t="s">
        <v>709</v>
      </c>
      <c r="AF8" s="140" t="s">
        <v>709</v>
      </c>
      <c r="AG8" s="140" t="s">
        <v>709</v>
      </c>
      <c r="AH8" s="140" t="s">
        <v>709</v>
      </c>
      <c r="AI8" s="1426"/>
      <c r="AK8" s="1580"/>
      <c r="AL8" s="1579"/>
      <c r="AM8" s="1579"/>
      <c r="AN8" s="1579"/>
      <c r="AO8" s="1555"/>
      <c r="AP8" s="1555"/>
    </row>
    <row r="9" spans="2:42" s="306" customFormat="1" ht="20.100000000000001" customHeight="1" thickBot="1" x14ac:dyDescent="0.3">
      <c r="B9" s="410" t="s">
        <v>91</v>
      </c>
      <c r="C9" s="411" t="s">
        <v>92</v>
      </c>
      <c r="D9" s="412" t="s">
        <v>93</v>
      </c>
      <c r="E9" s="412" t="s">
        <v>94</v>
      </c>
      <c r="F9" s="412" t="s">
        <v>218</v>
      </c>
      <c r="G9" s="386" t="s">
        <v>138</v>
      </c>
      <c r="H9" s="826">
        <f>+H10+H39+H47+H49</f>
        <v>7798353</v>
      </c>
      <c r="I9" s="443">
        <f>+I10+I39+I49+I47+I37</f>
        <v>8494793</v>
      </c>
      <c r="J9" s="443">
        <f ca="1">+J10+J39+J49+J47+J37</f>
        <v>1382983.4129999999</v>
      </c>
      <c r="K9" s="1101">
        <f ca="1">IFERROR(J9/I9,"0.00%")</f>
        <v>0.16280366254951709</v>
      </c>
      <c r="L9" s="1225">
        <f>+L10+L39+L49+L47+L37</f>
        <v>2147455.8840000001</v>
      </c>
      <c r="M9" s="1101">
        <f>IFERROR(+L9/I9,0)</f>
        <v>0.25279672900799349</v>
      </c>
      <c r="N9" s="443">
        <f t="shared" ref="N9:N15" si="0">+I9-L9</f>
        <v>6347337.1160000004</v>
      </c>
      <c r="O9" s="1095">
        <f>+IFERROR(N9/I9,0)</f>
        <v>0.74720327099200656</v>
      </c>
      <c r="P9" s="409">
        <f>+P10+P37+P39+P47</f>
        <v>8219493.3649999984</v>
      </c>
      <c r="Q9" s="305">
        <f>+Q10+Q37+Q39+Q47</f>
        <v>2092661.7241539999</v>
      </c>
      <c r="R9" s="1067">
        <f>IFERROR(Q9/P9,"0,00%")</f>
        <v>0.25459741023271698</v>
      </c>
      <c r="S9" s="1077">
        <f>+S10+S39+S49+S47</f>
        <v>742509.57000000007</v>
      </c>
      <c r="T9" s="812">
        <f>+T10+T39+T49+T47</f>
        <v>191167.51336799999</v>
      </c>
      <c r="U9" s="1089">
        <f>+U10+U39+U49+U47</f>
        <v>167336.70200000002</v>
      </c>
      <c r="V9" s="812">
        <f>+V10+V39+V49+V47</f>
        <v>1107255.851362</v>
      </c>
      <c r="W9" s="836">
        <f>+W10+W37+W39+W47+W49</f>
        <v>188372.34</v>
      </c>
      <c r="X9" s="708">
        <f>+X10+X37+X39+X47+X49</f>
        <v>653988.42274800001</v>
      </c>
      <c r="Y9" s="1550">
        <f>+Y10+Y39+Y49+Y47</f>
        <v>284764.80099999998</v>
      </c>
      <c r="Z9" s="1592">
        <f t="shared" ref="Z9:AH9" si="1">+Z10+Z39+Z49+Z47</f>
        <v>140249.93667599998</v>
      </c>
      <c r="AA9" s="1585">
        <f t="shared" si="1"/>
        <v>70576.574000000008</v>
      </c>
      <c r="AB9" s="1088">
        <f t="shared" si="1"/>
        <v>313793.174</v>
      </c>
      <c r="AC9" s="836">
        <f t="shared" si="1"/>
        <v>265574.40299999999</v>
      </c>
      <c r="AD9" s="1368">
        <f t="shared" si="1"/>
        <v>483966.62700000004</v>
      </c>
      <c r="AE9" s="836">
        <f t="shared" si="1"/>
        <v>481043.73200000002</v>
      </c>
      <c r="AF9" s="836">
        <f t="shared" si="1"/>
        <v>354374.64499999996</v>
      </c>
      <c r="AG9" s="836">
        <f t="shared" si="1"/>
        <v>1359757.571</v>
      </c>
      <c r="AH9" s="1090">
        <f t="shared" si="1"/>
        <v>2747806.2589999996</v>
      </c>
      <c r="AJ9" s="55"/>
      <c r="AK9" s="1580"/>
      <c r="AL9" s="1579"/>
      <c r="AM9" s="1579"/>
      <c r="AN9" s="1579"/>
    </row>
    <row r="10" spans="2:42" s="390" customFormat="1" ht="15" customHeight="1" x14ac:dyDescent="0.25">
      <c r="B10" s="428" t="s">
        <v>1</v>
      </c>
      <c r="C10" s="136" t="s">
        <v>2</v>
      </c>
      <c r="D10" s="131"/>
      <c r="E10" s="457"/>
      <c r="F10" s="457"/>
      <c r="G10" s="498" t="s">
        <v>148</v>
      </c>
      <c r="H10" s="424">
        <f>+H13+H11</f>
        <v>6614118</v>
      </c>
      <c r="I10" s="420">
        <f>+I13+I11</f>
        <v>6614118</v>
      </c>
      <c r="J10" s="420">
        <f ca="1">+J13+J11</f>
        <v>618264.33199999994</v>
      </c>
      <c r="K10" s="1102">
        <f t="shared" ref="K10:K12" ca="1" si="2">IFERROR(J10/I10,"0.00%")</f>
        <v>9.3476459295101774E-2</v>
      </c>
      <c r="L10" s="422">
        <f>+L13+L11</f>
        <v>1270363.598</v>
      </c>
      <c r="M10" s="1102">
        <f t="shared" ref="M10:M49" si="3">IFERROR(+L10/I10,0)</f>
        <v>0.19206848108848376</v>
      </c>
      <c r="N10" s="422">
        <f t="shared" si="0"/>
        <v>5343754.4019999998</v>
      </c>
      <c r="O10" s="1054">
        <f t="shared" ref="O10:O49" si="4">+IFERROR(N10/I10,0)</f>
        <v>0.80793151891151616</v>
      </c>
      <c r="P10" s="429">
        <f>+P13</f>
        <v>6982221.9559999984</v>
      </c>
      <c r="Q10" s="430">
        <f>+Q13</f>
        <v>1000009.3051380001</v>
      </c>
      <c r="R10" s="1060" t="str">
        <f>IFERROR(Q1/P1,"0,00%")</f>
        <v>0,00%</v>
      </c>
      <c r="S10" s="1076">
        <f t="shared" ref="S10:AH10" si="5">+S13</f>
        <v>46060.313999999998</v>
      </c>
      <c r="T10" s="779">
        <f t="shared" si="5"/>
        <v>76181.21312</v>
      </c>
      <c r="U10" s="1087">
        <f>+U13</f>
        <v>147825.46400000001</v>
      </c>
      <c r="V10" s="779">
        <f>+V13</f>
        <v>182270.578607</v>
      </c>
      <c r="W10" s="707">
        <f t="shared" si="5"/>
        <v>139613.753</v>
      </c>
      <c r="X10" s="1428">
        <f t="shared" si="5"/>
        <v>612287.91602300003</v>
      </c>
      <c r="Y10" s="707">
        <f>+Y13+Y11</f>
        <v>284764.80099999998</v>
      </c>
      <c r="Z10" s="1545">
        <f>+Z13+Z11</f>
        <v>129269.59738799999</v>
      </c>
      <c r="AA10" s="1581">
        <f>+AA13</f>
        <v>63728.143000000004</v>
      </c>
      <c r="AB10" s="1085">
        <f t="shared" si="5"/>
        <v>298881.80599999998</v>
      </c>
      <c r="AC10" s="1086">
        <f t="shared" si="5"/>
        <v>199815.45799999998</v>
      </c>
      <c r="AD10" s="1369">
        <f>+AD13</f>
        <v>372574.72600000002</v>
      </c>
      <c r="AE10" s="1086">
        <f t="shared" si="5"/>
        <v>392558.48800000001</v>
      </c>
      <c r="AF10" s="1086">
        <f t="shared" si="5"/>
        <v>311271.80099999998</v>
      </c>
      <c r="AG10" s="1086">
        <f>+AG13</f>
        <v>1080078.7150000001</v>
      </c>
      <c r="AH10" s="1276">
        <f t="shared" si="5"/>
        <v>2325869.1239999998</v>
      </c>
      <c r="AI10" s="1427"/>
      <c r="AJ10" s="55"/>
      <c r="AK10" s="1580"/>
      <c r="AL10" s="1579"/>
      <c r="AM10" s="1579"/>
      <c r="AN10" s="1579"/>
    </row>
    <row r="11" spans="2:42" s="390" customFormat="1" ht="15" customHeight="1" x14ac:dyDescent="0.25">
      <c r="B11" s="428"/>
      <c r="C11" s="136">
        <v>2</v>
      </c>
      <c r="D11" s="131"/>
      <c r="E11" s="457"/>
      <c r="F11" s="457"/>
      <c r="G11" s="498" t="s">
        <v>86</v>
      </c>
      <c r="H11" s="424">
        <f>+H12</f>
        <v>192906</v>
      </c>
      <c r="I11" s="420">
        <f>+I12</f>
        <v>192906</v>
      </c>
      <c r="J11" s="430">
        <f ca="1">+J12</f>
        <v>192906</v>
      </c>
      <c r="K11" s="1102">
        <f t="shared" ca="1" si="2"/>
        <v>1</v>
      </c>
      <c r="L11" s="1062">
        <f>+L12</f>
        <v>192906</v>
      </c>
      <c r="M11" s="1102">
        <f t="shared" si="3"/>
        <v>1</v>
      </c>
      <c r="N11" s="422">
        <f t="shared" si="0"/>
        <v>0</v>
      </c>
      <c r="O11" s="1054">
        <f t="shared" si="4"/>
        <v>0</v>
      </c>
      <c r="P11" s="429">
        <v>0</v>
      </c>
      <c r="Q11" s="430">
        <v>0</v>
      </c>
      <c r="R11" s="1060">
        <v>0</v>
      </c>
      <c r="S11" s="1363">
        <v>0</v>
      </c>
      <c r="T11" s="1374">
        <v>0</v>
      </c>
      <c r="U11" s="1363">
        <v>0</v>
      </c>
      <c r="V11" s="1413">
        <v>0</v>
      </c>
      <c r="W11" s="1429">
        <v>0</v>
      </c>
      <c r="X11" s="1374">
        <v>0</v>
      </c>
      <c r="Y11" s="1363">
        <f>+Y12</f>
        <v>192906</v>
      </c>
      <c r="Z11" s="1374">
        <v>0</v>
      </c>
      <c r="AA11" s="1582">
        <v>0</v>
      </c>
      <c r="AB11" s="1363">
        <v>0</v>
      </c>
      <c r="AC11" s="1362">
        <v>0</v>
      </c>
      <c r="AD11" s="1370">
        <v>0</v>
      </c>
      <c r="AE11" s="1362">
        <v>0</v>
      </c>
      <c r="AF11" s="1076">
        <v>0</v>
      </c>
      <c r="AG11" s="1362">
        <v>0</v>
      </c>
      <c r="AH11" s="1076">
        <v>0</v>
      </c>
      <c r="AI11" s="1427"/>
      <c r="AJ11" s="55"/>
      <c r="AK11" s="1580"/>
      <c r="AL11" s="1579"/>
      <c r="AM11" s="1579"/>
      <c r="AN11" s="1579"/>
    </row>
    <row r="12" spans="2:42" s="390" customFormat="1" ht="15" customHeight="1" x14ac:dyDescent="0.25">
      <c r="B12" s="428"/>
      <c r="C12" s="136"/>
      <c r="D12" s="131">
        <v>500</v>
      </c>
      <c r="E12" s="457"/>
      <c r="F12" s="457"/>
      <c r="G12" s="498" t="s">
        <v>988</v>
      </c>
      <c r="H12" s="424">
        <f>+'P02 2023'!I3</f>
        <v>192906</v>
      </c>
      <c r="I12" s="420">
        <f>+'P02 2023'!BP3</f>
        <v>192906</v>
      </c>
      <c r="J12" s="430">
        <f ca="1">+SUMIF(S$3:$AH5,"ok",S12:AH12)</f>
        <v>192906</v>
      </c>
      <c r="K12" s="1102">
        <f t="shared" ca="1" si="2"/>
        <v>1</v>
      </c>
      <c r="L12" s="1062">
        <f>+'P02 2023'!BQ4</f>
        <v>192906</v>
      </c>
      <c r="M12" s="1102">
        <f t="shared" si="3"/>
        <v>1</v>
      </c>
      <c r="N12" s="422">
        <f t="shared" si="0"/>
        <v>0</v>
      </c>
      <c r="O12" s="1054">
        <f t="shared" si="4"/>
        <v>0</v>
      </c>
      <c r="P12" s="429">
        <v>0</v>
      </c>
      <c r="Q12" s="430">
        <v>0</v>
      </c>
      <c r="R12" s="1060">
        <v>0</v>
      </c>
      <c r="S12" s="1363">
        <v>0</v>
      </c>
      <c r="T12" s="1375">
        <v>0</v>
      </c>
      <c r="U12" s="1363">
        <v>0</v>
      </c>
      <c r="V12" s="1414">
        <v>0</v>
      </c>
      <c r="W12" s="1429">
        <v>0</v>
      </c>
      <c r="X12" s="1374">
        <v>0</v>
      </c>
      <c r="Y12" s="1363">
        <f>+'P02 2023'!BF3</f>
        <v>192906</v>
      </c>
      <c r="Z12" s="1374">
        <v>0</v>
      </c>
      <c r="AA12" s="1582">
        <v>0</v>
      </c>
      <c r="AB12" s="1363">
        <v>0</v>
      </c>
      <c r="AC12" s="1362">
        <v>0</v>
      </c>
      <c r="AD12" s="1370">
        <v>0</v>
      </c>
      <c r="AE12" s="1362">
        <v>0</v>
      </c>
      <c r="AF12" s="1076">
        <v>0</v>
      </c>
      <c r="AG12" s="1362">
        <v>0</v>
      </c>
      <c r="AH12" s="1076">
        <v>0</v>
      </c>
      <c r="AI12" s="1427"/>
      <c r="AJ12" s="55"/>
      <c r="AK12" s="1580"/>
      <c r="AL12" s="1579"/>
      <c r="AM12" s="1579"/>
      <c r="AN12" s="1579"/>
    </row>
    <row r="13" spans="2:42" s="390" customFormat="1" ht="15" customHeight="1" x14ac:dyDescent="0.25">
      <c r="B13" s="428" t="s">
        <v>2</v>
      </c>
      <c r="C13" s="136">
        <v>3</v>
      </c>
      <c r="D13" s="131"/>
      <c r="E13" s="132"/>
      <c r="F13" s="132"/>
      <c r="G13" s="498" t="s">
        <v>314</v>
      </c>
      <c r="H13" s="424">
        <f>+H14+H20+H26+H28+H30</f>
        <v>6421212</v>
      </c>
      <c r="I13" s="420">
        <f>+I14+I20+I26+I28+I30</f>
        <v>6421212</v>
      </c>
      <c r="J13" s="420">
        <f ca="1">+J14+J20+J26+J28+J30</f>
        <v>425358.33199999999</v>
      </c>
      <c r="K13" s="1102">
        <f t="shared" ref="K13:K48" ca="1" si="6">IFERROR(J13/I13,"0.00%")</f>
        <v>6.6242686271688278E-2</v>
      </c>
      <c r="L13" s="1062">
        <f>+L14+L20+L26+L28+L30</f>
        <v>1077457.598</v>
      </c>
      <c r="M13" s="1102">
        <f t="shared" si="3"/>
        <v>0.16779660880220121</v>
      </c>
      <c r="N13" s="422">
        <f t="shared" si="0"/>
        <v>5343754.4019999998</v>
      </c>
      <c r="O13" s="1054">
        <f>+IFERROR(N13/I13,0)</f>
        <v>0.83220339119779874</v>
      </c>
      <c r="P13" s="424">
        <f>+P14+P20+P26+P28+P30</f>
        <v>6982221.9559999984</v>
      </c>
      <c r="Q13" s="420">
        <f>+Q14+Q20+Q26+Q28+Q30</f>
        <v>1000009.3051380001</v>
      </c>
      <c r="R13" s="1060">
        <f t="shared" ref="R13:R19" si="7">IFERROR(Q13/P13,"0,00%")</f>
        <v>0.1432222165722857</v>
      </c>
      <c r="S13" s="1070">
        <f>+S14+S20+S28+S30</f>
        <v>46060.313999999998</v>
      </c>
      <c r="T13" s="423">
        <f>+T14+T20+T28+T30</f>
        <v>76181.21312</v>
      </c>
      <c r="U13" s="424">
        <f>+U14+U20+U26+U30</f>
        <v>147825.46400000001</v>
      </c>
      <c r="V13" s="423">
        <f>+V14+V20+V26+V30</f>
        <v>182270.578607</v>
      </c>
      <c r="W13" s="460">
        <f>+W14+W20+W26+W28+W30</f>
        <v>139613.753</v>
      </c>
      <c r="X13" s="425">
        <f>+X14+X20+X26+X28+X30</f>
        <v>612287.91602300003</v>
      </c>
      <c r="Y13" s="460">
        <f>+Y14+Y20+Y30+Y26+Y28</f>
        <v>91858.801000000007</v>
      </c>
      <c r="Z13" s="425">
        <f>+Z14+Z20+Z30+Z26+Z28</f>
        <v>129269.59738799999</v>
      </c>
      <c r="AA13" s="1583">
        <f>+AA14+AA20+AA26+AA30</f>
        <v>63728.143000000004</v>
      </c>
      <c r="AB13" s="704">
        <f>+AB14+AB20+AB30</f>
        <v>298881.80599999998</v>
      </c>
      <c r="AC13" s="475">
        <f>+AC14+AC20+AC26+AC28+AC30</f>
        <v>199815.45799999998</v>
      </c>
      <c r="AD13" s="1371">
        <f>+AD14+AD20+AD26+AD28+AD30</f>
        <v>372574.72600000002</v>
      </c>
      <c r="AE13" s="475">
        <f>+AE14+AE20+AE26+AE28+AE30</f>
        <v>392558.48800000001</v>
      </c>
      <c r="AF13" s="475">
        <f>+AF14+AF20+AF26+AF28+AF30</f>
        <v>311271.80099999998</v>
      </c>
      <c r="AG13" s="475">
        <f>+AG14+AG20+AG26+AG30+AG28</f>
        <v>1080078.7150000001</v>
      </c>
      <c r="AH13" s="475">
        <f>+AH14+AH20+AH26+AH30+AH28</f>
        <v>2325869.1239999998</v>
      </c>
      <c r="AI13" s="1427"/>
      <c r="AJ13" s="55"/>
      <c r="AK13" s="1580"/>
      <c r="AL13" s="1579"/>
      <c r="AM13" s="1579"/>
      <c r="AN13" s="1579"/>
    </row>
    <row r="14" spans="2:42" s="407" customFormat="1" ht="15" customHeight="1" x14ac:dyDescent="0.25">
      <c r="B14" s="418" t="s">
        <v>2</v>
      </c>
      <c r="C14" s="419"/>
      <c r="D14" s="132">
        <v>26</v>
      </c>
      <c r="E14" s="132"/>
      <c r="F14" s="132" t="s">
        <v>217</v>
      </c>
      <c r="G14" s="822" t="s">
        <v>139</v>
      </c>
      <c r="H14" s="424">
        <f>SUM(H15:H19)</f>
        <v>1534002</v>
      </c>
      <c r="I14" s="420">
        <f>SUM(I15:I19)</f>
        <v>1534002</v>
      </c>
      <c r="J14" s="420">
        <f ca="1">SUM(J15:J19)</f>
        <v>12018</v>
      </c>
      <c r="K14" s="1102">
        <f ca="1">IFERROR(J14/I14,"0.00%")</f>
        <v>7.8344096031165537E-3</v>
      </c>
      <c r="L14" s="422">
        <f>SUM(L15:L19)</f>
        <v>53041.03</v>
      </c>
      <c r="M14" s="1102">
        <f>IFERROR(+L14/I14,0)</f>
        <v>3.4576897552936699E-2</v>
      </c>
      <c r="N14" s="422">
        <f t="shared" si="0"/>
        <v>1480960.97</v>
      </c>
      <c r="O14" s="1054">
        <f>+IFERROR(N14/I14,0)</f>
        <v>0.96542310244706331</v>
      </c>
      <c r="P14" s="421">
        <f>+SUM(P15:P19)</f>
        <v>1385181.4809999999</v>
      </c>
      <c r="Q14" s="422">
        <f>SUM(Q15:Q19)</f>
        <v>93225.1</v>
      </c>
      <c r="R14" s="1060">
        <f t="shared" si="7"/>
        <v>6.7301722755272686E-2</v>
      </c>
      <c r="S14" s="1070">
        <f>SUM(S15:S19)</f>
        <v>1768</v>
      </c>
      <c r="T14" s="423">
        <f>SUM(T15:T19)</f>
        <v>0</v>
      </c>
      <c r="U14" s="424">
        <f>+SUM(U15:U19)</f>
        <v>0</v>
      </c>
      <c r="V14" s="423">
        <f>+SUM(V15:V19)</f>
        <v>0</v>
      </c>
      <c r="W14" s="460">
        <f>SUM(W15:W19)</f>
        <v>7800</v>
      </c>
      <c r="X14" s="425">
        <f>+SUM(X15:X19)</f>
        <v>93225.1</v>
      </c>
      <c r="Y14" s="460">
        <f t="shared" ref="Y14:AB14" si="8">+SUM(Y15:Y19)</f>
        <v>2450</v>
      </c>
      <c r="Z14" s="425">
        <f t="shared" si="8"/>
        <v>0</v>
      </c>
      <c r="AA14" s="1584">
        <f>+SUM(AA15:AA19)</f>
        <v>18000</v>
      </c>
      <c r="AB14" s="1051">
        <f t="shared" si="8"/>
        <v>115200</v>
      </c>
      <c r="AC14" s="475">
        <f>+SUM(AC15:AC19)</f>
        <v>12960</v>
      </c>
      <c r="AD14" s="1371">
        <f>+SUM(AD15:AD19)</f>
        <v>121356</v>
      </c>
      <c r="AE14" s="475">
        <f>SUM(AE15:AE19)</f>
        <v>99372</v>
      </c>
      <c r="AF14" s="475">
        <f>SUM(AF15:AF19)</f>
        <v>59000</v>
      </c>
      <c r="AG14" s="475">
        <f>SUM(AG15:AG19)</f>
        <v>167474.29300000001</v>
      </c>
      <c r="AH14" s="475">
        <f>SUM(AH15:AH19)</f>
        <v>533136.75300000003</v>
      </c>
      <c r="AI14" s="1427"/>
      <c r="AJ14" s="55"/>
      <c r="AK14" s="1580"/>
      <c r="AL14" s="1579"/>
      <c r="AM14" s="1579"/>
      <c r="AN14" s="1579"/>
    </row>
    <row r="15" spans="2:42" s="390" customFormat="1" ht="15" customHeight="1" x14ac:dyDescent="0.2">
      <c r="B15" s="461"/>
      <c r="C15" s="127"/>
      <c r="D15" s="322"/>
      <c r="E15" s="145">
        <v>1</v>
      </c>
      <c r="F15" s="145"/>
      <c r="G15" s="823" t="s">
        <v>274</v>
      </c>
      <c r="H15" s="1557">
        <f>+'P02 2023'!I4</f>
        <v>1074172</v>
      </c>
      <c r="I15" s="1083">
        <f>+'P02 2023'!BP5</f>
        <v>1075022</v>
      </c>
      <c r="J15" s="467">
        <f>SUMIF(S$3:$AH3,"ok",S15:AH15)</f>
        <v>7800</v>
      </c>
      <c r="K15" s="1103">
        <f t="shared" si="6"/>
        <v>7.2556654654509396E-3</v>
      </c>
      <c r="L15" s="1083">
        <f>+'P02 2023'!BQ11</f>
        <v>45972</v>
      </c>
      <c r="M15" s="1103">
        <f>IFERROR(+L15/I15,0)</f>
        <v>4.2763775997142386E-2</v>
      </c>
      <c r="N15" s="435">
        <f t="shared" si="0"/>
        <v>1029050</v>
      </c>
      <c r="O15" s="1096">
        <f t="shared" si="4"/>
        <v>0.95723622400285757</v>
      </c>
      <c r="P15" s="434">
        <f>+'P02 2022'!BD3</f>
        <v>1158681.957687</v>
      </c>
      <c r="Q15" s="435">
        <f>SUMIF($S$3:$AH$3,"SI",S15:AH15)</f>
        <v>50705.1</v>
      </c>
      <c r="R15" s="1059">
        <f t="shared" si="7"/>
        <v>4.3761016268190824E-2</v>
      </c>
      <c r="S15" s="1071">
        <v>0</v>
      </c>
      <c r="T15" s="463">
        <v>0</v>
      </c>
      <c r="U15" s="464">
        <v>0</v>
      </c>
      <c r="V15" s="463">
        <v>0</v>
      </c>
      <c r="W15" s="464">
        <f>+'P02 2023'!AL3</f>
        <v>7800</v>
      </c>
      <c r="X15" s="465">
        <f>+'P02 2022'!AS3</f>
        <v>50705.1</v>
      </c>
      <c r="Y15" s="466">
        <v>0</v>
      </c>
      <c r="Z15" s="1546">
        <v>0</v>
      </c>
      <c r="AA15" s="662">
        <f>+'P02 2022'!CR3</f>
        <v>18000</v>
      </c>
      <c r="AB15" s="691">
        <f>+'P02 2022'!DE5</f>
        <v>115200</v>
      </c>
      <c r="AC15" s="922">
        <f>+'P02 2022'!EF5</f>
        <v>12960</v>
      </c>
      <c r="AD15" s="462">
        <f>+'P02 2022'!FG4</f>
        <v>121356</v>
      </c>
      <c r="AE15" s="709">
        <f>+'P02 2022'!GE4</f>
        <v>99372</v>
      </c>
      <c r="AF15" s="709">
        <f>+'P02 2022'!HD6</f>
        <v>39000</v>
      </c>
      <c r="AG15" s="709">
        <f>+'P02 2022'!IE8</f>
        <v>167314</v>
      </c>
      <c r="AH15" s="1277">
        <f>+'P02 2022'!JC5</f>
        <v>401994</v>
      </c>
      <c r="AI15" s="1427"/>
      <c r="AJ15" s="55"/>
      <c r="AK15" s="1580"/>
      <c r="AL15" s="1579"/>
      <c r="AM15" s="1579"/>
      <c r="AN15" s="1579"/>
    </row>
    <row r="16" spans="2:42" s="390" customFormat="1" ht="15" customHeight="1" x14ac:dyDescent="0.2">
      <c r="B16" s="461"/>
      <c r="C16" s="127"/>
      <c r="D16" s="322"/>
      <c r="E16" s="145">
        <v>2</v>
      </c>
      <c r="F16" s="145"/>
      <c r="G16" s="823" t="s">
        <v>298</v>
      </c>
      <c r="H16" s="1557">
        <f>+'P02 2023'!I6</f>
        <v>70000</v>
      </c>
      <c r="I16" s="1083">
        <f>+'P02 2023'!BP7</f>
        <v>70000</v>
      </c>
      <c r="J16" s="467">
        <f ca="1">SUMIF(S$3:$AH4,"ok",S16:AH16)</f>
        <v>0</v>
      </c>
      <c r="K16" s="1103">
        <f t="shared" ca="1" si="6"/>
        <v>0</v>
      </c>
      <c r="L16" s="1083">
        <v>0</v>
      </c>
      <c r="M16" s="1103">
        <f>IFERROR(+L16/I16,0)</f>
        <v>0</v>
      </c>
      <c r="N16" s="435">
        <f t="shared" ref="N16:N19" si="9">+I16-L16</f>
        <v>70000</v>
      </c>
      <c r="O16" s="1096">
        <f t="shared" si="4"/>
        <v>1</v>
      </c>
      <c r="P16" s="434">
        <f>+'P02 2022'!BD5</f>
        <v>177733.59999999998</v>
      </c>
      <c r="Q16" s="435">
        <f t="shared" ref="Q16:Q18" si="10">SUMIF($S$3:$AH$3,"SI",S16:AH16)</f>
        <v>42520</v>
      </c>
      <c r="R16" s="1059">
        <f t="shared" si="7"/>
        <v>0.23923444976076558</v>
      </c>
      <c r="S16" s="1071">
        <v>0</v>
      </c>
      <c r="T16" s="463">
        <v>0</v>
      </c>
      <c r="U16" s="464">
        <v>0</v>
      </c>
      <c r="V16" s="463">
        <v>0</v>
      </c>
      <c r="W16" s="464">
        <v>0</v>
      </c>
      <c r="X16" s="465">
        <f>+'P02 2022'!AS4</f>
        <v>42520</v>
      </c>
      <c r="Y16" s="466">
        <v>0</v>
      </c>
      <c r="Z16" s="1546">
        <v>0</v>
      </c>
      <c r="AA16" s="662">
        <v>0</v>
      </c>
      <c r="AB16" s="691">
        <v>0</v>
      </c>
      <c r="AC16" s="922">
        <v>0</v>
      </c>
      <c r="AD16" s="462">
        <v>0</v>
      </c>
      <c r="AE16" s="709">
        <v>0</v>
      </c>
      <c r="AF16" s="709">
        <f>+'P02 2022'!HD5</f>
        <v>20000</v>
      </c>
      <c r="AG16" s="709">
        <v>0</v>
      </c>
      <c r="AH16" s="1277">
        <f>+'P02 2022'!JC4</f>
        <v>120000</v>
      </c>
      <c r="AI16" s="1427"/>
      <c r="AJ16" s="55"/>
      <c r="AK16" s="1580"/>
      <c r="AL16" s="1579"/>
      <c r="AM16" s="1579"/>
      <c r="AN16" s="1579"/>
    </row>
    <row r="17" spans="1:40" s="390" customFormat="1" ht="15" customHeight="1" x14ac:dyDescent="0.2">
      <c r="B17" s="461"/>
      <c r="C17" s="127"/>
      <c r="D17" s="322"/>
      <c r="E17" s="145">
        <v>3</v>
      </c>
      <c r="F17" s="145"/>
      <c r="G17" s="823" t="s">
        <v>275</v>
      </c>
      <c r="H17" s="1557">
        <f>+'P02 2023'!I5</f>
        <v>339360</v>
      </c>
      <c r="I17" s="1083">
        <f>+'P02 2023'!BP6</f>
        <v>315360</v>
      </c>
      <c r="J17" s="467">
        <f ca="1">SUMIF(S$3:$AH5,"ok",S17:AH17)</f>
        <v>0</v>
      </c>
      <c r="K17" s="1103">
        <f t="shared" ca="1" si="6"/>
        <v>0</v>
      </c>
      <c r="L17" s="1083">
        <v>0</v>
      </c>
      <c r="M17" s="1103">
        <f>IFERROR(+L17/I17,0)</f>
        <v>0</v>
      </c>
      <c r="N17" s="435">
        <f t="shared" si="9"/>
        <v>315360</v>
      </c>
      <c r="O17" s="1096">
        <f t="shared" si="4"/>
        <v>1</v>
      </c>
      <c r="P17" s="434">
        <f>+'P02 2022'!BD7</f>
        <v>23386</v>
      </c>
      <c r="Q17" s="435">
        <f t="shared" si="10"/>
        <v>0</v>
      </c>
      <c r="R17" s="1059">
        <f t="shared" si="7"/>
        <v>0</v>
      </c>
      <c r="S17" s="1071">
        <v>0</v>
      </c>
      <c r="T17" s="463">
        <v>0</v>
      </c>
      <c r="U17" s="464">
        <v>0</v>
      </c>
      <c r="V17" s="463">
        <v>0</v>
      </c>
      <c r="W17" s="464">
        <v>0</v>
      </c>
      <c r="X17" s="465">
        <v>0</v>
      </c>
      <c r="Y17" s="466">
        <v>0</v>
      </c>
      <c r="Z17" s="465">
        <v>0</v>
      </c>
      <c r="AA17" s="662">
        <v>0</v>
      </c>
      <c r="AB17" s="691">
        <v>0</v>
      </c>
      <c r="AC17" s="922">
        <v>0</v>
      </c>
      <c r="AD17" s="462">
        <v>0</v>
      </c>
      <c r="AE17" s="709">
        <v>0</v>
      </c>
      <c r="AF17" s="709">
        <v>0</v>
      </c>
      <c r="AG17" s="709">
        <v>0</v>
      </c>
      <c r="AH17" s="1277">
        <f>+'P02 2022'!JC6</f>
        <v>2194.241</v>
      </c>
      <c r="AI17" s="1427"/>
      <c r="AJ17" s="55"/>
      <c r="AK17" s="1580"/>
      <c r="AL17" s="1579"/>
      <c r="AM17" s="1579"/>
      <c r="AN17" s="1579"/>
    </row>
    <row r="18" spans="1:40" s="390" customFormat="1" ht="15" customHeight="1" x14ac:dyDescent="0.2">
      <c r="B18" s="814"/>
      <c r="C18" s="373"/>
      <c r="D18" s="815"/>
      <c r="E18" s="145">
        <v>4</v>
      </c>
      <c r="F18" s="145"/>
      <c r="G18" s="823" t="s">
        <v>627</v>
      </c>
      <c r="H18" s="1557">
        <f>+'P02 2023'!I8</f>
        <v>6034</v>
      </c>
      <c r="I18" s="467">
        <f>+'P02 2023'!BP9</f>
        <v>7034</v>
      </c>
      <c r="J18" s="467">
        <f ca="1">SUMIF(S$3:$AH6,"ok",S18:AH18)</f>
        <v>0</v>
      </c>
      <c r="K18" s="1103" t="str">
        <f ca="1">IFERROR(J18/#REF!,"0,00%")</f>
        <v>0,00%</v>
      </c>
      <c r="L18" s="1558">
        <v>0</v>
      </c>
      <c r="M18" s="1103">
        <f>IFERROR(+L18/I18,0)</f>
        <v>0</v>
      </c>
      <c r="N18" s="435">
        <f t="shared" si="9"/>
        <v>7034</v>
      </c>
      <c r="O18" s="1096">
        <f>+IFERROR(N18/#REF!,0)</f>
        <v>0</v>
      </c>
      <c r="P18" s="434">
        <f>+'P02 2022'!BD8</f>
        <v>2110.8533130000001</v>
      </c>
      <c r="Q18" s="435">
        <f t="shared" si="10"/>
        <v>0</v>
      </c>
      <c r="R18" s="1059">
        <f t="shared" si="7"/>
        <v>0</v>
      </c>
      <c r="S18" s="1071">
        <v>0</v>
      </c>
      <c r="T18" s="463">
        <v>0</v>
      </c>
      <c r="U18" s="464">
        <v>0</v>
      </c>
      <c r="V18" s="463">
        <v>0</v>
      </c>
      <c r="W18" s="464">
        <v>0</v>
      </c>
      <c r="X18" s="465">
        <v>0</v>
      </c>
      <c r="Y18" s="466">
        <v>0</v>
      </c>
      <c r="Z18" s="465">
        <v>0</v>
      </c>
      <c r="AA18" s="662">
        <v>0</v>
      </c>
      <c r="AB18" s="691">
        <v>0</v>
      </c>
      <c r="AC18" s="922">
        <v>0</v>
      </c>
      <c r="AD18" s="462">
        <v>0</v>
      </c>
      <c r="AE18" s="709">
        <v>0</v>
      </c>
      <c r="AF18" s="709">
        <v>0</v>
      </c>
      <c r="AG18" s="922">
        <f>+'P02 2022'!IE9</f>
        <v>160.29300000000001</v>
      </c>
      <c r="AH18" s="1277">
        <v>0</v>
      </c>
      <c r="AI18" s="1427"/>
      <c r="AJ18" s="55"/>
      <c r="AK18" s="1580"/>
      <c r="AL18" s="1579"/>
      <c r="AM18" s="1579"/>
      <c r="AN18" s="1579"/>
    </row>
    <row r="19" spans="1:40" s="390" customFormat="1" ht="15" customHeight="1" x14ac:dyDescent="0.2">
      <c r="B19" s="814"/>
      <c r="C19" s="373"/>
      <c r="D19" s="815"/>
      <c r="E19" s="145">
        <v>5</v>
      </c>
      <c r="F19" s="145"/>
      <c r="G19" s="823" t="s">
        <v>716</v>
      </c>
      <c r="H19" s="1557">
        <f>+'P02 2023'!I7</f>
        <v>44436</v>
      </c>
      <c r="I19" s="467">
        <f>+'P02 2023'!BP8</f>
        <v>66586</v>
      </c>
      <c r="J19" s="467">
        <f ca="1">SUMIF(S$3:$AH7,"ok",S19:AH19)</f>
        <v>4218</v>
      </c>
      <c r="K19" s="1103" t="str">
        <f ca="1">IFERROR(J19/#REF!,"0,00%")</f>
        <v>0,00%</v>
      </c>
      <c r="L19" s="1559">
        <f>+'P02 2023'!BQ12</f>
        <v>7069.03</v>
      </c>
      <c r="M19" s="1103">
        <f>IFERROR(+#REF!/I19,0)</f>
        <v>0</v>
      </c>
      <c r="N19" s="435">
        <f t="shared" si="9"/>
        <v>59516.97</v>
      </c>
      <c r="O19" s="1096">
        <f>+IFERROR(N19/#REF!,0)</f>
        <v>0</v>
      </c>
      <c r="P19" s="434">
        <f>+'P02 2022'!BD9</f>
        <v>23269.07</v>
      </c>
      <c r="Q19" s="435">
        <f>SUMIF($S$3:$AH$3,"SI",S19:AH19)</f>
        <v>0</v>
      </c>
      <c r="R19" s="1059">
        <f t="shared" si="7"/>
        <v>0</v>
      </c>
      <c r="S19" s="1074">
        <f>+'P02 2023'!K9</f>
        <v>1768</v>
      </c>
      <c r="T19" s="463">
        <v>0</v>
      </c>
      <c r="U19" s="464">
        <v>0</v>
      </c>
      <c r="V19" s="463">
        <v>0</v>
      </c>
      <c r="W19" s="464">
        <v>0</v>
      </c>
      <c r="X19" s="465">
        <v>0</v>
      </c>
      <c r="Y19" s="466">
        <f>+'P02 2023'!BF4</f>
        <v>2450</v>
      </c>
      <c r="Z19" s="465">
        <v>0</v>
      </c>
      <c r="AA19" s="662">
        <v>0</v>
      </c>
      <c r="AB19" s="691">
        <v>0</v>
      </c>
      <c r="AC19" s="922">
        <v>0</v>
      </c>
      <c r="AD19" s="462">
        <v>0</v>
      </c>
      <c r="AE19" s="709">
        <v>0</v>
      </c>
      <c r="AF19" s="709">
        <v>0</v>
      </c>
      <c r="AG19" s="709">
        <v>0</v>
      </c>
      <c r="AH19" s="1277">
        <f>+'P02 2022'!JC3</f>
        <v>8948.5120000000006</v>
      </c>
      <c r="AI19" s="1427"/>
      <c r="AJ19" s="55"/>
      <c r="AK19" s="1580"/>
      <c r="AL19" s="1579"/>
      <c r="AM19" s="1579"/>
      <c r="AN19" s="1579"/>
    </row>
    <row r="20" spans="1:40" s="408" customFormat="1" ht="15" customHeight="1" x14ac:dyDescent="0.25">
      <c r="B20" s="428"/>
      <c r="C20" s="136"/>
      <c r="D20" s="132">
        <v>33</v>
      </c>
      <c r="E20" s="132"/>
      <c r="F20" s="132" t="s">
        <v>304</v>
      </c>
      <c r="G20" s="822" t="s">
        <v>299</v>
      </c>
      <c r="H20" s="424">
        <f>SUM(H21:H25)</f>
        <v>2696418</v>
      </c>
      <c r="I20" s="420">
        <f>SUM(I21:I25)</f>
        <v>2696418</v>
      </c>
      <c r="J20" s="420">
        <f ca="1">SUMIF(S$3:$AH19,"ok",S20:AH20)</f>
        <v>153058.33199999999</v>
      </c>
      <c r="K20" s="1102">
        <f t="shared" ca="1" si="6"/>
        <v>5.6763577457204333E-2</v>
      </c>
      <c r="L20" s="1062">
        <f>SUM(L21:L25)</f>
        <v>634765.96799999999</v>
      </c>
      <c r="M20" s="1104">
        <f t="shared" si="3"/>
        <v>0.23541081835234745</v>
      </c>
      <c r="N20" s="1062">
        <f>+I20-L20</f>
        <v>2061652.0320000001</v>
      </c>
      <c r="O20" s="1097">
        <f t="shared" si="4"/>
        <v>0.76458918164765255</v>
      </c>
      <c r="P20" s="429">
        <f>SUM(P21:P25)</f>
        <v>2773855.9799999995</v>
      </c>
      <c r="Q20" s="430">
        <f>SUM(Q21:Q25)</f>
        <v>264732.20513800002</v>
      </c>
      <c r="R20" s="1060" t="str">
        <f>IFERROR(Q2/P2,"0,00%")</f>
        <v>0,00%</v>
      </c>
      <c r="S20" s="1072">
        <f>SUM(S21:S25)</f>
        <v>14292.313999999998</v>
      </c>
      <c r="T20" s="1269">
        <f>SUM(T21:T25)</f>
        <v>18779.21312</v>
      </c>
      <c r="U20" s="429">
        <f>SUM(U21:U25)</f>
        <v>7157.4639999999999</v>
      </c>
      <c r="V20" s="1269">
        <f>+SUM(V21:V25)</f>
        <v>78362.328607000003</v>
      </c>
      <c r="W20" s="429">
        <f>SUM(W21:W25)</f>
        <v>60420.752999999997</v>
      </c>
      <c r="X20" s="431">
        <f t="shared" ref="X20:AA20" si="11">SUM(X21:X25)</f>
        <v>39118.316022999999</v>
      </c>
      <c r="Y20" s="433">
        <f>SUM(Y21:Y25)</f>
        <v>71187.801000000007</v>
      </c>
      <c r="Z20" s="1440">
        <f>SUM(Z21:Z25)</f>
        <v>128472.34738799999</v>
      </c>
      <c r="AA20" s="1586">
        <f t="shared" si="11"/>
        <v>38980.843000000001</v>
      </c>
      <c r="AB20" s="644">
        <f t="shared" ref="AB20" si="12">+SUM(AB21:AB25)</f>
        <v>87681.806000000011</v>
      </c>
      <c r="AC20" s="502">
        <f>+SUM(AC21:AC25)</f>
        <v>40305.457999999999</v>
      </c>
      <c r="AD20" s="644">
        <f>+SUM(AD21:AD25)</f>
        <v>235018.72600000002</v>
      </c>
      <c r="AE20" s="502">
        <f>SUM(AE21:AE25)</f>
        <v>183186.48800000001</v>
      </c>
      <c r="AF20" s="1091">
        <f>SUM(AF21:AF25)</f>
        <v>189271.80099999998</v>
      </c>
      <c r="AG20" s="502">
        <f>+SUM(AG21:AG25)</f>
        <v>302724.522</v>
      </c>
      <c r="AH20" s="502">
        <f>SUM(AH21:AH25)</f>
        <v>227952.62599999999</v>
      </c>
      <c r="AI20" s="1427"/>
      <c r="AJ20" s="55"/>
      <c r="AK20" s="1580"/>
      <c r="AL20" s="1579"/>
      <c r="AM20" s="1579"/>
      <c r="AN20" s="1579"/>
    </row>
    <row r="21" spans="1:40" s="390" customFormat="1" ht="15" customHeight="1" x14ac:dyDescent="0.2">
      <c r="A21" s="408"/>
      <c r="B21" s="461"/>
      <c r="C21" s="127"/>
      <c r="D21" s="322"/>
      <c r="E21" s="145">
        <v>1</v>
      </c>
      <c r="F21" s="145"/>
      <c r="G21" s="823" t="s">
        <v>344</v>
      </c>
      <c r="H21" s="1557">
        <f>+'P02 2023'!I10</f>
        <v>2086968</v>
      </c>
      <c r="I21" s="1560">
        <f>+'P02 2023'!BP13</f>
        <v>2086968</v>
      </c>
      <c r="J21" s="467">
        <f ca="1">SUMIF(S$3:$AH19,"ok",S21:AH21)</f>
        <v>118789.629</v>
      </c>
      <c r="K21" s="1103" t="str">
        <f ca="1">IFERROR(J21/#REF!,"0.00%")</f>
        <v>0.00%</v>
      </c>
      <c r="L21" s="1561">
        <f>+'P02 2023'!BQ19</f>
        <v>541153.08799999999</v>
      </c>
      <c r="M21" s="1103">
        <f>IFERROR(+#REF!/#REF!,0)</f>
        <v>0</v>
      </c>
      <c r="N21" s="1083">
        <f>+I21-L21</f>
        <v>1545814.912</v>
      </c>
      <c r="O21" s="1096">
        <f>+IFERROR(N21/#REF!,0)</f>
        <v>0</v>
      </c>
      <c r="P21" s="434">
        <f>+'P02 2022'!BD11</f>
        <v>2032593.1269999999</v>
      </c>
      <c r="Q21" s="435">
        <f>SUMIF($S$3:$AH$3,"SI",S21:AH21)</f>
        <v>181185.58620000002</v>
      </c>
      <c r="R21" s="1059">
        <f t="shared" ref="R21:R29" si="13">IFERROR(Q21/P21,"0,00%")</f>
        <v>8.9140115546597551E-2</v>
      </c>
      <c r="S21" s="1074">
        <f>+'P02 2023'!K15</f>
        <v>11633.584999999999</v>
      </c>
      <c r="T21" s="463">
        <f>+'P02 2022'!H14</f>
        <v>7696.6833899999992</v>
      </c>
      <c r="U21" s="464">
        <v>0</v>
      </c>
      <c r="V21" s="1415">
        <f>+'P02 2022'!Q4</f>
        <v>68058.893899999995</v>
      </c>
      <c r="W21" s="472">
        <f>+'P02 2023'!AL9</f>
        <v>53670.472999999998</v>
      </c>
      <c r="X21" s="465">
        <f>+'P02 2022'!AS8</f>
        <v>15288.565609999998</v>
      </c>
      <c r="Y21" s="466">
        <f>+'P02 2023'!BF5</f>
        <v>53485.571000000004</v>
      </c>
      <c r="Z21" s="1547">
        <f>+'P02 2022'!BP4</f>
        <v>90141.443299999999</v>
      </c>
      <c r="AA21" s="662">
        <f>+'P02 2022'!CR4</f>
        <v>25683.888999999999</v>
      </c>
      <c r="AB21" s="691">
        <f>+'P02 2022'!DE11</f>
        <v>70536.800000000003</v>
      </c>
      <c r="AC21" s="922">
        <f>+'P02 2022'!EF10</f>
        <v>26540.627</v>
      </c>
      <c r="AD21" s="462">
        <f>+'P02 2022'!FG8</f>
        <v>189158.111</v>
      </c>
      <c r="AE21" s="709">
        <f>+'P02 2022'!GE9</f>
        <v>166541.70300000001</v>
      </c>
      <c r="AF21" s="709">
        <f>+'P02 2022'!HD13</f>
        <v>166826.79399999999</v>
      </c>
      <c r="AG21" s="709">
        <f>+'P02 2022'!IE16</f>
        <v>280280.67800000001</v>
      </c>
      <c r="AH21" s="1277">
        <f>+'P02 2022'!JC10</f>
        <v>196175.245</v>
      </c>
      <c r="AI21" s="1427"/>
      <c r="AJ21" s="55"/>
      <c r="AK21" s="1580"/>
      <c r="AL21" s="1579"/>
      <c r="AM21" s="1579"/>
      <c r="AN21" s="1579"/>
    </row>
    <row r="22" spans="1:40" s="390" customFormat="1" ht="15" customHeight="1" x14ac:dyDescent="0.2">
      <c r="B22" s="461"/>
      <c r="C22" s="127"/>
      <c r="D22" s="322"/>
      <c r="E22" s="145">
        <v>2</v>
      </c>
      <c r="F22" s="145"/>
      <c r="G22" s="823" t="s">
        <v>345</v>
      </c>
      <c r="H22" s="1557">
        <f>+'P02 2023'!I11</f>
        <v>485936</v>
      </c>
      <c r="I22" s="1560">
        <f>+'P02 2023'!BP14</f>
        <v>485936</v>
      </c>
      <c r="J22" s="467">
        <f ca="1">SUMIF(S$3:$AH19,"ok",S22:AH22)</f>
        <v>12303.581999999999</v>
      </c>
      <c r="K22" s="1103">
        <f ca="1">IFERROR(J22/I22,"0.00%")</f>
        <v>2.5319346580619666E-2</v>
      </c>
      <c r="L22" s="1561">
        <f>+'P02 2023'!BQ22</f>
        <v>22602.77</v>
      </c>
      <c r="M22" s="1103">
        <f>IFERROR(+L22/I22,0)</f>
        <v>4.6513882486582593E-2</v>
      </c>
      <c r="N22" s="1083">
        <f>+I22-L22</f>
        <v>463333.23</v>
      </c>
      <c r="O22" s="1096">
        <f>+IFERROR(N22/I22,0)</f>
        <v>0.95348611751341739</v>
      </c>
      <c r="P22" s="434">
        <f>+'P02 2022'!BD13</f>
        <v>540310.14399999997</v>
      </c>
      <c r="Q22" s="435">
        <f>SUMIF($S$3:$AH$3,"SI",S22:AH22)</f>
        <v>36770.285086999997</v>
      </c>
      <c r="R22" s="1059">
        <f t="shared" si="13"/>
        <v>6.8054034326995722E-2</v>
      </c>
      <c r="S22" s="1071">
        <v>0</v>
      </c>
      <c r="T22" s="463">
        <v>0</v>
      </c>
      <c r="U22" s="464">
        <v>0</v>
      </c>
      <c r="V22" s="1415"/>
      <c r="W22" s="472">
        <f>+'P02 2023'!AL10</f>
        <v>4830.28</v>
      </c>
      <c r="X22" s="465">
        <f>+'P02 2022'!AS5</f>
        <v>11134.565705999999</v>
      </c>
      <c r="Y22" s="466">
        <f>+'P02 2023'!BF7</f>
        <v>7473.3019999999997</v>
      </c>
      <c r="Z22" s="1547">
        <f>+'P02 2022'!BP5</f>
        <v>25635.719380999999</v>
      </c>
      <c r="AA22" s="662">
        <v>0</v>
      </c>
      <c r="AB22" s="691">
        <f>+'P02 2022'!DE10</f>
        <v>10170.501</v>
      </c>
      <c r="AC22" s="922">
        <f>+'P02 2022'!EF12</f>
        <v>3262.7139999999999</v>
      </c>
      <c r="AD22" s="462">
        <f>+'P02 2022'!FG6</f>
        <v>34134.654000000002</v>
      </c>
      <c r="AE22" s="709">
        <f>+'P02 2022'!GE5</f>
        <v>5428.4219999999996</v>
      </c>
      <c r="AF22" s="709">
        <f>+'P02 2022'!HD10</f>
        <v>5428.4219999999996</v>
      </c>
      <c r="AG22" s="709">
        <f>+'P02 2022'!IE14</f>
        <v>12780</v>
      </c>
      <c r="AH22" s="1277">
        <f>+'P02 2022'!JC8</f>
        <v>15021.614</v>
      </c>
      <c r="AI22" s="1427"/>
      <c r="AJ22" s="55"/>
      <c r="AK22" s="1580"/>
      <c r="AL22" s="1579"/>
      <c r="AM22" s="1579"/>
      <c r="AN22" s="1579"/>
    </row>
    <row r="23" spans="1:40" s="390" customFormat="1" ht="15" customHeight="1" x14ac:dyDescent="0.2">
      <c r="B23" s="461"/>
      <c r="C23" s="127"/>
      <c r="D23" s="322"/>
      <c r="E23" s="145">
        <v>3</v>
      </c>
      <c r="F23" s="145"/>
      <c r="G23" s="823" t="s">
        <v>300</v>
      </c>
      <c r="H23" s="1557">
        <f>+'P02 2023'!I12</f>
        <v>62726</v>
      </c>
      <c r="I23" s="1560">
        <f>+'P02 2023'!BP15</f>
        <v>62626</v>
      </c>
      <c r="J23" s="467">
        <f ca="1">SUMIF(S$3:$AH19,"ok",S23:AH23)</f>
        <v>15960</v>
      </c>
      <c r="K23" s="1103">
        <f t="shared" ca="1" si="6"/>
        <v>0.25484623000031936</v>
      </c>
      <c r="L23" s="1561">
        <f>+'P02 2023'!BQ18</f>
        <v>47880</v>
      </c>
      <c r="M23" s="1103">
        <f>IFERROR(+#REF!/I23,0)</f>
        <v>0</v>
      </c>
      <c r="N23" s="1083">
        <f t="shared" ref="N23:N25" si="14">+I23-L23</f>
        <v>14746</v>
      </c>
      <c r="O23" s="1096">
        <f t="shared" si="4"/>
        <v>0.23546130999904194</v>
      </c>
      <c r="P23" s="434">
        <f>+'P02 2022'!BD16+'P02 2022'!BD15</f>
        <v>140163.99099999998</v>
      </c>
      <c r="Q23" s="435">
        <f>SUMIF($S$3:$AH$3,"SI",S23:AH23)</f>
        <v>41213.738828000001</v>
      </c>
      <c r="R23" s="1059">
        <f t="shared" si="13"/>
        <v>0.29403942149449785</v>
      </c>
      <c r="S23" s="1074">
        <f>+'P02 2023'!K14</f>
        <v>1920</v>
      </c>
      <c r="T23" s="463">
        <f>+'P02 2022'!H17</f>
        <v>10303.434707</v>
      </c>
      <c r="U23" s="464">
        <f>+'P02 2023'!R11</f>
        <v>1920</v>
      </c>
      <c r="V23" s="1415">
        <f>+'P02 2022'!Q3</f>
        <v>10303.434707</v>
      </c>
      <c r="W23" s="472">
        <f>+'P02 2023'!AL7</f>
        <v>1920</v>
      </c>
      <c r="X23" s="465">
        <f>+'P02 2022'!AS6</f>
        <v>10303.434707</v>
      </c>
      <c r="Y23" s="466">
        <f>+'P02 2023'!BF6</f>
        <v>10200</v>
      </c>
      <c r="Z23" s="1547">
        <f>+'P02 2022'!BP6</f>
        <v>10303.434707</v>
      </c>
      <c r="AA23" s="662">
        <f>+'P02 2022'!CR6</f>
        <v>8796.9539999999997</v>
      </c>
      <c r="AB23" s="691">
        <f>+'P02 2022'!DE12</f>
        <v>6974.5050000000001</v>
      </c>
      <c r="AC23" s="922">
        <f>+'P02 2022'!EF13</f>
        <v>10411.718000000001</v>
      </c>
      <c r="AD23" s="462">
        <f>+'P02 2022'!FG10</f>
        <v>9454.9989999999998</v>
      </c>
      <c r="AE23" s="709">
        <f>+'P02 2022'!GE8</f>
        <v>11117.383</v>
      </c>
      <c r="AF23" s="709">
        <f>+'P02 2022'!HD12</f>
        <v>9551.1139999999996</v>
      </c>
      <c r="AG23" s="709">
        <f>+'P02 2022'!IE17</f>
        <v>9663.8439999999991</v>
      </c>
      <c r="AH23" s="1277">
        <f>+'P02 2022'!JC9</f>
        <v>10701.808000000001</v>
      </c>
      <c r="AI23" s="1427"/>
      <c r="AJ23" s="55"/>
      <c r="AK23" s="1580"/>
      <c r="AL23" s="1579"/>
      <c r="AM23" s="1579"/>
      <c r="AN23" s="1579"/>
    </row>
    <row r="24" spans="1:40" s="390" customFormat="1" ht="15" customHeight="1" x14ac:dyDescent="0.2">
      <c r="B24" s="461"/>
      <c r="C24" s="127"/>
      <c r="D24" s="322"/>
      <c r="E24" s="145">
        <v>4</v>
      </c>
      <c r="F24" s="145"/>
      <c r="G24" s="823" t="s">
        <v>301</v>
      </c>
      <c r="H24" s="493">
        <v>0</v>
      </c>
      <c r="I24" s="1560">
        <f>+'P02 2023'!BP17</f>
        <v>100</v>
      </c>
      <c r="J24" s="467">
        <f ca="1">SUMIF(S$3:$AH19,"ok",S24:AH24)</f>
        <v>28.928000000000001</v>
      </c>
      <c r="K24" s="1103">
        <f t="shared" ca="1" si="6"/>
        <v>0.28927999999999998</v>
      </c>
      <c r="L24" s="1561">
        <f>+'P02 2023'!BQ20</f>
        <v>28.928000000000001</v>
      </c>
      <c r="M24" s="1103">
        <f t="shared" si="3"/>
        <v>0.28927999999999998</v>
      </c>
      <c r="N24" s="1083">
        <f t="shared" si="14"/>
        <v>71.072000000000003</v>
      </c>
      <c r="O24" s="1096">
        <f t="shared" si="4"/>
        <v>0.71072000000000002</v>
      </c>
      <c r="P24" s="434">
        <v>0</v>
      </c>
      <c r="Q24" s="435">
        <f>SUMIF($S$3:$AH$3,"SI",S24:AH24)</f>
        <v>0</v>
      </c>
      <c r="R24" s="1059" t="str">
        <f t="shared" si="13"/>
        <v>0,00%</v>
      </c>
      <c r="S24" s="1071">
        <v>0</v>
      </c>
      <c r="T24" s="463"/>
      <c r="U24" s="464">
        <v>0</v>
      </c>
      <c r="V24" s="1415">
        <v>0</v>
      </c>
      <c r="W24" s="472">
        <v>0</v>
      </c>
      <c r="X24" s="465">
        <v>0</v>
      </c>
      <c r="Y24" s="466">
        <f>+'P02 2023'!BF8</f>
        <v>28.928000000000001</v>
      </c>
      <c r="Z24" s="465">
        <v>0</v>
      </c>
      <c r="AA24" s="662">
        <v>0</v>
      </c>
      <c r="AB24" s="691">
        <v>0</v>
      </c>
      <c r="AC24" s="922">
        <f>+'P02 2022'!EF11</f>
        <v>90.399000000000001</v>
      </c>
      <c r="AD24" s="462">
        <f>+'P02 2022'!FG12</f>
        <v>20.962</v>
      </c>
      <c r="AE24" s="709">
        <v>0</v>
      </c>
      <c r="AF24" s="709">
        <v>0</v>
      </c>
      <c r="AG24" s="922">
        <v>0</v>
      </c>
      <c r="AH24" s="1277">
        <v>0</v>
      </c>
      <c r="AI24" s="1427"/>
      <c r="AJ24" s="55"/>
      <c r="AK24" s="1580"/>
      <c r="AL24" s="1579"/>
      <c r="AM24" s="1579"/>
      <c r="AN24" s="1579"/>
    </row>
    <row r="25" spans="1:40" s="390" customFormat="1" ht="15" customHeight="1" x14ac:dyDescent="0.2">
      <c r="B25" s="461"/>
      <c r="C25" s="127"/>
      <c r="D25" s="322"/>
      <c r="E25" s="145">
        <v>5</v>
      </c>
      <c r="F25" s="145"/>
      <c r="G25" s="823" t="s">
        <v>302</v>
      </c>
      <c r="H25" s="1557">
        <f>+'P02 2023'!I13</f>
        <v>60788</v>
      </c>
      <c r="I25" s="1560">
        <f>+'P02 2023'!BP16</f>
        <v>60788</v>
      </c>
      <c r="J25" s="467">
        <f ca="1">SUMIF(S$3:$AH19,"ok",S25:AH25)</f>
        <v>5976.1930000000002</v>
      </c>
      <c r="K25" s="1103" t="str">
        <f ca="1">IFERROR(J25/#REF!,"0.00%")</f>
        <v>0.00%</v>
      </c>
      <c r="L25" s="1561">
        <f>+'P02 2023'!BQ21</f>
        <v>23101.182000000001</v>
      </c>
      <c r="M25" s="1103">
        <f>IFERROR(+#REF!/#REF!,0)</f>
        <v>0</v>
      </c>
      <c r="N25" s="1083">
        <f t="shared" si="14"/>
        <v>37686.817999999999</v>
      </c>
      <c r="O25" s="1096">
        <f>+IFERROR(N25/#REF!,0)</f>
        <v>0</v>
      </c>
      <c r="P25" s="434">
        <f>+'P02 2022'!BD19</f>
        <v>60788.717999999993</v>
      </c>
      <c r="Q25" s="435">
        <f>SUMIF($S$3:$AH$3,"SI",S25:AH25)</f>
        <v>5562.5950229999999</v>
      </c>
      <c r="R25" s="1059">
        <f t="shared" si="13"/>
        <v>9.1507029692582106E-2</v>
      </c>
      <c r="S25" s="1074">
        <f>+'P02 2023'!K17</f>
        <v>738.72900000000004</v>
      </c>
      <c r="T25" s="463">
        <f>+'P02 2022'!H15</f>
        <v>779.09502299999997</v>
      </c>
      <c r="U25" s="464">
        <f>+'P02 2023'!R10</f>
        <v>5237.4639999999999</v>
      </c>
      <c r="V25" s="463">
        <v>0</v>
      </c>
      <c r="W25" s="464">
        <v>0</v>
      </c>
      <c r="X25" s="465">
        <f>+'P02 2022'!AS7</f>
        <v>2391.75</v>
      </c>
      <c r="Y25" s="466">
        <v>0</v>
      </c>
      <c r="Z25" s="1547">
        <f>+'P02 2022'!BP7</f>
        <v>2391.75</v>
      </c>
      <c r="AA25" s="662">
        <f>+'P02 2022'!CR7</f>
        <v>4500</v>
      </c>
      <c r="AB25" s="691">
        <v>0</v>
      </c>
      <c r="AC25" s="922">
        <v>0</v>
      </c>
      <c r="AD25" s="462">
        <f>+'P02 2022'!FG9</f>
        <v>2250</v>
      </c>
      <c r="AE25" s="709">
        <f>+'P02 2022'!GE7</f>
        <v>98.98</v>
      </c>
      <c r="AF25" s="709">
        <f>+'P02 2022'!HD11</f>
        <v>7465.4709999999995</v>
      </c>
      <c r="AG25" s="709">
        <v>0</v>
      </c>
      <c r="AH25" s="1277">
        <f>+'P02 2022'!JC7</f>
        <v>6053.9589999999998</v>
      </c>
      <c r="AI25" s="1427"/>
      <c r="AJ25" s="55"/>
      <c r="AK25" s="1580"/>
      <c r="AL25" s="1579"/>
      <c r="AM25" s="1579"/>
      <c r="AN25" s="1579"/>
    </row>
    <row r="26" spans="1:40" s="408" customFormat="1" ht="15" customHeight="1" x14ac:dyDescent="0.25">
      <c r="B26" s="428"/>
      <c r="C26" s="136"/>
      <c r="D26" s="132">
        <v>34</v>
      </c>
      <c r="E26" s="132"/>
      <c r="F26" s="132" t="s">
        <v>526</v>
      </c>
      <c r="G26" s="822" t="s">
        <v>263</v>
      </c>
      <c r="H26" s="424">
        <f>+H27</f>
        <v>58398</v>
      </c>
      <c r="I26" s="420">
        <f>+I27</f>
        <v>58398</v>
      </c>
      <c r="J26" s="420">
        <f ca="1">SUMIF(S$3:$AH19,"ok",S26:AH26)</f>
        <v>25302</v>
      </c>
      <c r="K26" s="1102">
        <f ca="1">IFERROR(J26/I26,"0.00%")</f>
        <v>0.43326826261173329</v>
      </c>
      <c r="L26" s="422">
        <f>+L27</f>
        <v>42867.5</v>
      </c>
      <c r="M26" s="1104">
        <f>IFERROR(+L26/I26,0)</f>
        <v>0.73405767320798654</v>
      </c>
      <c r="N26" s="420">
        <f>+I26-L26</f>
        <v>15530.5</v>
      </c>
      <c r="O26" s="1097">
        <f>+IFERROR(N26/I26,0)</f>
        <v>0.26594232679201341</v>
      </c>
      <c r="P26" s="429">
        <f>+P27</f>
        <v>96186.618000000002</v>
      </c>
      <c r="Q26" s="420">
        <f>+Q27</f>
        <v>15413.5</v>
      </c>
      <c r="R26" s="1060">
        <f t="shared" si="13"/>
        <v>0.16024578387816898</v>
      </c>
      <c r="S26" s="1072">
        <f>+S27</f>
        <v>0</v>
      </c>
      <c r="T26" s="437">
        <f>+T27</f>
        <v>0</v>
      </c>
      <c r="U26" s="438">
        <f>+U27</f>
        <v>5688</v>
      </c>
      <c r="V26" s="437">
        <v>0</v>
      </c>
      <c r="W26" s="438">
        <f>+W27</f>
        <v>1393</v>
      </c>
      <c r="X26" s="439">
        <f>+'P02 2022'!AS9</f>
        <v>15413.5</v>
      </c>
      <c r="Y26" s="491">
        <f t="shared" ref="Y26:Z26" si="15">+Y27</f>
        <v>18221</v>
      </c>
      <c r="Z26" s="1548">
        <f t="shared" si="15"/>
        <v>0</v>
      </c>
      <c r="AA26" s="991">
        <f>+AA27</f>
        <v>6747.3</v>
      </c>
      <c r="AB26" s="597">
        <f>+AB27</f>
        <v>0</v>
      </c>
      <c r="AC26" s="501">
        <v>0</v>
      </c>
      <c r="AD26" s="663">
        <f>+AD27</f>
        <v>0</v>
      </c>
      <c r="AE26" s="1091">
        <v>0</v>
      </c>
      <c r="AF26" s="1091">
        <f t="shared" ref="AF26:AH26" si="16">+AF27</f>
        <v>0</v>
      </c>
      <c r="AG26" s="501">
        <f t="shared" si="16"/>
        <v>19289.900000000001</v>
      </c>
      <c r="AH26" s="1278">
        <f t="shared" si="16"/>
        <v>5634.16</v>
      </c>
      <c r="AI26" s="1427"/>
      <c r="AJ26" s="55"/>
      <c r="AK26" s="1580"/>
      <c r="AL26" s="1579"/>
      <c r="AM26" s="1579"/>
      <c r="AN26" s="1579"/>
    </row>
    <row r="27" spans="1:40" s="390" customFormat="1" ht="15" customHeight="1" x14ac:dyDescent="0.2">
      <c r="B27" s="461"/>
      <c r="C27" s="127"/>
      <c r="D27" s="322"/>
      <c r="E27" s="322">
        <v>1</v>
      </c>
      <c r="F27" s="322"/>
      <c r="G27" s="823" t="s">
        <v>525</v>
      </c>
      <c r="H27" s="493">
        <f>+'P02 2023'!I18</f>
        <v>58398</v>
      </c>
      <c r="I27" s="1562">
        <f>+'P02 2023'!BP24</f>
        <v>58398</v>
      </c>
      <c r="J27" s="1563">
        <f ca="1">SUMIF(S$3:$AH21,"ok",S27:AH27)</f>
        <v>25302</v>
      </c>
      <c r="K27" s="1564" t="str">
        <f ca="1">IFERROR(J27/#REF!,"0.00%")</f>
        <v>0.00%</v>
      </c>
      <c r="L27" s="1559">
        <f>+'P02 2023'!BQ25</f>
        <v>42867.5</v>
      </c>
      <c r="M27" s="1103">
        <f>IFERROR(+#REF!/#REF!,0)</f>
        <v>0</v>
      </c>
      <c r="N27" s="816">
        <f>+I27-L27</f>
        <v>15530.5</v>
      </c>
      <c r="O27" s="1096">
        <f>+IFERROR(N27/#REF!,0)</f>
        <v>0</v>
      </c>
      <c r="P27" s="434">
        <f>+'P02 2022'!BD23</f>
        <v>96186.618000000002</v>
      </c>
      <c r="Q27" s="435">
        <f>SUMIF($S$3:$AH$3,"SI",S27:AH27)</f>
        <v>15413.5</v>
      </c>
      <c r="R27" s="1059">
        <f t="shared" si="13"/>
        <v>0.16024578387816898</v>
      </c>
      <c r="S27" s="1071">
        <v>0</v>
      </c>
      <c r="T27" s="463">
        <v>0</v>
      </c>
      <c r="U27" s="464">
        <f>+'P02 2023'!R13</f>
        <v>5688</v>
      </c>
      <c r="V27" s="463">
        <v>0</v>
      </c>
      <c r="W27" s="1430">
        <f>+'P02 2023'!AL11</f>
        <v>1393</v>
      </c>
      <c r="X27" s="465">
        <f>+'P02 2022'!AS9</f>
        <v>15413.5</v>
      </c>
      <c r="Y27" s="466">
        <f>+'P02 2023'!BF9</f>
        <v>18221</v>
      </c>
      <c r="Z27" s="465">
        <v>0</v>
      </c>
      <c r="AA27" s="662">
        <f>+'P02 2022'!CR9</f>
        <v>6747.3</v>
      </c>
      <c r="AB27" s="691">
        <v>0</v>
      </c>
      <c r="AC27" s="922">
        <v>0</v>
      </c>
      <c r="AD27" s="462">
        <v>0</v>
      </c>
      <c r="AE27" s="709">
        <v>0</v>
      </c>
      <c r="AF27" s="709">
        <v>0</v>
      </c>
      <c r="AG27" s="709">
        <f>+'P02 2022'!IE18</f>
        <v>19289.900000000001</v>
      </c>
      <c r="AH27" s="1279">
        <f>+'P02 2022'!JC11</f>
        <v>5634.16</v>
      </c>
      <c r="AI27" s="1427"/>
      <c r="AJ27" s="55"/>
      <c r="AK27" s="1580"/>
      <c r="AL27" s="1579"/>
      <c r="AM27" s="1579"/>
      <c r="AN27" s="1579"/>
    </row>
    <row r="28" spans="1:40" s="408" customFormat="1" ht="15" customHeight="1" x14ac:dyDescent="0.25">
      <c r="B28" s="428"/>
      <c r="C28" s="136"/>
      <c r="D28" s="132">
        <v>500</v>
      </c>
      <c r="E28" s="143"/>
      <c r="F28" s="143"/>
      <c r="G28" s="822" t="s">
        <v>323</v>
      </c>
      <c r="H28" s="424">
        <f>SUM(H29)</f>
        <v>0</v>
      </c>
      <c r="I28" s="420">
        <f>+I29</f>
        <v>0</v>
      </c>
      <c r="J28" s="420">
        <f ca="1">SUMIF(S$3:$AH20,"ok",S28:AH28)</f>
        <v>0</v>
      </c>
      <c r="K28" s="1104" t="str">
        <f t="shared" ca="1" si="6"/>
        <v>0.00%</v>
      </c>
      <c r="L28" s="422">
        <f>+L29</f>
        <v>0</v>
      </c>
      <c r="M28" s="1104">
        <f t="shared" si="3"/>
        <v>0</v>
      </c>
      <c r="N28" s="420">
        <f t="shared" ref="N28:N49" si="17">+I28-L28</f>
        <v>0</v>
      </c>
      <c r="O28" s="1097">
        <f t="shared" si="4"/>
        <v>0</v>
      </c>
      <c r="P28" s="429">
        <f>+P29</f>
        <v>192905.799</v>
      </c>
      <c r="Q28" s="420">
        <f>+Q29</f>
        <v>0</v>
      </c>
      <c r="R28" s="1060">
        <f t="shared" si="13"/>
        <v>0</v>
      </c>
      <c r="S28" s="1072">
        <f>+S29</f>
        <v>0</v>
      </c>
      <c r="T28" s="437">
        <f>+T29</f>
        <v>0</v>
      </c>
      <c r="U28" s="438">
        <v>0</v>
      </c>
      <c r="V28" s="437">
        <v>0</v>
      </c>
      <c r="W28" s="438">
        <v>0</v>
      </c>
      <c r="X28" s="439">
        <v>0</v>
      </c>
      <c r="Y28" s="458">
        <v>0</v>
      </c>
      <c r="Z28" s="439">
        <v>0</v>
      </c>
      <c r="AA28" s="991">
        <f>+AA29</f>
        <v>0</v>
      </c>
      <c r="AB28" s="597">
        <f>+AB29</f>
        <v>0</v>
      </c>
      <c r="AC28" s="501"/>
      <c r="AD28" s="436">
        <v>0</v>
      </c>
      <c r="AE28" s="1092">
        <v>0</v>
      </c>
      <c r="AF28" s="1092">
        <f t="shared" ref="AF28:AH28" si="18">+AF29</f>
        <v>0</v>
      </c>
      <c r="AG28" s="476">
        <f t="shared" si="18"/>
        <v>0</v>
      </c>
      <c r="AH28" s="1047">
        <f t="shared" si="18"/>
        <v>181465.58499999999</v>
      </c>
      <c r="AI28" s="1427"/>
      <c r="AJ28" s="55"/>
      <c r="AK28" s="1580"/>
      <c r="AL28" s="1579"/>
      <c r="AM28" s="1579"/>
      <c r="AN28" s="1579"/>
    </row>
    <row r="29" spans="1:40" s="390" customFormat="1" ht="15" customHeight="1" x14ac:dyDescent="0.2">
      <c r="B29" s="461"/>
      <c r="C29" s="127"/>
      <c r="D29" s="322"/>
      <c r="E29" s="322">
        <v>1</v>
      </c>
      <c r="F29" s="322"/>
      <c r="G29" s="824" t="s">
        <v>323</v>
      </c>
      <c r="H29" s="434">
        <v>0</v>
      </c>
      <c r="I29" s="435">
        <v>0</v>
      </c>
      <c r="J29" s="435">
        <f ca="1">SUMIF(S$3:$AH21,"ok",S29:AH29)</f>
        <v>0</v>
      </c>
      <c r="K29" s="1103" t="str">
        <f t="shared" ca="1" si="6"/>
        <v>0.00%</v>
      </c>
      <c r="L29" s="1282">
        <v>0</v>
      </c>
      <c r="M29" s="1103">
        <f t="shared" si="3"/>
        <v>0</v>
      </c>
      <c r="N29" s="435">
        <f>+I29-L29</f>
        <v>0</v>
      </c>
      <c r="O29" s="1096">
        <f t="shared" si="4"/>
        <v>0</v>
      </c>
      <c r="P29" s="434">
        <f>+'P02 2022'!BD25</f>
        <v>192905.799</v>
      </c>
      <c r="Q29" s="435">
        <f>SUMIF($S$3:$AH$3,"SI",S29:AH29)</f>
        <v>0</v>
      </c>
      <c r="R29" s="1059">
        <f t="shared" si="13"/>
        <v>0</v>
      </c>
      <c r="S29" s="1071">
        <v>0</v>
      </c>
      <c r="T29" s="463">
        <v>0</v>
      </c>
      <c r="U29" s="464">
        <v>0</v>
      </c>
      <c r="V29" s="463">
        <v>0</v>
      </c>
      <c r="W29" s="464">
        <v>0</v>
      </c>
      <c r="X29" s="465">
        <v>0</v>
      </c>
      <c r="Y29" s="466">
        <v>0</v>
      </c>
      <c r="Z29" s="465">
        <v>0</v>
      </c>
      <c r="AA29" s="662">
        <v>0</v>
      </c>
      <c r="AB29" s="691">
        <v>0</v>
      </c>
      <c r="AC29" s="922">
        <v>0</v>
      </c>
      <c r="AD29" s="462">
        <v>0</v>
      </c>
      <c r="AE29" s="709">
        <v>0</v>
      </c>
      <c r="AF29" s="709">
        <v>0</v>
      </c>
      <c r="AG29" s="709">
        <v>0</v>
      </c>
      <c r="AH29" s="1279">
        <f>+'P02 2022'!JC12</f>
        <v>181465.58499999999</v>
      </c>
      <c r="AI29" s="1427"/>
      <c r="AJ29" s="55"/>
      <c r="AK29" s="1580"/>
      <c r="AL29" s="1579"/>
      <c r="AM29" s="1579"/>
      <c r="AN29" s="1579"/>
    </row>
    <row r="30" spans="1:40" s="408" customFormat="1" ht="15" customHeight="1" x14ac:dyDescent="0.25">
      <c r="B30" s="428"/>
      <c r="C30" s="136"/>
      <c r="D30" s="132">
        <v>602</v>
      </c>
      <c r="E30" s="143"/>
      <c r="F30" s="143"/>
      <c r="G30" s="822" t="s">
        <v>324</v>
      </c>
      <c r="H30" s="424">
        <f>SUM(H31:H36)</f>
        <v>2132394</v>
      </c>
      <c r="I30" s="420">
        <f>SUM(I31:I36)</f>
        <v>2132394</v>
      </c>
      <c r="J30" s="420">
        <f ca="1">SUMIF(S$3:$AH22,"ok",S30:AH30)</f>
        <v>234980</v>
      </c>
      <c r="K30" s="1104">
        <f t="shared" ca="1" si="6"/>
        <v>0.11019539541004149</v>
      </c>
      <c r="L30" s="1062">
        <f>SUM(L31:L36)</f>
        <v>346783.1</v>
      </c>
      <c r="M30" s="1104">
        <f t="shared" si="3"/>
        <v>0.16262618446684804</v>
      </c>
      <c r="N30" s="1062">
        <f>+I30-L30</f>
        <v>1785610.9</v>
      </c>
      <c r="O30" s="1097">
        <f t="shared" si="4"/>
        <v>0.83737381553315193</v>
      </c>
      <c r="P30" s="429">
        <f>SUM(P31:P36)</f>
        <v>2534092.0779999997</v>
      </c>
      <c r="Q30" s="420">
        <f>SUM(Q31:Q36)</f>
        <v>626638.5</v>
      </c>
      <c r="R30" s="1060" t="str">
        <f>IFERROR(Q3/P3,"0,00%")</f>
        <v>0,00%</v>
      </c>
      <c r="S30" s="1072">
        <f>SUM(S31:S36)</f>
        <v>30000</v>
      </c>
      <c r="T30" s="437">
        <f>+T33</f>
        <v>57402</v>
      </c>
      <c r="U30" s="438">
        <f>+SUM(U31:U36)</f>
        <v>134980</v>
      </c>
      <c r="V30" s="437">
        <f>+SUM(V31:V36)</f>
        <v>103908.25</v>
      </c>
      <c r="W30" s="438">
        <f>SUM(W31:W36)</f>
        <v>70000</v>
      </c>
      <c r="X30" s="439">
        <f>+SUM(X31:X36)</f>
        <v>464531</v>
      </c>
      <c r="Y30" s="458">
        <f>SUM(Y31:Y36)</f>
        <v>0</v>
      </c>
      <c r="Z30" s="439">
        <f>SUM(Z31:Z36)</f>
        <v>797.25</v>
      </c>
      <c r="AA30" s="991">
        <f>+SUM(AA31:AA36)</f>
        <v>0</v>
      </c>
      <c r="AB30" s="597">
        <f>SUM(AB31:AB36)</f>
        <v>96000</v>
      </c>
      <c r="AC30" s="501">
        <f>+SUM(AC31:AC36)</f>
        <v>146550</v>
      </c>
      <c r="AD30" s="470">
        <f>+SUM(AD31:AD36)</f>
        <v>16200</v>
      </c>
      <c r="AE30" s="501">
        <f t="shared" ref="AE30" si="19">+SUM(AE31:AE35)</f>
        <v>110000</v>
      </c>
      <c r="AF30" s="1092">
        <f>+SUM(AF31:AF36)</f>
        <v>63000</v>
      </c>
      <c r="AG30" s="476">
        <f>SUM(AG31:AG35)</f>
        <v>590590</v>
      </c>
      <c r="AH30" s="1047">
        <f>SUM(AH31:AH36)</f>
        <v>1377680</v>
      </c>
      <c r="AI30" s="1427"/>
      <c r="AJ30" s="55"/>
      <c r="AK30" s="1580"/>
      <c r="AL30" s="1579"/>
      <c r="AM30" s="1579"/>
      <c r="AN30" s="1579"/>
    </row>
    <row r="31" spans="1:40" s="390" customFormat="1" ht="15" customHeight="1" x14ac:dyDescent="0.2">
      <c r="B31" s="461"/>
      <c r="C31" s="127"/>
      <c r="D31" s="440"/>
      <c r="E31" s="322">
        <v>1</v>
      </c>
      <c r="F31" s="322"/>
      <c r="G31" s="823" t="s">
        <v>630</v>
      </c>
      <c r="H31" s="1565">
        <f>+'P02 2023'!I24</f>
        <v>250000</v>
      </c>
      <c r="I31" s="1083">
        <f>+'P02 2023'!BP31</f>
        <v>25000</v>
      </c>
      <c r="J31" s="1563">
        <f ca="1">SUMIF(S$3:$AH23,"ok",S31:AH31)</f>
        <v>780</v>
      </c>
      <c r="K31" s="1103">
        <f ca="1">IFERROR(J31/I31,"0.00%")</f>
        <v>3.1199999999999999E-2</v>
      </c>
      <c r="L31" s="1567">
        <f>+'P02 2023'!BQ32</f>
        <v>3120</v>
      </c>
      <c r="M31" s="1103">
        <f>IFERROR(+#REF!/I31,0)</f>
        <v>0</v>
      </c>
      <c r="N31" s="1083">
        <f>+I31-L31</f>
        <v>21880</v>
      </c>
      <c r="O31" s="1096">
        <f t="shared" si="4"/>
        <v>0.87519999999999998</v>
      </c>
      <c r="P31" s="1265">
        <f>+'P02 2022'!BD33</f>
        <v>842959</v>
      </c>
      <c r="Q31" s="435">
        <f t="shared" ref="Q31:Q36" si="20">SUMIF($S$3:$AH$3,"SI",S31:AH31)</f>
        <v>1594.5</v>
      </c>
      <c r="R31" s="1059">
        <f t="shared" ref="R31:R39" si="21">IFERROR(Q31/P31,"0,00%")</f>
        <v>1.8915510718789407E-3</v>
      </c>
      <c r="S31" s="1071">
        <v>0</v>
      </c>
      <c r="T31" s="463">
        <v>0</v>
      </c>
      <c r="U31" s="464">
        <f>+'P02 2023'!R15</f>
        <v>780</v>
      </c>
      <c r="V31" s="1415">
        <f>+'P02 2022'!Q6</f>
        <v>797.25</v>
      </c>
      <c r="W31" s="472">
        <v>0</v>
      </c>
      <c r="X31" s="465">
        <v>0</v>
      </c>
      <c r="Y31" s="466">
        <v>0</v>
      </c>
      <c r="Z31" s="1547">
        <f>+'P02 2022'!BP3</f>
        <v>797.25</v>
      </c>
      <c r="AA31" s="662">
        <v>0</v>
      </c>
      <c r="AB31" s="691">
        <v>0</v>
      </c>
      <c r="AC31" s="922">
        <f>+'P02 2022'!EF16</f>
        <v>75150</v>
      </c>
      <c r="AD31" s="462">
        <v>0</v>
      </c>
      <c r="AE31" s="709">
        <v>0</v>
      </c>
      <c r="AF31" s="709">
        <v>0</v>
      </c>
      <c r="AG31" s="922">
        <f>+'P02 2022'!IE20</f>
        <v>38600</v>
      </c>
      <c r="AH31" s="1277">
        <f>+'P02 2022'!JC13</f>
        <v>13280</v>
      </c>
      <c r="AI31" s="1427"/>
      <c r="AJ31" s="55"/>
      <c r="AK31" s="1580"/>
      <c r="AL31" s="1579"/>
      <c r="AM31" s="1579"/>
      <c r="AN31" s="1579"/>
    </row>
    <row r="32" spans="1:40" s="390" customFormat="1" ht="15" customHeight="1" x14ac:dyDescent="0.2">
      <c r="B32" s="461"/>
      <c r="C32" s="127"/>
      <c r="D32" s="440"/>
      <c r="E32" s="322">
        <v>2</v>
      </c>
      <c r="F32" s="322"/>
      <c r="G32" s="823" t="s">
        <v>631</v>
      </c>
      <c r="H32" s="1565">
        <f>+'P02 2023'!I21</f>
        <v>310000</v>
      </c>
      <c r="I32" s="1083">
        <f>+'P02 2023'!BP28</f>
        <v>310000</v>
      </c>
      <c r="J32" s="467">
        <f ca="1">SUMIF(S$3:$AH24,"ok",S32:AH32)</f>
        <v>0</v>
      </c>
      <c r="K32" s="1103">
        <f ca="1">IFERROR(J32/I32,"0.00%")</f>
        <v>0</v>
      </c>
      <c r="L32" s="1083">
        <v>0</v>
      </c>
      <c r="M32" s="1103">
        <f t="shared" si="3"/>
        <v>0</v>
      </c>
      <c r="N32" s="1083">
        <f t="shared" ref="N32:N36" si="22">+I32-L32</f>
        <v>310000</v>
      </c>
      <c r="O32" s="1096">
        <f t="shared" si="4"/>
        <v>1</v>
      </c>
      <c r="P32" s="1265">
        <f>+'P02 2022'!BD27</f>
        <v>329530</v>
      </c>
      <c r="Q32" s="435">
        <f t="shared" si="20"/>
        <v>0</v>
      </c>
      <c r="R32" s="1059">
        <f t="shared" si="21"/>
        <v>0</v>
      </c>
      <c r="S32" s="1071">
        <v>0</v>
      </c>
      <c r="T32" s="463">
        <v>0</v>
      </c>
      <c r="U32" s="464">
        <v>0</v>
      </c>
      <c r="V32" s="1415">
        <v>0</v>
      </c>
      <c r="W32" s="472">
        <v>0</v>
      </c>
      <c r="X32" s="465">
        <v>0</v>
      </c>
      <c r="Y32" s="466">
        <v>0</v>
      </c>
      <c r="Z32" s="465">
        <v>0</v>
      </c>
      <c r="AA32" s="662">
        <v>0</v>
      </c>
      <c r="AB32" s="691">
        <v>0</v>
      </c>
      <c r="AC32" s="922">
        <v>0</v>
      </c>
      <c r="AD32" s="462">
        <v>0</v>
      </c>
      <c r="AE32" s="709">
        <v>0</v>
      </c>
      <c r="AF32" s="709">
        <f>+'P02 2022'!HD18</f>
        <v>63000</v>
      </c>
      <c r="AG32" s="922">
        <f>+'P02 2022'!IE22</f>
        <v>245990</v>
      </c>
      <c r="AH32" s="1277">
        <v>0</v>
      </c>
      <c r="AI32" s="1427"/>
      <c r="AJ32" s="55"/>
      <c r="AK32" s="1580"/>
      <c r="AL32" s="1579"/>
      <c r="AM32" s="1579"/>
      <c r="AN32" s="1579"/>
    </row>
    <row r="33" spans="1:40" s="390" customFormat="1" ht="15" customHeight="1" x14ac:dyDescent="0.2">
      <c r="B33" s="461"/>
      <c r="C33" s="127"/>
      <c r="D33" s="440"/>
      <c r="E33" s="322">
        <v>3</v>
      </c>
      <c r="F33" s="322"/>
      <c r="G33" s="823" t="s">
        <v>632</v>
      </c>
      <c r="H33" s="1565">
        <f>+'P02 2023'!I20</f>
        <v>837394</v>
      </c>
      <c r="I33" s="1083">
        <f>+'P02 2023'!BP26</f>
        <v>837394</v>
      </c>
      <c r="J33" s="467">
        <f ca="1">SUMIF(S$3:$AH25,"ok",S33:AH33)</f>
        <v>149200</v>
      </c>
      <c r="K33" s="1103">
        <f ca="1">IFERROR(J33/I33,"0.00%")</f>
        <v>0.17817180443136685</v>
      </c>
      <c r="L33" s="1558">
        <f>+'P02 2023'!BQ37</f>
        <v>258663.1</v>
      </c>
      <c r="M33" s="1103">
        <f t="shared" si="3"/>
        <v>0.30889055808854615</v>
      </c>
      <c r="N33" s="1083">
        <f t="shared" si="22"/>
        <v>578730.9</v>
      </c>
      <c r="O33" s="1096">
        <f t="shared" si="4"/>
        <v>0.69110944191145385</v>
      </c>
      <c r="P33" s="1265">
        <f>+'P02 2022'!BD31</f>
        <v>1063963.078</v>
      </c>
      <c r="Q33" s="435">
        <f t="shared" si="20"/>
        <v>466657</v>
      </c>
      <c r="R33" s="1059">
        <f t="shared" si="21"/>
        <v>0.43860262602082511</v>
      </c>
      <c r="S33" s="1071">
        <v>0</v>
      </c>
      <c r="T33" s="463">
        <f>+'P02 2022'!H29</f>
        <v>57402</v>
      </c>
      <c r="U33" s="464">
        <f>+'P02 2023'!R14</f>
        <v>79200</v>
      </c>
      <c r="V33" s="1415">
        <v>0</v>
      </c>
      <c r="W33" s="472">
        <f>+'P02 2023'!AL14</f>
        <v>70000</v>
      </c>
      <c r="X33" s="465">
        <f>+'P02 2022'!AS10</f>
        <v>409255</v>
      </c>
      <c r="Y33" s="466">
        <v>0</v>
      </c>
      <c r="Z33" s="465">
        <v>0</v>
      </c>
      <c r="AA33" s="662">
        <v>0</v>
      </c>
      <c r="AB33" s="1364">
        <v>0</v>
      </c>
      <c r="AC33" s="922">
        <f>+'P02 2022'!EF19</f>
        <v>32400</v>
      </c>
      <c r="AD33" s="462">
        <f>+'P02 2022'!FG18</f>
        <v>16200</v>
      </c>
      <c r="AE33" s="709">
        <f>+'P02 2022'!GE11</f>
        <v>110000</v>
      </c>
      <c r="AF33" s="709">
        <v>0</v>
      </c>
      <c r="AG33" s="922">
        <f>+'P02 2022'!IE24</f>
        <v>200000</v>
      </c>
      <c r="AH33" s="1277">
        <f>+'P02 2022'!JC14</f>
        <v>1349400</v>
      </c>
      <c r="AI33" s="1427"/>
      <c r="AJ33" s="55"/>
      <c r="AK33" s="1580"/>
      <c r="AL33" s="1579"/>
      <c r="AM33" s="1579"/>
      <c r="AN33" s="1579"/>
    </row>
    <row r="34" spans="1:40" s="390" customFormat="1" ht="15" customHeight="1" x14ac:dyDescent="0.2">
      <c r="B34" s="461"/>
      <c r="C34" s="127"/>
      <c r="D34" s="440"/>
      <c r="E34" s="322">
        <v>4</v>
      </c>
      <c r="F34" s="322"/>
      <c r="G34" s="823" t="s">
        <v>491</v>
      </c>
      <c r="H34" s="1565">
        <f>+'P02 2023'!I22</f>
        <v>300000</v>
      </c>
      <c r="I34" s="1083">
        <f>+'P02 2023'!BP27</f>
        <v>525000</v>
      </c>
      <c r="J34" s="467">
        <f ca="1">SUMIF(S$3:$AH25,"ok",S34:AH34)</f>
        <v>0</v>
      </c>
      <c r="K34" s="1103">
        <f ca="1">IFERROR(J34/I34,"0,00%")</f>
        <v>0</v>
      </c>
      <c r="L34" s="1558">
        <v>0</v>
      </c>
      <c r="M34" s="1103">
        <f t="shared" si="3"/>
        <v>0</v>
      </c>
      <c r="N34" s="1083">
        <f t="shared" si="22"/>
        <v>525000</v>
      </c>
      <c r="O34" s="1096">
        <f t="shared" si="4"/>
        <v>1</v>
      </c>
      <c r="P34" s="1265">
        <v>0</v>
      </c>
      <c r="Q34" s="435">
        <f t="shared" si="20"/>
        <v>0</v>
      </c>
      <c r="R34" s="1059" t="str">
        <f t="shared" si="21"/>
        <v>0,00%</v>
      </c>
      <c r="S34" s="1071">
        <v>0</v>
      </c>
      <c r="T34" s="463">
        <v>0</v>
      </c>
      <c r="U34" s="464">
        <v>0</v>
      </c>
      <c r="V34" s="1415">
        <v>0</v>
      </c>
      <c r="W34" s="472">
        <v>0</v>
      </c>
      <c r="X34" s="1416">
        <v>0</v>
      </c>
      <c r="Y34" s="1551">
        <v>0</v>
      </c>
      <c r="Z34" s="465">
        <v>0</v>
      </c>
      <c r="AA34" s="662">
        <v>0</v>
      </c>
      <c r="AB34" s="691">
        <v>0</v>
      </c>
      <c r="AC34" s="922">
        <v>0</v>
      </c>
      <c r="AD34" s="462">
        <v>0</v>
      </c>
      <c r="AE34" s="709">
        <v>0</v>
      </c>
      <c r="AF34" s="709">
        <v>0</v>
      </c>
      <c r="AG34" s="922">
        <v>0</v>
      </c>
      <c r="AH34" s="1277">
        <v>0</v>
      </c>
      <c r="AI34" s="1427"/>
      <c r="AJ34" s="55"/>
      <c r="AK34" s="1580"/>
      <c r="AL34" s="1579"/>
      <c r="AM34" s="1579"/>
      <c r="AN34" s="1579"/>
    </row>
    <row r="35" spans="1:40" s="390" customFormat="1" ht="15" customHeight="1" x14ac:dyDescent="0.2">
      <c r="B35" s="461"/>
      <c r="C35" s="127"/>
      <c r="D35" s="322"/>
      <c r="E35" s="322">
        <v>5</v>
      </c>
      <c r="F35" s="322"/>
      <c r="G35" s="823" t="s">
        <v>633</v>
      </c>
      <c r="H35" s="1565">
        <f>+'P02 2023'!I23</f>
        <v>285000</v>
      </c>
      <c r="I35" s="1083">
        <f>+'P02 2023'!BP29</f>
        <v>285000</v>
      </c>
      <c r="J35" s="467">
        <f ca="1">SUMIF(S$3:$AH25,"ok",S35:AH35)</f>
        <v>85000</v>
      </c>
      <c r="K35" s="1103">
        <f ca="1">IFERROR(J35/I35,"0.00%")</f>
        <v>0.2982456140350877</v>
      </c>
      <c r="L35" s="1567">
        <f>+'P02 2023'!BQ34</f>
        <v>85000</v>
      </c>
      <c r="M35" s="1103">
        <f>IFERROR(+#REF!/I35,0)</f>
        <v>0</v>
      </c>
      <c r="N35" s="1083">
        <f t="shared" si="22"/>
        <v>200000</v>
      </c>
      <c r="O35" s="1096">
        <f t="shared" si="4"/>
        <v>0.70175438596491224</v>
      </c>
      <c r="P35" s="1265">
        <f>+'P02 2022'!BD29</f>
        <v>170080</v>
      </c>
      <c r="Q35" s="435">
        <f t="shared" si="20"/>
        <v>158387</v>
      </c>
      <c r="R35" s="1059">
        <f t="shared" si="21"/>
        <v>0.93125000000000002</v>
      </c>
      <c r="S35" s="1074">
        <f>+'P02 2023'!K28</f>
        <v>30000</v>
      </c>
      <c r="T35" s="463">
        <v>0</v>
      </c>
      <c r="U35" s="464">
        <f>+'P02 2023'!R16</f>
        <v>55000</v>
      </c>
      <c r="V35" s="1415">
        <f>+'P02 2022'!Q5</f>
        <v>103111</v>
      </c>
      <c r="W35" s="472">
        <v>0</v>
      </c>
      <c r="X35" s="465">
        <f>+'P02 2022'!AS11</f>
        <v>55276</v>
      </c>
      <c r="Y35" s="466">
        <v>0</v>
      </c>
      <c r="Z35" s="465">
        <v>0</v>
      </c>
      <c r="AA35" s="662">
        <v>0</v>
      </c>
      <c r="AB35" s="691">
        <v>0</v>
      </c>
      <c r="AC35" s="922">
        <f>+'P02 2022'!EF20</f>
        <v>15000</v>
      </c>
      <c r="AD35" s="462">
        <v>0</v>
      </c>
      <c r="AE35" s="709">
        <v>0</v>
      </c>
      <c r="AF35" s="709">
        <v>0</v>
      </c>
      <c r="AG35" s="922">
        <f>+'P02 2022'!IE23</f>
        <v>106000</v>
      </c>
      <c r="AH35" s="1277">
        <f>+'P02 2022'!JC15</f>
        <v>15000</v>
      </c>
      <c r="AI35" s="1427"/>
      <c r="AJ35" s="1580"/>
      <c r="AK35" s="1580"/>
      <c r="AL35" s="1580"/>
      <c r="AM35" s="1580"/>
      <c r="AN35" s="1580"/>
    </row>
    <row r="36" spans="1:40" s="390" customFormat="1" ht="15" customHeight="1" x14ac:dyDescent="0.2">
      <c r="B36" s="461"/>
      <c r="C36" s="127"/>
      <c r="D36" s="322"/>
      <c r="E36" s="322">
        <v>6</v>
      </c>
      <c r="F36" s="322"/>
      <c r="G36" s="823" t="s">
        <v>492</v>
      </c>
      <c r="H36" s="1565">
        <f>+'P02 2023'!I25</f>
        <v>150000</v>
      </c>
      <c r="I36" s="1083">
        <f>+'P02 2023'!BP30</f>
        <v>150000</v>
      </c>
      <c r="J36" s="467">
        <f ca="1">SUMIF(S$3:$AH26,"ok",S36:AH36)</f>
        <v>0</v>
      </c>
      <c r="K36" s="1103">
        <f ca="1">IFERROR(J36/I36,"0.00%")</f>
        <v>0</v>
      </c>
      <c r="L36" s="1558">
        <v>0</v>
      </c>
      <c r="M36" s="1103">
        <f t="shared" si="3"/>
        <v>0</v>
      </c>
      <c r="N36" s="1083">
        <f t="shared" si="22"/>
        <v>150000</v>
      </c>
      <c r="O36" s="1096">
        <f t="shared" si="4"/>
        <v>1</v>
      </c>
      <c r="P36" s="1265">
        <f>+'P02 2022'!BD26</f>
        <v>127560</v>
      </c>
      <c r="Q36" s="435">
        <f t="shared" si="20"/>
        <v>0</v>
      </c>
      <c r="R36" s="1059">
        <f t="shared" si="21"/>
        <v>0</v>
      </c>
      <c r="S36" s="1235">
        <v>0</v>
      </c>
      <c r="T36" s="463">
        <v>0</v>
      </c>
      <c r="U36" s="464">
        <v>0</v>
      </c>
      <c r="V36" s="463">
        <v>0</v>
      </c>
      <c r="W36" s="464">
        <v>0</v>
      </c>
      <c r="X36" s="465">
        <v>0</v>
      </c>
      <c r="Y36" s="466">
        <v>0</v>
      </c>
      <c r="Z36" s="465">
        <v>0</v>
      </c>
      <c r="AA36" s="662">
        <v>0</v>
      </c>
      <c r="AB36" s="691">
        <f>+'P02 2022'!DE18</f>
        <v>96000</v>
      </c>
      <c r="AC36" s="922">
        <f>+'P02 2022'!EF18</f>
        <v>24000</v>
      </c>
      <c r="AD36" s="462">
        <v>0</v>
      </c>
      <c r="AE36" s="709">
        <v>0</v>
      </c>
      <c r="AF36" s="709"/>
      <c r="AG36" s="922">
        <v>0</v>
      </c>
      <c r="AH36" s="1277">
        <v>0</v>
      </c>
      <c r="AI36" s="1427"/>
      <c r="AJ36" s="1580"/>
      <c r="AK36" s="1580"/>
      <c r="AL36" s="1580"/>
      <c r="AM36" s="1580"/>
      <c r="AN36" s="1580"/>
    </row>
    <row r="37" spans="1:40" s="390" customFormat="1" ht="15" customHeight="1" x14ac:dyDescent="0.25">
      <c r="B37" s="428">
        <v>25</v>
      </c>
      <c r="C37" s="136"/>
      <c r="D37" s="136"/>
      <c r="E37" s="143"/>
      <c r="F37" s="143"/>
      <c r="G37" s="498" t="s">
        <v>546</v>
      </c>
      <c r="H37" s="424">
        <f>+H38</f>
        <v>0</v>
      </c>
      <c r="I37" s="420">
        <f>+I38</f>
        <v>0</v>
      </c>
      <c r="J37" s="420">
        <f ca="1">+J38</f>
        <v>0</v>
      </c>
      <c r="K37" s="1104" t="str">
        <f ca="1">IFERROR(J37/I37,"0,00%")</f>
        <v>0,00%</v>
      </c>
      <c r="L37" s="422">
        <v>0</v>
      </c>
      <c r="M37" s="1104">
        <f t="shared" si="3"/>
        <v>0</v>
      </c>
      <c r="N37" s="420">
        <f t="shared" si="17"/>
        <v>0</v>
      </c>
      <c r="O37" s="1097">
        <f t="shared" si="4"/>
        <v>0</v>
      </c>
      <c r="P37" s="429">
        <f>+P38</f>
        <v>0</v>
      </c>
      <c r="Q37" s="420">
        <f>+Q38</f>
        <v>0</v>
      </c>
      <c r="R37" s="1060" t="str">
        <f t="shared" si="21"/>
        <v>0,00%</v>
      </c>
      <c r="S37" s="982">
        <f>+S38</f>
        <v>0</v>
      </c>
      <c r="T37" s="1270">
        <v>0</v>
      </c>
      <c r="U37" s="1072">
        <v>0</v>
      </c>
      <c r="V37" s="437">
        <v>0</v>
      </c>
      <c r="W37" s="438">
        <v>0</v>
      </c>
      <c r="X37" s="439">
        <v>0</v>
      </c>
      <c r="Y37" s="458">
        <v>0</v>
      </c>
      <c r="Z37" s="439">
        <v>0</v>
      </c>
      <c r="AA37" s="1587">
        <v>0</v>
      </c>
      <c r="AB37" s="703">
        <f>+AB38</f>
        <v>0</v>
      </c>
      <c r="AC37" s="476">
        <v>0</v>
      </c>
      <c r="AD37" s="436">
        <v>0</v>
      </c>
      <c r="AE37" s="476">
        <v>0</v>
      </c>
      <c r="AF37" s="476">
        <v>0</v>
      </c>
      <c r="AG37" s="476">
        <v>0</v>
      </c>
      <c r="AH37" s="1047">
        <v>0</v>
      </c>
      <c r="AI37" s="1427"/>
      <c r="AJ37" s="55"/>
      <c r="AK37" s="1580"/>
      <c r="AL37" s="1579"/>
      <c r="AM37" s="1579"/>
      <c r="AN37" s="1579"/>
    </row>
    <row r="38" spans="1:40" s="390" customFormat="1" ht="15" customHeight="1" x14ac:dyDescent="0.25">
      <c r="B38" s="471"/>
      <c r="C38" s="97">
        <v>99</v>
      </c>
      <c r="D38" s="127"/>
      <c r="E38" s="322">
        <v>1</v>
      </c>
      <c r="F38" s="322"/>
      <c r="G38" s="825" t="s">
        <v>545</v>
      </c>
      <c r="H38" s="434">
        <v>0</v>
      </c>
      <c r="I38" s="435">
        <v>0</v>
      </c>
      <c r="J38" s="435">
        <f ca="1">SUMIF(X$3:$AH28,"ok",X38:AH38)</f>
        <v>0</v>
      </c>
      <c r="K38" s="1107" t="str">
        <f ca="1">IFERROR(J38/I38,"0,00%")</f>
        <v>0,00%</v>
      </c>
      <c r="L38" s="1282">
        <v>0</v>
      </c>
      <c r="M38" s="1105">
        <f t="shared" si="3"/>
        <v>0</v>
      </c>
      <c r="N38" s="435">
        <f>+I38-L38</f>
        <v>0</v>
      </c>
      <c r="O38" s="1098">
        <f t="shared" si="4"/>
        <v>0</v>
      </c>
      <c r="P38" s="472">
        <v>0</v>
      </c>
      <c r="Q38" s="441">
        <f>SUMIF($S$3:$AH$3,"SI",S38:AH38)</f>
        <v>0</v>
      </c>
      <c r="R38" s="1068" t="str">
        <f t="shared" si="21"/>
        <v>0,00%</v>
      </c>
      <c r="S38" s="1073">
        <v>0</v>
      </c>
      <c r="T38" s="463">
        <v>0</v>
      </c>
      <c r="U38" s="464">
        <v>0</v>
      </c>
      <c r="V38" s="463">
        <v>0</v>
      </c>
      <c r="W38" s="464">
        <v>0</v>
      </c>
      <c r="X38" s="1266">
        <v>0</v>
      </c>
      <c r="Y38" s="1552">
        <v>0</v>
      </c>
      <c r="Z38" s="1266">
        <v>0</v>
      </c>
      <c r="AA38" s="1588"/>
      <c r="AB38" s="1365">
        <v>0</v>
      </c>
      <c r="AC38" s="1048">
        <v>0</v>
      </c>
      <c r="AD38" s="473">
        <v>0</v>
      </c>
      <c r="AE38" s="1048">
        <v>0</v>
      </c>
      <c r="AF38" s="1048">
        <v>0</v>
      </c>
      <c r="AG38" s="922">
        <v>0</v>
      </c>
      <c r="AH38" s="1280">
        <v>0</v>
      </c>
      <c r="AI38" s="1427"/>
      <c r="AJ38" s="55"/>
      <c r="AK38" s="1580"/>
      <c r="AL38" s="1579"/>
      <c r="AM38" s="1579"/>
      <c r="AN38" s="1579"/>
    </row>
    <row r="39" spans="1:40" s="390" customFormat="1" ht="15" customHeight="1" x14ac:dyDescent="0.25">
      <c r="A39" s="474"/>
      <c r="B39" s="428" t="s">
        <v>4</v>
      </c>
      <c r="C39" s="136" t="s">
        <v>2</v>
      </c>
      <c r="D39" s="131"/>
      <c r="E39" s="457"/>
      <c r="F39" s="457"/>
      <c r="G39" s="498" t="s">
        <v>150</v>
      </c>
      <c r="H39" s="424">
        <f>+H40</f>
        <v>1184225</v>
      </c>
      <c r="I39" s="420">
        <f>+I40</f>
        <v>1184225</v>
      </c>
      <c r="J39" s="420">
        <f ca="1">+J40</f>
        <v>68269.824999999997</v>
      </c>
      <c r="K39" s="1104">
        <f t="shared" ca="1" si="6"/>
        <v>5.7649369841035275E-2</v>
      </c>
      <c r="L39" s="1062">
        <f>+L40</f>
        <v>180643.03</v>
      </c>
      <c r="M39" s="1104">
        <f t="shared" si="3"/>
        <v>0.15254113871941566</v>
      </c>
      <c r="N39" s="1062">
        <f>+I39-L39</f>
        <v>1003581.97</v>
      </c>
      <c r="O39" s="1097">
        <f t="shared" si="4"/>
        <v>0.84745886128058434</v>
      </c>
      <c r="P39" s="429">
        <f>+P40</f>
        <v>1237260.7790000001</v>
      </c>
      <c r="Q39" s="430">
        <f>+Q40</f>
        <v>74492.388877999998</v>
      </c>
      <c r="R39" s="1060">
        <f t="shared" si="21"/>
        <v>6.0207508507792107E-2</v>
      </c>
      <c r="S39" s="1072">
        <f>+S40</f>
        <v>0</v>
      </c>
      <c r="T39" s="423">
        <f>+T40</f>
        <v>10764.484381999999</v>
      </c>
      <c r="U39" s="424">
        <f t="shared" ref="U39:AA39" si="23">+U40</f>
        <v>19511.238000000001</v>
      </c>
      <c r="V39" s="423">
        <f t="shared" si="23"/>
        <v>11047.058483000001</v>
      </c>
      <c r="W39" s="424">
        <f>+W40</f>
        <v>48758.587</v>
      </c>
      <c r="X39" s="425">
        <f t="shared" si="23"/>
        <v>41700.506724999999</v>
      </c>
      <c r="Y39" s="460">
        <f>+Y40</f>
        <v>0</v>
      </c>
      <c r="Z39" s="425">
        <f>+Z40</f>
        <v>10980.339287999999</v>
      </c>
      <c r="AA39" s="1583">
        <f t="shared" si="23"/>
        <v>6848.4310000000005</v>
      </c>
      <c r="AB39" s="704">
        <f t="shared" ref="AB39:AC39" si="24">+AB40</f>
        <v>14911.368</v>
      </c>
      <c r="AC39" s="475">
        <f t="shared" si="24"/>
        <v>65758.945000000007</v>
      </c>
      <c r="AD39" s="1371">
        <f>+AD40</f>
        <v>111391.901</v>
      </c>
      <c r="AE39" s="475">
        <f>+AE40</f>
        <v>88485.244000000006</v>
      </c>
      <c r="AF39" s="475">
        <f t="shared" ref="AF39:AH40" si="25">+AF40</f>
        <v>43102.843999999997</v>
      </c>
      <c r="AG39" s="475">
        <f t="shared" si="25"/>
        <v>279678.85599999997</v>
      </c>
      <c r="AH39" s="475">
        <f>+AH40</f>
        <v>421937.13500000001</v>
      </c>
      <c r="AI39" s="1427"/>
      <c r="AJ39" s="55"/>
      <c r="AK39" s="1580"/>
      <c r="AL39" s="1579"/>
      <c r="AM39" s="1579"/>
      <c r="AN39" s="1579"/>
    </row>
    <row r="40" spans="1:40" s="390" customFormat="1" ht="15" customHeight="1" x14ac:dyDescent="0.25">
      <c r="A40" s="474"/>
      <c r="B40" s="428"/>
      <c r="C40" s="136">
        <v>3</v>
      </c>
      <c r="D40" s="131"/>
      <c r="E40" s="457"/>
      <c r="F40" s="457"/>
      <c r="G40" s="498" t="s">
        <v>87</v>
      </c>
      <c r="H40" s="424">
        <f>+H41</f>
        <v>1184225</v>
      </c>
      <c r="I40" s="420">
        <f>+I41</f>
        <v>1184225</v>
      </c>
      <c r="J40" s="420">
        <f ca="1">SUMIF(S$3:$AH31,"ok",S40:AH40)</f>
        <v>68269.824999999997</v>
      </c>
      <c r="K40" s="1104">
        <f t="shared" ca="1" si="6"/>
        <v>5.7649369841035275E-2</v>
      </c>
      <c r="L40" s="1062">
        <f>+L41</f>
        <v>180643.03</v>
      </c>
      <c r="M40" s="1104">
        <f t="shared" si="3"/>
        <v>0.15254113871941566</v>
      </c>
      <c r="N40" s="1062">
        <f>+I40-L40</f>
        <v>1003581.97</v>
      </c>
      <c r="O40" s="1097">
        <f t="shared" si="4"/>
        <v>0.84745886128058434</v>
      </c>
      <c r="P40" s="424">
        <f>+P41</f>
        <v>1237260.7790000001</v>
      </c>
      <c r="Q40" s="420">
        <f>+Q41</f>
        <v>74492.388877999998</v>
      </c>
      <c r="R40" s="1060" t="str">
        <f>IFERROR(Q4/P4,"0,00%")</f>
        <v>0,00%</v>
      </c>
      <c r="S40" s="1072">
        <f>+S41</f>
        <v>0</v>
      </c>
      <c r="T40" s="437">
        <f>+T41</f>
        <v>10764.484381999999</v>
      </c>
      <c r="U40" s="438">
        <f>+U41</f>
        <v>19511.238000000001</v>
      </c>
      <c r="V40" s="437">
        <f>+V41</f>
        <v>11047.058483000001</v>
      </c>
      <c r="W40" s="438">
        <f>+W41</f>
        <v>48758.587</v>
      </c>
      <c r="X40" s="439">
        <f>+X41</f>
        <v>41700.506724999999</v>
      </c>
      <c r="Y40" s="458">
        <f>+Y41</f>
        <v>0</v>
      </c>
      <c r="Z40" s="439">
        <f>+Z41</f>
        <v>10980.339287999999</v>
      </c>
      <c r="AA40" s="1587">
        <f t="shared" ref="AA40:AC40" si="26">+AA41</f>
        <v>6848.4310000000005</v>
      </c>
      <c r="AB40" s="703">
        <f t="shared" si="26"/>
        <v>14911.368</v>
      </c>
      <c r="AC40" s="476">
        <f t="shared" si="26"/>
        <v>65758.945000000007</v>
      </c>
      <c r="AD40" s="436">
        <f>+AD41</f>
        <v>111391.901</v>
      </c>
      <c r="AE40" s="476">
        <f>+AE41</f>
        <v>88485.244000000006</v>
      </c>
      <c r="AF40" s="476">
        <f t="shared" si="25"/>
        <v>43102.843999999997</v>
      </c>
      <c r="AG40" s="476">
        <f t="shared" si="25"/>
        <v>279678.85599999997</v>
      </c>
      <c r="AH40" s="1047">
        <f t="shared" si="25"/>
        <v>421937.13500000001</v>
      </c>
      <c r="AI40" s="1427"/>
      <c r="AJ40" s="55"/>
      <c r="AK40" s="1580"/>
      <c r="AL40" s="1579"/>
      <c r="AM40" s="1579"/>
      <c r="AN40" s="1579"/>
    </row>
    <row r="41" spans="1:40" s="408" customFormat="1" ht="15" customHeight="1" x14ac:dyDescent="0.25">
      <c r="A41" s="474"/>
      <c r="B41" s="428"/>
      <c r="C41" s="136"/>
      <c r="D41" s="132">
        <v>602</v>
      </c>
      <c r="E41" s="457"/>
      <c r="F41" s="457"/>
      <c r="G41" s="822" t="s">
        <v>324</v>
      </c>
      <c r="H41" s="424">
        <f>+SUM(H42:H46)</f>
        <v>1184225</v>
      </c>
      <c r="I41" s="420">
        <f>SUM(I42:I46)</f>
        <v>1184225</v>
      </c>
      <c r="J41" s="420">
        <f ca="1">SUMIF(S$3:$AH36,"ok",S41:AH41)</f>
        <v>68269.824999999997</v>
      </c>
      <c r="K41" s="1104">
        <f t="shared" ca="1" si="6"/>
        <v>5.7649369841035275E-2</v>
      </c>
      <c r="L41" s="1084">
        <f>SUM(L42:L46)</f>
        <v>180643.03</v>
      </c>
      <c r="M41" s="1104">
        <f t="shared" si="3"/>
        <v>0.15254113871941566</v>
      </c>
      <c r="N41" s="1062">
        <f>+I41-L41</f>
        <v>1003581.97</v>
      </c>
      <c r="O41" s="1097">
        <f t="shared" si="4"/>
        <v>0.84745886128058434</v>
      </c>
      <c r="P41" s="429">
        <f>+SUM(P42:P46)</f>
        <v>1237260.7790000001</v>
      </c>
      <c r="Q41" s="420">
        <f>+Q43+Q42+Q44+Q45</f>
        <v>74492.388877999998</v>
      </c>
      <c r="R41" s="1060">
        <f t="shared" ref="R41:R46" si="27">IFERROR(Q41/P41,"0,00%")</f>
        <v>6.0207508507792107E-2</v>
      </c>
      <c r="S41" s="1072">
        <f>SUM(S42:S46)</f>
        <v>0</v>
      </c>
      <c r="T41" s="437">
        <f>+SUM(T42:T46)</f>
        <v>10764.484381999999</v>
      </c>
      <c r="U41" s="438">
        <f>+SUM(U42:U44)</f>
        <v>19511.238000000001</v>
      </c>
      <c r="V41" s="437">
        <f>+SUM(V42:V44)</f>
        <v>11047.058483000001</v>
      </c>
      <c r="W41" s="438">
        <f>SUM(W42:W46)</f>
        <v>48758.587</v>
      </c>
      <c r="X41" s="439">
        <f>SUM(X42:X45)</f>
        <v>41700.506724999999</v>
      </c>
      <c r="Y41" s="458">
        <f>SUM(Y42:Y46)</f>
        <v>0</v>
      </c>
      <c r="Z41" s="439">
        <f>SUM(Z42:Z46)</f>
        <v>10980.339287999999</v>
      </c>
      <c r="AA41" s="1587">
        <f>SUM(AA42:AA46)</f>
        <v>6848.4310000000005</v>
      </c>
      <c r="AB41" s="703">
        <f>+SUM(AB42:AB46)</f>
        <v>14911.368</v>
      </c>
      <c r="AC41" s="476">
        <f>+SUM(AC42:AC46)</f>
        <v>65758.945000000007</v>
      </c>
      <c r="AD41" s="436">
        <f>SUM(AD42:AD46)</f>
        <v>111391.901</v>
      </c>
      <c r="AE41" s="1092">
        <f>SUM(AE42:AE46)</f>
        <v>88485.244000000006</v>
      </c>
      <c r="AF41" s="1092">
        <f>SUM(AF42:AF44)</f>
        <v>43102.843999999997</v>
      </c>
      <c r="AG41" s="476">
        <f>+SUM(AG42:AG46)</f>
        <v>279678.85599999997</v>
      </c>
      <c r="AH41" s="1047">
        <f>SUM(AH42:AH46)</f>
        <v>421937.13500000001</v>
      </c>
      <c r="AI41" s="1427"/>
      <c r="AJ41" s="55"/>
      <c r="AK41" s="1580"/>
      <c r="AL41" s="1579"/>
      <c r="AM41" s="1579"/>
      <c r="AN41" s="1579"/>
    </row>
    <row r="42" spans="1:40" s="390" customFormat="1" ht="15" customHeight="1" x14ac:dyDescent="0.2">
      <c r="B42" s="461"/>
      <c r="C42" s="127"/>
      <c r="D42" s="440"/>
      <c r="E42" s="322">
        <v>1</v>
      </c>
      <c r="F42" s="322"/>
      <c r="G42" s="823" t="s">
        <v>346</v>
      </c>
      <c r="H42" s="1565">
        <f>+'P02 2023'!I29</f>
        <v>520000</v>
      </c>
      <c r="I42" s="1083">
        <f>+'P02 2023'!BP38</f>
        <v>520000</v>
      </c>
      <c r="J42" s="1566">
        <f ca="1">SUMIF(S$3:$AH36,"ok",S42:AH42)</f>
        <v>0</v>
      </c>
      <c r="K42" s="1103">
        <f t="shared" ca="1" si="6"/>
        <v>0</v>
      </c>
      <c r="L42" s="1083">
        <f>+'P02 2023'!BQ48</f>
        <v>0</v>
      </c>
      <c r="M42" s="1103">
        <f t="shared" si="3"/>
        <v>0</v>
      </c>
      <c r="N42" s="435">
        <f>+I42-L42</f>
        <v>520000</v>
      </c>
      <c r="O42" s="1096">
        <f t="shared" si="4"/>
        <v>1</v>
      </c>
      <c r="P42" s="434">
        <f>+'P02 2022'!BD38</f>
        <v>552760</v>
      </c>
      <c r="Q42" s="435">
        <f>SUMIF($S$3:$AH$3,"SI",S42:AH42)</f>
        <v>14882</v>
      </c>
      <c r="R42" s="1059">
        <f t="shared" si="27"/>
        <v>2.6923076923076925E-2</v>
      </c>
      <c r="S42" s="1071">
        <v>0</v>
      </c>
      <c r="T42" s="463">
        <v>0</v>
      </c>
      <c r="U42" s="464">
        <v>0</v>
      </c>
      <c r="V42" s="463">
        <v>0</v>
      </c>
      <c r="W42" s="464">
        <v>0</v>
      </c>
      <c r="X42" s="465">
        <f>+'P02 2022'!AS12</f>
        <v>14882</v>
      </c>
      <c r="Y42" s="466">
        <v>0</v>
      </c>
      <c r="Z42" s="1546">
        <v>0</v>
      </c>
      <c r="AA42" s="662">
        <v>0</v>
      </c>
      <c r="AB42" s="691">
        <v>0</v>
      </c>
      <c r="AC42" s="922">
        <v>0</v>
      </c>
      <c r="AD42" s="462">
        <f>+'P02 2022'!FG20</f>
        <v>34000</v>
      </c>
      <c r="AE42" s="709">
        <f>+'P02 2022'!GE12</f>
        <v>81961.816000000006</v>
      </c>
      <c r="AF42" s="709">
        <f>+'P02 2022'!HD22</f>
        <v>18776.705000000002</v>
      </c>
      <c r="AG42" s="709">
        <f>+'P02 2022'!IE28</f>
        <v>242761.47899999999</v>
      </c>
      <c r="AH42" s="1279">
        <f>+'P02 2022'!JC16</f>
        <v>239870.68599999999</v>
      </c>
      <c r="AI42" s="1427"/>
      <c r="AJ42" s="55"/>
      <c r="AK42" s="1580"/>
      <c r="AL42" s="1579"/>
      <c r="AM42" s="1579"/>
      <c r="AN42" s="1579"/>
    </row>
    <row r="43" spans="1:40" s="390" customFormat="1" ht="15" customHeight="1" x14ac:dyDescent="0.2">
      <c r="B43" s="461"/>
      <c r="C43" s="127"/>
      <c r="D43" s="322"/>
      <c r="E43" s="322">
        <v>2</v>
      </c>
      <c r="F43" s="322"/>
      <c r="G43" s="823" t="s">
        <v>347</v>
      </c>
      <c r="H43" s="1565">
        <f>+'P02 2023'!I30</f>
        <v>300292</v>
      </c>
      <c r="I43" s="1083">
        <f>+'P02 2023'!BP39</f>
        <v>300292</v>
      </c>
      <c r="J43" s="1563">
        <f ca="1">SUMIF(S$3:$AH37,"ok",S43:AH43)</f>
        <v>68269.824999999997</v>
      </c>
      <c r="K43" s="1103">
        <f t="shared" ca="1" si="6"/>
        <v>0.2273448010603013</v>
      </c>
      <c r="L43" s="1567">
        <f>+'P02 2023'!BQ40</f>
        <v>173893.03</v>
      </c>
      <c r="M43" s="1103">
        <f>IFERROR(+#REF!/I43,0)</f>
        <v>0</v>
      </c>
      <c r="N43" s="435">
        <f t="shared" ref="N43:N46" si="28">+I43-L43</f>
        <v>126398.97</v>
      </c>
      <c r="O43" s="1096">
        <f t="shared" si="4"/>
        <v>0.42092020433444782</v>
      </c>
      <c r="P43" s="434">
        <f>+'P02 2022'!BD40</f>
        <v>297640</v>
      </c>
      <c r="Q43" s="435">
        <f>SUMIF($S$3:$AH$3,"SI",S43:AH43)</f>
        <v>57786.280878000005</v>
      </c>
      <c r="R43" s="1059">
        <f t="shared" si="27"/>
        <v>0.19414823571428574</v>
      </c>
      <c r="S43" s="1071">
        <v>0</v>
      </c>
      <c r="T43" s="463">
        <f>+'P02 2022'!H33</f>
        <v>10764.484381999999</v>
      </c>
      <c r="U43" s="464">
        <f>+'P02 2023'!R19</f>
        <v>19511.238000000001</v>
      </c>
      <c r="V43" s="1415">
        <f>+'P02 2022'!Q7</f>
        <v>11047.058483000001</v>
      </c>
      <c r="W43" s="472">
        <f>+'P02 2023'!AL15</f>
        <v>48758.587</v>
      </c>
      <c r="X43" s="465">
        <f>+'P02 2022'!AS13</f>
        <v>24994.398724999999</v>
      </c>
      <c r="Y43" s="1553">
        <v>0</v>
      </c>
      <c r="Z43" s="1547">
        <f>+'P02 2022'!BP8</f>
        <v>10980.339287999999</v>
      </c>
      <c r="AA43" s="662">
        <f>+'P02 2022'!CR15</f>
        <v>3416.431</v>
      </c>
      <c r="AB43" s="691">
        <f>+'P02 2022'!DE21</f>
        <v>14911.368</v>
      </c>
      <c r="AC43" s="936">
        <f>+'P02 2022'!EF22</f>
        <v>23126.945</v>
      </c>
      <c r="AD43" s="462">
        <f>+'P02 2022'!FG21</f>
        <v>36475.900999999998</v>
      </c>
      <c r="AE43" s="709">
        <f>+'P02 2022'!GE13</f>
        <v>6523.4279999999999</v>
      </c>
      <c r="AF43" s="709">
        <f>+'P02 2022'!HD23</f>
        <v>4726.1390000000001</v>
      </c>
      <c r="AG43" s="709">
        <f>+'P02 2022'!IE29</f>
        <v>35201.377</v>
      </c>
      <c r="AH43" s="1279">
        <f>+'P02 2022'!JC17</f>
        <v>9937.3160000000007</v>
      </c>
      <c r="AI43" s="1427"/>
      <c r="AJ43" s="55"/>
      <c r="AK43" s="1580"/>
      <c r="AL43" s="1579"/>
      <c r="AM43" s="1579"/>
      <c r="AN43" s="1579"/>
    </row>
    <row r="44" spans="1:40" s="390" customFormat="1" ht="15" customHeight="1" x14ac:dyDescent="0.2">
      <c r="B44" s="461"/>
      <c r="C44" s="127"/>
      <c r="D44" s="322"/>
      <c r="E44" s="322">
        <v>3</v>
      </c>
      <c r="F44" s="322"/>
      <c r="G44" s="823" t="s">
        <v>533</v>
      </c>
      <c r="H44" s="1565">
        <f>+'P02 2023'!I32</f>
        <v>278933</v>
      </c>
      <c r="I44" s="1083">
        <f>+'P02 2023'!BP41</f>
        <v>278933</v>
      </c>
      <c r="J44" s="1568">
        <f ca="1">SUMIF(S$3:$AH38,"ok",S44:AH44)</f>
        <v>0</v>
      </c>
      <c r="K44" s="1103">
        <f ca="1">IFERROR(J44/I44,"0.00%")</f>
        <v>0</v>
      </c>
      <c r="L44" s="1558">
        <f>+'P02 2023'!BQ42</f>
        <v>6750</v>
      </c>
      <c r="M44" s="1103">
        <f t="shared" si="3"/>
        <v>2.4199359702867712E-2</v>
      </c>
      <c r="N44" s="435">
        <f t="shared" si="28"/>
        <v>272183</v>
      </c>
      <c r="O44" s="1096">
        <f t="shared" si="4"/>
        <v>0.97580064029713232</v>
      </c>
      <c r="P44" s="434">
        <f>+'P02 2022'!BD42</f>
        <v>296505.77899999998</v>
      </c>
      <c r="Q44" s="435">
        <f>SUMIF($S$3:$AH$3,"SI",S44:AH44)</f>
        <v>0</v>
      </c>
      <c r="R44" s="1059">
        <f t="shared" si="27"/>
        <v>0</v>
      </c>
      <c r="S44" s="1071">
        <v>0</v>
      </c>
      <c r="T44" s="463">
        <v>0</v>
      </c>
      <c r="U44" s="464">
        <v>0</v>
      </c>
      <c r="V44" s="1415">
        <v>0</v>
      </c>
      <c r="W44" s="472">
        <v>0</v>
      </c>
      <c r="X44" s="465">
        <v>0</v>
      </c>
      <c r="Y44" s="466">
        <v>0</v>
      </c>
      <c r="Z44" s="1546">
        <v>0</v>
      </c>
      <c r="AA44" s="662">
        <v>0</v>
      </c>
      <c r="AB44" s="691">
        <v>0</v>
      </c>
      <c r="AC44" s="936">
        <f>+'P02 2022'!EF23</f>
        <v>39200</v>
      </c>
      <c r="AD44" s="462">
        <f>+'P02 2022'!FG22</f>
        <v>39200</v>
      </c>
      <c r="AE44" s="709">
        <v>0</v>
      </c>
      <c r="AF44" s="709">
        <f>+'P02 2022'!HD24</f>
        <v>19600</v>
      </c>
      <c r="AG44" s="709">
        <v>0</v>
      </c>
      <c r="AH44" s="1279">
        <f>+'P02 2022'!JC18</f>
        <v>150089.633</v>
      </c>
      <c r="AI44" s="1427"/>
      <c r="AJ44" s="55"/>
      <c r="AK44" s="1580"/>
      <c r="AL44" s="1579"/>
      <c r="AM44" s="1579"/>
      <c r="AN44" s="1579"/>
    </row>
    <row r="45" spans="1:40" s="390" customFormat="1" ht="15" customHeight="1" x14ac:dyDescent="0.2">
      <c r="B45" s="461"/>
      <c r="C45" s="127"/>
      <c r="D45" s="322"/>
      <c r="E45" s="322">
        <v>4</v>
      </c>
      <c r="F45" s="322"/>
      <c r="G45" s="823" t="s">
        <v>673</v>
      </c>
      <c r="H45" s="1565">
        <f>+'P02 2023'!I33</f>
        <v>35000</v>
      </c>
      <c r="I45" s="1083">
        <f>+'P02 2023'!BP43</f>
        <v>35000</v>
      </c>
      <c r="J45" s="1563">
        <f ca="1">SUMIF(S$3:$AH39,"ok",S45:AH45)</f>
        <v>0</v>
      </c>
      <c r="K45" s="1103">
        <f ca="1">IFERROR(J45/I45,"0.00%")</f>
        <v>0</v>
      </c>
      <c r="L45" s="1083">
        <f>+'P02 2023'!BQ54</f>
        <v>0</v>
      </c>
      <c r="M45" s="1103">
        <f t="shared" si="3"/>
        <v>0</v>
      </c>
      <c r="N45" s="435">
        <f t="shared" si="28"/>
        <v>35000</v>
      </c>
      <c r="O45" s="1096">
        <f t="shared" si="4"/>
        <v>1</v>
      </c>
      <c r="P45" s="434">
        <f>+'P02 2022'!BD44</f>
        <v>37205</v>
      </c>
      <c r="Q45" s="435">
        <f>SUMIF($S$3:$AH$3,"SI",S45:AH45)</f>
        <v>1824.1079999999999</v>
      </c>
      <c r="R45" s="1059">
        <f t="shared" si="27"/>
        <v>4.9028571428571428E-2</v>
      </c>
      <c r="S45" s="1071">
        <v>0</v>
      </c>
      <c r="T45" s="463">
        <v>0</v>
      </c>
      <c r="U45" s="464">
        <v>0</v>
      </c>
      <c r="V45" s="463">
        <v>0</v>
      </c>
      <c r="W45" s="464">
        <v>0</v>
      </c>
      <c r="X45" s="465">
        <f>+'P02 2022'!AS14</f>
        <v>1824.1079999999999</v>
      </c>
      <c r="Y45" s="466">
        <v>0</v>
      </c>
      <c r="Z45" s="1546">
        <v>0</v>
      </c>
      <c r="AA45" s="662">
        <f>+'P02 2022'!CR16</f>
        <v>3432</v>
      </c>
      <c r="AB45" s="691">
        <v>0</v>
      </c>
      <c r="AC45" s="936">
        <f>+'P02 2022'!EF24</f>
        <v>3432</v>
      </c>
      <c r="AD45" s="462">
        <f>+'P02 2022'!FG23</f>
        <v>1716</v>
      </c>
      <c r="AE45" s="922">
        <v>0</v>
      </c>
      <c r="AF45" s="709">
        <v>0</v>
      </c>
      <c r="AG45" s="709">
        <f>+'P02 2022'!IE33</f>
        <v>1716</v>
      </c>
      <c r="AH45" s="1277">
        <v>0</v>
      </c>
      <c r="AI45" s="1427"/>
      <c r="AJ45" s="55"/>
      <c r="AK45" s="1580"/>
      <c r="AL45" s="1579"/>
      <c r="AM45" s="1579"/>
      <c r="AN45" s="1579"/>
    </row>
    <row r="46" spans="1:40" s="390" customFormat="1" ht="15" customHeight="1" x14ac:dyDescent="0.2">
      <c r="B46" s="461"/>
      <c r="C46" s="127"/>
      <c r="D46" s="322"/>
      <c r="E46" s="322">
        <v>5</v>
      </c>
      <c r="F46" s="322"/>
      <c r="G46" s="823" t="s">
        <v>675</v>
      </c>
      <c r="H46" s="1565">
        <f>+'P02 2023'!I34</f>
        <v>50000</v>
      </c>
      <c r="I46" s="1083">
        <f>+'P02 2023'!BP44</f>
        <v>50000</v>
      </c>
      <c r="J46" s="1563">
        <f ca="1">SUMIF(S$3:$AH40,"ok",S46:AH46)</f>
        <v>0</v>
      </c>
      <c r="K46" s="1103">
        <f t="shared" ca="1" si="6"/>
        <v>0</v>
      </c>
      <c r="L46" s="1083">
        <f>+'P02 2023'!BQ56</f>
        <v>0</v>
      </c>
      <c r="M46" s="1103">
        <f t="shared" si="3"/>
        <v>0</v>
      </c>
      <c r="N46" s="435">
        <f t="shared" si="28"/>
        <v>50000</v>
      </c>
      <c r="O46" s="1096">
        <f t="shared" si="4"/>
        <v>1</v>
      </c>
      <c r="P46" s="434">
        <f>+'P02 2022'!BD46</f>
        <v>53150</v>
      </c>
      <c r="Q46" s="435">
        <f>SUMIF($S$3:$AH$3,"SI",S46:AH46)</f>
        <v>0</v>
      </c>
      <c r="R46" s="1059">
        <f t="shared" si="27"/>
        <v>0</v>
      </c>
      <c r="S46" s="1071">
        <v>0</v>
      </c>
      <c r="T46" s="463">
        <v>0</v>
      </c>
      <c r="U46" s="464">
        <v>0</v>
      </c>
      <c r="V46" s="463">
        <v>0</v>
      </c>
      <c r="W46" s="464">
        <v>0</v>
      </c>
      <c r="X46" s="465">
        <v>0</v>
      </c>
      <c r="Y46" s="466">
        <v>0</v>
      </c>
      <c r="Z46" s="465">
        <v>0</v>
      </c>
      <c r="AA46" s="662">
        <v>0</v>
      </c>
      <c r="AB46" s="691">
        <v>0</v>
      </c>
      <c r="AC46" s="922">
        <v>0</v>
      </c>
      <c r="AD46" s="462">
        <v>0</v>
      </c>
      <c r="AE46" s="922">
        <v>0</v>
      </c>
      <c r="AF46" s="709">
        <v>0</v>
      </c>
      <c r="AG46" s="709">
        <v>0</v>
      </c>
      <c r="AH46" s="1279">
        <f>+'P02 2022'!JC19</f>
        <v>22039.5</v>
      </c>
      <c r="AI46" s="1427"/>
      <c r="AJ46" s="55"/>
      <c r="AK46" s="1580"/>
      <c r="AL46" s="1579"/>
      <c r="AM46" s="1579"/>
      <c r="AN46" s="1579"/>
    </row>
    <row r="47" spans="1:40" s="390" customFormat="1" ht="15" customHeight="1" x14ac:dyDescent="0.25">
      <c r="B47" s="428">
        <v>34</v>
      </c>
      <c r="C47" s="136" t="s">
        <v>2</v>
      </c>
      <c r="D47" s="131"/>
      <c r="E47" s="457"/>
      <c r="F47" s="457"/>
      <c r="G47" s="498" t="s">
        <v>83</v>
      </c>
      <c r="H47" s="424">
        <f>+H48</f>
        <v>10</v>
      </c>
      <c r="I47" s="420">
        <f>+I48</f>
        <v>696450</v>
      </c>
      <c r="J47" s="430">
        <f ca="1">SUMIF(S$3:$AH40,"ok",S47:AH47)</f>
        <v>696449.25600000005</v>
      </c>
      <c r="K47" s="1104">
        <f t="shared" ca="1" si="6"/>
        <v>0.99999893172517773</v>
      </c>
      <c r="L47" s="1062">
        <f>+L48</f>
        <v>696449.25600000005</v>
      </c>
      <c r="M47" s="1104">
        <f t="shared" si="3"/>
        <v>0.99999893172517773</v>
      </c>
      <c r="N47" s="1062">
        <f t="shared" si="17"/>
        <v>0.74399999994784594</v>
      </c>
      <c r="O47" s="1097">
        <f t="shared" si="4"/>
        <v>1.0682748222382739E-6</v>
      </c>
      <c r="P47" s="429">
        <f>+P48</f>
        <v>10.629999999999999</v>
      </c>
      <c r="Q47" s="430">
        <f>+Q48</f>
        <v>1018160.0301379999</v>
      </c>
      <c r="R47" s="1060">
        <f>IFERROR(Q47/P47,",0,00%")</f>
        <v>95781.752600000007</v>
      </c>
      <c r="S47" s="1072">
        <f>+S48</f>
        <v>696449.25600000005</v>
      </c>
      <c r="T47" s="1271">
        <f>+T48</f>
        <v>104221.815866</v>
      </c>
      <c r="U47" s="1273">
        <v>0</v>
      </c>
      <c r="V47" s="1271">
        <f>+V48</f>
        <v>913938.2142719999</v>
      </c>
      <c r="W47" s="1273">
        <v>0</v>
      </c>
      <c r="X47" s="427">
        <v>0</v>
      </c>
      <c r="Y47" s="458">
        <f>+Y48</f>
        <v>0</v>
      </c>
      <c r="Z47" s="439">
        <f>+Z48</f>
        <v>0</v>
      </c>
      <c r="AA47" s="1587">
        <v>0</v>
      </c>
      <c r="AB47" s="703">
        <f>+AB48</f>
        <v>0</v>
      </c>
      <c r="AC47" s="476">
        <v>0</v>
      </c>
      <c r="AD47" s="436">
        <v>0</v>
      </c>
      <c r="AE47" s="476">
        <v>0</v>
      </c>
      <c r="AF47" s="476">
        <v>0</v>
      </c>
      <c r="AG47" s="476">
        <v>0</v>
      </c>
      <c r="AH47" s="1047">
        <v>0</v>
      </c>
      <c r="AI47" s="1427"/>
      <c r="AJ47" s="55"/>
      <c r="AK47" s="1580"/>
      <c r="AL47" s="1579"/>
      <c r="AM47" s="1579"/>
      <c r="AN47" s="1579"/>
    </row>
    <row r="48" spans="1:40" s="390" customFormat="1" ht="15" customHeight="1" x14ac:dyDescent="0.2">
      <c r="B48" s="461"/>
      <c r="C48" s="127">
        <v>7</v>
      </c>
      <c r="D48" s="365"/>
      <c r="E48" s="478" t="s">
        <v>765</v>
      </c>
      <c r="F48" s="477" t="s">
        <v>205</v>
      </c>
      <c r="G48" s="584" t="s">
        <v>140</v>
      </c>
      <c r="H48" s="1569">
        <f>+'P02 2023'!I35</f>
        <v>10</v>
      </c>
      <c r="I48" s="467">
        <f>+'P02 2023'!BP45</f>
        <v>696450</v>
      </c>
      <c r="J48" s="467">
        <f ca="1">SUMIF(S$3:$AH40,"ok",S48:AH48)</f>
        <v>696449.25600000005</v>
      </c>
      <c r="K48" s="1564">
        <f t="shared" ca="1" si="6"/>
        <v>0.99999893172517773</v>
      </c>
      <c r="L48" s="1567">
        <f>+'P02 2023'!BQ46</f>
        <v>696449.25600000005</v>
      </c>
      <c r="M48" s="1564">
        <f>IFERROR(+#REF!/I48,0)</f>
        <v>0</v>
      </c>
      <c r="N48" s="1570">
        <f>+I48-L48</f>
        <v>0.74399999994784594</v>
      </c>
      <c r="O48" s="1571">
        <f>+IFERROR(N48/I48,0)</f>
        <v>1.0682748222382739E-6</v>
      </c>
      <c r="P48" s="479">
        <f>+'P02 2022'!BD47</f>
        <v>10.629999999999999</v>
      </c>
      <c r="Q48" s="467">
        <f>SUMIF($S$3:$AH$3,"SI",S48:AH48)</f>
        <v>1018160.0301379999</v>
      </c>
      <c r="R48" s="1059">
        <f>IFERROR(Q48/P48,"0,00%")</f>
        <v>95781.752600000007</v>
      </c>
      <c r="S48" s="1074">
        <f>+'P02 2023'!K36</f>
        <v>696449.25600000005</v>
      </c>
      <c r="T48" s="463">
        <f>+'P02 2022'!H39</f>
        <v>104221.815866</v>
      </c>
      <c r="U48" s="464">
        <v>0</v>
      </c>
      <c r="V48" s="463">
        <f>+'P02 2022'!Q8</f>
        <v>913938.2142719999</v>
      </c>
      <c r="W48" s="464">
        <v>0</v>
      </c>
      <c r="X48" s="465">
        <v>0</v>
      </c>
      <c r="Y48" s="466">
        <v>0</v>
      </c>
      <c r="Z48" s="465">
        <v>0</v>
      </c>
      <c r="AA48" s="662">
        <v>0</v>
      </c>
      <c r="AB48" s="1366">
        <v>0</v>
      </c>
      <c r="AC48" s="1372">
        <v>0</v>
      </c>
      <c r="AD48" s="462">
        <v>0</v>
      </c>
      <c r="AE48" s="922">
        <v>0</v>
      </c>
      <c r="AF48" s="709">
        <v>0</v>
      </c>
      <c r="AG48" s="709">
        <v>0</v>
      </c>
      <c r="AH48" s="1277">
        <v>0</v>
      </c>
      <c r="AI48" s="1427"/>
      <c r="AJ48" s="55"/>
      <c r="AK48" s="1580"/>
      <c r="AL48" s="1579"/>
      <c r="AM48" s="1579"/>
      <c r="AN48" s="1579"/>
    </row>
    <row r="49" spans="1:40" s="390" customFormat="1" ht="15" customHeight="1" thickBot="1" x14ac:dyDescent="0.3">
      <c r="B49" s="480">
        <v>35</v>
      </c>
      <c r="C49" s="137"/>
      <c r="D49" s="138"/>
      <c r="E49" s="481"/>
      <c r="F49" s="481"/>
      <c r="G49" s="585" t="s">
        <v>125</v>
      </c>
      <c r="H49" s="506">
        <v>0</v>
      </c>
      <c r="I49" s="482">
        <v>0</v>
      </c>
      <c r="J49" s="482">
        <f ca="1">SUMIF(S$3:$AH40,"ok",S49:AH49)</f>
        <v>0</v>
      </c>
      <c r="K49" s="1108" t="str">
        <f ca="1">IFERROR(J49/I49,"0,00%")</f>
        <v>0,00%</v>
      </c>
      <c r="L49" s="1283">
        <v>0</v>
      </c>
      <c r="M49" s="1106">
        <f t="shared" si="3"/>
        <v>0</v>
      </c>
      <c r="N49" s="482">
        <f t="shared" si="17"/>
        <v>0</v>
      </c>
      <c r="O49" s="1099">
        <f t="shared" si="4"/>
        <v>0</v>
      </c>
      <c r="P49" s="483">
        <v>0</v>
      </c>
      <c r="Q49" s="484">
        <v>0</v>
      </c>
      <c r="R49" s="1069" t="str">
        <f>IFERROR(Q49/P49,"0,00%")</f>
        <v>0,00%</v>
      </c>
      <c r="S49" s="1075">
        <v>0</v>
      </c>
      <c r="T49" s="1272">
        <v>0</v>
      </c>
      <c r="U49" s="486">
        <v>0</v>
      </c>
      <c r="V49" s="1272">
        <v>0</v>
      </c>
      <c r="W49" s="486">
        <v>0</v>
      </c>
      <c r="X49" s="487">
        <v>0</v>
      </c>
      <c r="Y49" s="1554">
        <v>0</v>
      </c>
      <c r="Z49" s="487">
        <v>0</v>
      </c>
      <c r="AA49" s="1589">
        <v>0</v>
      </c>
      <c r="AB49" s="705">
        <v>0</v>
      </c>
      <c r="AC49" s="1049">
        <v>0</v>
      </c>
      <c r="AD49" s="485">
        <v>0</v>
      </c>
      <c r="AE49" s="1049">
        <v>0</v>
      </c>
      <c r="AF49" s="1049">
        <v>0</v>
      </c>
      <c r="AG49" s="1049">
        <v>0</v>
      </c>
      <c r="AH49" s="1281">
        <v>0</v>
      </c>
      <c r="AI49" s="1427"/>
      <c r="AJ49" s="1580"/>
      <c r="AK49" s="1580"/>
      <c r="AL49" s="1580"/>
      <c r="AM49" s="1580"/>
      <c r="AN49" s="1580"/>
    </row>
    <row r="50" spans="1:40" s="86" customFormat="1" ht="12.75" customHeight="1" x14ac:dyDescent="0.2">
      <c r="B50" s="250"/>
      <c r="C50" s="251"/>
      <c r="D50" s="252"/>
      <c r="E50" s="253"/>
      <c r="F50" s="253"/>
      <c r="G50" s="598"/>
      <c r="H50" s="255"/>
      <c r="I50" s="255"/>
      <c r="J50" s="254"/>
      <c r="K50" s="310"/>
      <c r="L50" s="255"/>
      <c r="M50" s="254"/>
      <c r="N50" s="255"/>
      <c r="O50" s="254"/>
      <c r="P50" s="254"/>
      <c r="Q50" s="254"/>
      <c r="R50" s="1055"/>
      <c r="S50" s="1063"/>
      <c r="T50" s="254"/>
      <c r="U50" s="254"/>
      <c r="V50" s="254"/>
      <c r="W50" s="254"/>
      <c r="X50" s="254"/>
      <c r="Y50" s="254"/>
      <c r="Z50" s="255"/>
      <c r="AA50" s="254"/>
      <c r="AB50" s="254"/>
      <c r="AC50" s="254"/>
      <c r="AD50" s="254"/>
      <c r="AE50" s="254"/>
      <c r="AF50" s="254"/>
      <c r="AG50" s="254"/>
      <c r="AH50" s="78"/>
      <c r="AI50" s="1427"/>
      <c r="AJ50" s="1580"/>
      <c r="AK50" s="1580"/>
      <c r="AL50" s="1580"/>
      <c r="AM50" s="1580"/>
      <c r="AN50" s="1580"/>
    </row>
    <row r="51" spans="1:40" ht="12.75" customHeight="1" x14ac:dyDescent="0.2">
      <c r="B51" s="39"/>
      <c r="C51" s="40"/>
      <c r="D51" s="41"/>
      <c r="E51" s="42"/>
      <c r="F51" s="42"/>
      <c r="G51" s="599"/>
      <c r="H51" s="67"/>
      <c r="I51" s="67"/>
      <c r="J51" s="78"/>
      <c r="K51" s="311"/>
      <c r="L51" s="67"/>
      <c r="M51" s="78"/>
      <c r="N51" s="67"/>
      <c r="O51" s="78"/>
      <c r="P51" s="43"/>
      <c r="Q51" s="43"/>
      <c r="R51" s="1056"/>
      <c r="S51" s="1064"/>
      <c r="T51" s="78"/>
      <c r="U51" s="78"/>
      <c r="V51" s="78"/>
      <c r="W51" s="78"/>
      <c r="X51" s="78"/>
      <c r="Y51" s="78"/>
      <c r="Z51" s="67"/>
      <c r="AA51" s="78"/>
      <c r="AB51" s="78"/>
      <c r="AC51" s="78"/>
      <c r="AD51" s="78"/>
      <c r="AE51" s="78"/>
      <c r="AF51" s="78"/>
      <c r="AG51" s="78"/>
      <c r="AH51" s="78"/>
      <c r="AI51" s="1427"/>
      <c r="AJ51" s="1580"/>
      <c r="AK51" s="1580"/>
      <c r="AL51" s="1580"/>
      <c r="AM51" s="1580"/>
      <c r="AN51" s="1580"/>
    </row>
    <row r="52" spans="1:40" ht="12.75" customHeight="1" x14ac:dyDescent="0.2">
      <c r="B52" s="39"/>
      <c r="C52" s="40"/>
      <c r="D52" s="41"/>
      <c r="E52" s="42"/>
      <c r="F52" s="42"/>
      <c r="G52" s="599"/>
      <c r="H52" s="67"/>
      <c r="I52" s="67"/>
      <c r="J52" s="78"/>
      <c r="K52" s="311"/>
      <c r="L52" s="67"/>
      <c r="M52" s="78"/>
      <c r="N52" s="67"/>
      <c r="O52" s="78"/>
      <c r="P52" s="43"/>
      <c r="Q52" s="43"/>
      <c r="R52" s="1056"/>
      <c r="S52" s="1064"/>
      <c r="T52" s="78"/>
      <c r="U52" s="78"/>
      <c r="V52" s="78"/>
      <c r="W52" s="78"/>
      <c r="X52" s="78"/>
      <c r="Y52" s="78"/>
      <c r="Z52" s="67"/>
      <c r="AA52" s="78"/>
      <c r="AB52" s="78"/>
      <c r="AC52" s="78"/>
      <c r="AD52" s="78"/>
      <c r="AE52" s="78"/>
      <c r="AF52" s="78"/>
      <c r="AG52" s="78"/>
      <c r="AH52" s="78"/>
      <c r="AI52" s="1427"/>
      <c r="AJ52" s="1580"/>
      <c r="AK52" s="1580"/>
      <c r="AL52" s="1580"/>
      <c r="AM52" s="1580"/>
      <c r="AN52" s="1580"/>
    </row>
    <row r="53" spans="1:40" ht="12.75" customHeight="1" x14ac:dyDescent="0.25">
      <c r="B53" s="39"/>
      <c r="C53" s="40"/>
      <c r="D53" s="41"/>
      <c r="E53" s="42"/>
      <c r="F53" s="42"/>
      <c r="G53" s="76"/>
      <c r="H53" s="67"/>
      <c r="I53" s="67"/>
      <c r="J53" s="78"/>
      <c r="K53" s="311"/>
      <c r="L53" s="67"/>
      <c r="M53" s="78"/>
      <c r="N53" s="67"/>
      <c r="O53" s="78"/>
      <c r="P53" s="73"/>
      <c r="Q53" s="43"/>
      <c r="R53" s="1056"/>
      <c r="S53" s="1064"/>
      <c r="T53" s="78"/>
      <c r="U53" s="78"/>
      <c r="V53" s="78"/>
      <c r="W53" s="78"/>
      <c r="X53" s="78"/>
      <c r="Y53" s="78"/>
      <c r="Z53" s="67"/>
      <c r="AA53" s="78"/>
      <c r="AB53" s="78"/>
      <c r="AC53" s="78"/>
      <c r="AD53" s="78"/>
      <c r="AE53" s="78"/>
      <c r="AF53" s="78"/>
      <c r="AG53" s="78"/>
      <c r="AH53" s="78"/>
      <c r="AI53" s="1427"/>
      <c r="AJ53" s="1580"/>
      <c r="AK53" s="1580"/>
      <c r="AL53" s="1580"/>
      <c r="AM53" s="1580"/>
      <c r="AN53" s="1580"/>
    </row>
    <row r="54" spans="1:40" ht="12.75" customHeight="1" x14ac:dyDescent="0.25">
      <c r="B54" s="39"/>
      <c r="C54" s="40"/>
      <c r="D54" s="41"/>
      <c r="E54" s="42"/>
      <c r="F54" s="42"/>
      <c r="G54" s="76"/>
      <c r="H54" s="67"/>
      <c r="I54" s="67"/>
      <c r="J54" s="78"/>
      <c r="K54" s="311"/>
      <c r="L54" s="67"/>
      <c r="M54" s="78"/>
      <c r="N54" s="67"/>
      <c r="O54" s="78"/>
      <c r="P54" s="43"/>
      <c r="Q54" s="43"/>
      <c r="R54" s="1057"/>
      <c r="S54" s="986"/>
      <c r="T54" s="68"/>
      <c r="U54" s="68"/>
      <c r="V54" s="68"/>
      <c r="W54" s="68"/>
      <c r="X54" s="78"/>
      <c r="Y54" s="78"/>
      <c r="Z54" s="67"/>
      <c r="AA54" s="78"/>
      <c r="AB54" s="78"/>
      <c r="AC54" s="78"/>
      <c r="AD54" s="78"/>
      <c r="AE54" s="78"/>
      <c r="AF54" s="78"/>
      <c r="AG54" s="78"/>
      <c r="AH54" s="78"/>
      <c r="AI54" s="1427"/>
      <c r="AJ54" s="1580"/>
      <c r="AK54" s="1580"/>
      <c r="AL54" s="1580"/>
      <c r="AM54" s="1580"/>
      <c r="AN54" s="1580"/>
    </row>
    <row r="55" spans="1:40" ht="12.75" customHeight="1" x14ac:dyDescent="0.2">
      <c r="B55" s="39"/>
      <c r="C55" s="40"/>
      <c r="D55" s="41"/>
      <c r="E55" s="42"/>
      <c r="F55" s="42"/>
      <c r="G55" s="600"/>
      <c r="H55" s="67"/>
      <c r="I55" s="67"/>
      <c r="J55" s="78"/>
      <c r="K55" s="311"/>
      <c r="L55" s="67"/>
      <c r="M55" s="78"/>
      <c r="N55" s="67"/>
      <c r="O55" s="78"/>
      <c r="P55" s="43"/>
      <c r="Q55" s="43"/>
      <c r="R55" s="1056"/>
      <c r="S55" s="1064"/>
      <c r="T55" s="78"/>
      <c r="U55" s="78"/>
      <c r="V55" s="78"/>
      <c r="W55" s="78"/>
      <c r="X55" s="78"/>
      <c r="Y55" s="78"/>
      <c r="Z55" s="67"/>
      <c r="AA55" s="78"/>
      <c r="AB55" s="78"/>
      <c r="AC55" s="78"/>
      <c r="AD55" s="78"/>
      <c r="AE55" s="78"/>
      <c r="AF55" s="78"/>
      <c r="AG55" s="78"/>
      <c r="AH55" s="78"/>
      <c r="AI55" s="1427"/>
      <c r="AJ55" s="55"/>
      <c r="AK55" s="1580"/>
      <c r="AL55" s="1579"/>
      <c r="AM55" s="1579"/>
      <c r="AN55" s="1579"/>
    </row>
    <row r="56" spans="1:40" ht="12.75" customHeight="1" x14ac:dyDescent="0.2">
      <c r="B56" s="39"/>
      <c r="C56" s="40"/>
      <c r="D56" s="41"/>
      <c r="E56" s="42"/>
      <c r="F56" s="42"/>
      <c r="G56" s="600"/>
      <c r="H56" s="67"/>
      <c r="I56" s="67"/>
      <c r="J56" s="78"/>
      <c r="K56" s="311"/>
      <c r="L56" s="67"/>
      <c r="M56" s="78"/>
      <c r="N56" s="67"/>
      <c r="O56" s="78"/>
      <c r="P56" s="43"/>
      <c r="Q56" s="43"/>
      <c r="R56" s="1056"/>
      <c r="S56" s="1064"/>
      <c r="T56" s="78"/>
      <c r="U56" s="78"/>
      <c r="V56" s="78"/>
      <c r="W56" s="78"/>
      <c r="X56" s="78"/>
      <c r="Y56" s="78"/>
      <c r="Z56" s="67"/>
      <c r="AA56" s="78"/>
      <c r="AB56" s="78"/>
      <c r="AC56" s="78"/>
      <c r="AD56" s="78"/>
      <c r="AE56" s="78"/>
      <c r="AF56" s="78"/>
      <c r="AG56" s="78"/>
      <c r="AH56" s="78"/>
      <c r="AI56" s="1427"/>
      <c r="AJ56" s="55"/>
      <c r="AK56" s="1580"/>
      <c r="AL56" s="1579"/>
      <c r="AM56" s="1579"/>
      <c r="AN56" s="1579"/>
    </row>
    <row r="57" spans="1:40" ht="12.75" customHeight="1" x14ac:dyDescent="0.2">
      <c r="A57" s="43"/>
      <c r="B57" s="39"/>
      <c r="C57" s="40"/>
      <c r="D57" s="41"/>
      <c r="E57" s="42"/>
      <c r="F57" s="42"/>
      <c r="G57" s="600"/>
      <c r="H57" s="67"/>
      <c r="I57" s="67"/>
      <c r="J57" s="6"/>
      <c r="K57" s="311"/>
      <c r="L57" s="67"/>
      <c r="M57" s="78"/>
      <c r="N57" s="67"/>
      <c r="O57" s="78"/>
      <c r="P57" s="43"/>
      <c r="Q57" s="43"/>
      <c r="R57" s="1056"/>
      <c r="S57" s="1064"/>
      <c r="T57" s="78"/>
      <c r="U57" s="78"/>
      <c r="V57" s="78"/>
      <c r="W57" s="78"/>
      <c r="X57" s="78"/>
      <c r="Y57" s="78"/>
      <c r="Z57" s="67"/>
      <c r="AA57" s="78"/>
      <c r="AB57" s="78"/>
      <c r="AC57" s="78"/>
      <c r="AD57" s="78"/>
      <c r="AE57" s="78"/>
      <c r="AF57" s="78"/>
      <c r="AG57" s="78"/>
      <c r="AH57" s="78"/>
      <c r="AI57" s="1427"/>
      <c r="AJ57" s="55"/>
      <c r="AK57" s="1580"/>
      <c r="AL57" s="1579"/>
      <c r="AM57" s="1579"/>
      <c r="AN57" s="1579"/>
    </row>
    <row r="58" spans="1:40" ht="12.75" customHeight="1" x14ac:dyDescent="0.2">
      <c r="B58" s="39"/>
      <c r="C58" s="40"/>
      <c r="D58" s="41"/>
      <c r="E58" s="42"/>
      <c r="F58" s="42"/>
      <c r="G58" s="599"/>
      <c r="H58" s="67"/>
      <c r="I58" s="67"/>
      <c r="J58" s="78"/>
      <c r="K58" s="311"/>
      <c r="L58" s="67"/>
      <c r="M58" s="78"/>
      <c r="N58" s="67"/>
      <c r="O58" s="78"/>
      <c r="P58" s="43"/>
      <c r="Q58" s="43"/>
      <c r="R58" s="1056"/>
      <c r="S58" s="1064"/>
      <c r="T58" s="78"/>
      <c r="U58" s="78"/>
      <c r="V58" s="78"/>
      <c r="W58" s="78"/>
      <c r="X58" s="78"/>
      <c r="Y58" s="78"/>
      <c r="Z58" s="67"/>
      <c r="AA58" s="78"/>
      <c r="AB58" s="78"/>
      <c r="AC58" s="78"/>
      <c r="AD58" s="78"/>
      <c r="AE58" s="78"/>
      <c r="AF58" s="78"/>
      <c r="AG58" s="78"/>
      <c r="AH58" s="78"/>
      <c r="AI58" s="1427"/>
      <c r="AJ58" s="55"/>
      <c r="AK58" s="1580"/>
      <c r="AL58" s="1579"/>
      <c r="AM58" s="1579"/>
      <c r="AN58" s="1579"/>
    </row>
    <row r="59" spans="1:40" s="36" customFormat="1" ht="12.75" customHeight="1" x14ac:dyDescent="0.2">
      <c r="B59" s="39"/>
      <c r="C59" s="40"/>
      <c r="D59" s="41"/>
      <c r="E59" s="42"/>
      <c r="F59" s="42"/>
      <c r="G59" s="599"/>
      <c r="H59" s="67"/>
      <c r="I59" s="67"/>
      <c r="J59" s="78"/>
      <c r="K59" s="311"/>
      <c r="L59" s="67"/>
      <c r="M59" s="78"/>
      <c r="N59" s="67"/>
      <c r="O59" s="78"/>
      <c r="P59" s="43"/>
      <c r="Q59" s="43"/>
      <c r="R59" s="1056"/>
      <c r="S59" s="1064"/>
      <c r="T59" s="78"/>
      <c r="U59" s="78"/>
      <c r="V59" s="78"/>
      <c r="W59" s="78"/>
      <c r="X59" s="78"/>
      <c r="Y59" s="78"/>
      <c r="Z59" s="67"/>
      <c r="AA59" s="78"/>
      <c r="AB59" s="78"/>
      <c r="AC59" s="78"/>
      <c r="AD59" s="78"/>
      <c r="AE59" s="78"/>
      <c r="AF59" s="78"/>
      <c r="AG59" s="78"/>
      <c r="AH59" s="78"/>
      <c r="AI59" s="1427"/>
      <c r="AJ59" s="55"/>
      <c r="AK59" s="1580"/>
      <c r="AL59" s="1579"/>
      <c r="AM59" s="1579"/>
      <c r="AN59" s="1579"/>
    </row>
    <row r="60" spans="1:40" s="36" customFormat="1" ht="12.75" customHeight="1" x14ac:dyDescent="0.2">
      <c r="B60" s="39"/>
      <c r="C60" s="40"/>
      <c r="D60" s="41"/>
      <c r="E60" s="42"/>
      <c r="F60" s="42"/>
      <c r="G60" s="599"/>
      <c r="H60" s="67"/>
      <c r="I60" s="67"/>
      <c r="J60" s="78"/>
      <c r="K60" s="311"/>
      <c r="L60" s="67"/>
      <c r="M60" s="78"/>
      <c r="N60" s="67"/>
      <c r="O60" s="78"/>
      <c r="P60" s="43"/>
      <c r="Q60" s="43"/>
      <c r="R60" s="1056"/>
      <c r="S60" s="1064"/>
      <c r="T60" s="78"/>
      <c r="U60" s="78"/>
      <c r="V60" s="78"/>
      <c r="W60" s="78"/>
      <c r="X60" s="78"/>
      <c r="Y60" s="78"/>
      <c r="Z60" s="67"/>
      <c r="AA60" s="78"/>
      <c r="AB60" s="78"/>
      <c r="AC60" s="78"/>
      <c r="AD60" s="78"/>
      <c r="AE60" s="78"/>
      <c r="AF60" s="78"/>
      <c r="AG60" s="78"/>
      <c r="AH60" s="78"/>
      <c r="AI60" s="1427"/>
      <c r="AJ60" s="1594"/>
      <c r="AK60" s="1596"/>
      <c r="AL60" s="1556"/>
      <c r="AM60" s="1556"/>
      <c r="AN60" s="1556"/>
    </row>
    <row r="61" spans="1:40" s="36" customFormat="1" ht="12.75" customHeight="1" x14ac:dyDescent="0.2">
      <c r="B61" s="39"/>
      <c r="C61" s="40"/>
      <c r="D61" s="41"/>
      <c r="E61" s="42"/>
      <c r="F61" s="42"/>
      <c r="G61" s="599"/>
      <c r="H61" s="67"/>
      <c r="I61" s="67"/>
      <c r="J61" s="78"/>
      <c r="K61" s="311"/>
      <c r="L61" s="67"/>
      <c r="M61" s="78"/>
      <c r="N61" s="67"/>
      <c r="O61" s="78"/>
      <c r="P61" s="43"/>
      <c r="Q61" s="43"/>
      <c r="R61" s="1056"/>
      <c r="S61" s="1064"/>
      <c r="T61" s="78"/>
      <c r="U61" s="78"/>
      <c r="V61" s="78"/>
      <c r="W61" s="78"/>
      <c r="X61" s="78"/>
      <c r="Y61" s="78"/>
      <c r="Z61" s="67"/>
      <c r="AA61" s="78"/>
      <c r="AB61" s="78"/>
      <c r="AC61" s="78"/>
      <c r="AD61" s="78"/>
      <c r="AE61" s="78"/>
      <c r="AF61" s="78"/>
      <c r="AG61" s="78"/>
      <c r="AH61" s="78"/>
      <c r="AI61" s="1427"/>
      <c r="AJ61" s="1594"/>
      <c r="AK61" s="1596"/>
      <c r="AL61" s="1556"/>
      <c r="AM61" s="1556"/>
      <c r="AN61" s="1556"/>
    </row>
    <row r="62" spans="1:40" s="36" customFormat="1" ht="12.75" customHeight="1" x14ac:dyDescent="0.2">
      <c r="B62" s="39"/>
      <c r="C62" s="40"/>
      <c r="D62" s="41"/>
      <c r="E62" s="42"/>
      <c r="F62" s="42"/>
      <c r="G62" s="599"/>
      <c r="H62" s="67"/>
      <c r="I62" s="67"/>
      <c r="J62" s="78"/>
      <c r="K62" s="311"/>
      <c r="L62" s="67"/>
      <c r="M62" s="78"/>
      <c r="N62" s="67"/>
      <c r="O62" s="78"/>
      <c r="P62" s="43"/>
      <c r="Q62" s="43"/>
      <c r="R62" s="1056"/>
      <c r="S62" s="1064"/>
      <c r="T62" s="78"/>
      <c r="U62" s="78"/>
      <c r="V62" s="78"/>
      <c r="W62" s="78"/>
      <c r="X62" s="78"/>
      <c r="Y62" s="78"/>
      <c r="Z62" s="67"/>
      <c r="AA62" s="78"/>
      <c r="AB62" s="78"/>
      <c r="AC62" s="78"/>
      <c r="AD62" s="78"/>
      <c r="AE62" s="78"/>
      <c r="AF62" s="78"/>
      <c r="AG62" s="78"/>
      <c r="AH62" s="78"/>
      <c r="AI62" s="1427"/>
      <c r="AJ62" s="1594"/>
      <c r="AK62" s="1596"/>
      <c r="AL62" s="1556"/>
      <c r="AM62" s="1556"/>
      <c r="AN62" s="1556"/>
    </row>
    <row r="63" spans="1:40" s="36" customFormat="1" ht="12.75" customHeight="1" x14ac:dyDescent="0.2">
      <c r="B63" s="39"/>
      <c r="C63" s="40"/>
      <c r="D63" s="41"/>
      <c r="E63" s="42"/>
      <c r="F63" s="42"/>
      <c r="G63" s="599"/>
      <c r="H63" s="67"/>
      <c r="I63" s="67"/>
      <c r="J63" s="78"/>
      <c r="K63" s="311"/>
      <c r="L63" s="67"/>
      <c r="M63" s="78"/>
      <c r="N63" s="67"/>
      <c r="O63" s="78"/>
      <c r="P63" s="43"/>
      <c r="Q63" s="43"/>
      <c r="R63" s="1056"/>
      <c r="S63" s="1064"/>
      <c r="T63" s="78"/>
      <c r="U63" s="78"/>
      <c r="V63" s="78"/>
      <c r="W63" s="78"/>
      <c r="X63" s="78"/>
      <c r="Y63" s="78"/>
      <c r="Z63" s="67"/>
      <c r="AA63" s="78"/>
      <c r="AB63" s="78"/>
      <c r="AC63" s="78"/>
      <c r="AD63" s="78"/>
      <c r="AE63" s="78"/>
      <c r="AF63" s="78"/>
      <c r="AG63" s="78"/>
      <c r="AH63" s="78"/>
      <c r="AI63" s="1427"/>
      <c r="AJ63" s="1594"/>
      <c r="AK63" s="1596"/>
      <c r="AL63" s="1556"/>
      <c r="AM63" s="1556"/>
      <c r="AN63" s="1556"/>
    </row>
    <row r="64" spans="1:40" s="36" customFormat="1" ht="12.75" customHeight="1" x14ac:dyDescent="0.2">
      <c r="B64" s="39"/>
      <c r="C64" s="40"/>
      <c r="D64" s="41"/>
      <c r="E64" s="42"/>
      <c r="F64" s="42"/>
      <c r="G64" s="599"/>
      <c r="H64" s="67"/>
      <c r="I64" s="67"/>
      <c r="J64" s="78"/>
      <c r="K64" s="311"/>
      <c r="L64" s="67"/>
      <c r="M64" s="78"/>
      <c r="N64" s="67"/>
      <c r="O64" s="78"/>
      <c r="P64" s="43"/>
      <c r="Q64" s="43"/>
      <c r="R64" s="1056"/>
      <c r="S64" s="1064"/>
      <c r="T64" s="78"/>
      <c r="U64" s="78"/>
      <c r="V64" s="78"/>
      <c r="W64" s="78"/>
      <c r="X64" s="78"/>
      <c r="Y64" s="78"/>
      <c r="Z64" s="67"/>
      <c r="AA64" s="78"/>
      <c r="AB64" s="78"/>
      <c r="AC64" s="78"/>
      <c r="AD64" s="78"/>
      <c r="AE64" s="78"/>
      <c r="AF64" s="78"/>
      <c r="AG64" s="78"/>
      <c r="AH64" s="78"/>
      <c r="AI64" s="1427"/>
      <c r="AJ64" s="1595"/>
      <c r="AK64" s="1597"/>
      <c r="AL64" s="1556"/>
      <c r="AM64" s="1556"/>
      <c r="AN64" s="1556"/>
    </row>
    <row r="65" spans="2:40" s="36" customFormat="1" ht="12.75" customHeight="1" x14ac:dyDescent="0.2">
      <c r="B65" s="39"/>
      <c r="C65" s="40"/>
      <c r="D65" s="41"/>
      <c r="E65" s="42"/>
      <c r="F65" s="42"/>
      <c r="G65" s="599"/>
      <c r="H65" s="67"/>
      <c r="I65" s="67"/>
      <c r="J65" s="78"/>
      <c r="K65" s="311"/>
      <c r="L65" s="67"/>
      <c r="M65" s="78"/>
      <c r="N65" s="67"/>
      <c r="O65" s="78"/>
      <c r="P65" s="43"/>
      <c r="Q65" s="43"/>
      <c r="R65" s="1056"/>
      <c r="S65" s="1064"/>
      <c r="T65" s="78"/>
      <c r="U65" s="78"/>
      <c r="V65" s="78"/>
      <c r="W65" s="78"/>
      <c r="X65" s="78"/>
      <c r="Y65" s="78"/>
      <c r="Z65" s="67"/>
      <c r="AA65" s="78"/>
      <c r="AB65" s="78"/>
      <c r="AC65" s="78"/>
      <c r="AD65" s="78"/>
      <c r="AE65" s="78"/>
      <c r="AF65" s="78"/>
      <c r="AG65" s="78"/>
      <c r="AH65" s="78"/>
      <c r="AI65" s="1427"/>
      <c r="AJ65" s="1595"/>
      <c r="AK65" s="1597"/>
      <c r="AL65" s="1556"/>
      <c r="AM65" s="1556"/>
      <c r="AN65" s="1556"/>
    </row>
    <row r="66" spans="2:40" s="36" customFormat="1" ht="12.75" customHeight="1" x14ac:dyDescent="0.2">
      <c r="B66" s="39"/>
      <c r="C66" s="40"/>
      <c r="D66" s="41"/>
      <c r="E66" s="42"/>
      <c r="F66" s="42"/>
      <c r="G66" s="599"/>
      <c r="H66" s="67"/>
      <c r="I66" s="67"/>
      <c r="J66" s="78"/>
      <c r="K66" s="311"/>
      <c r="L66" s="67"/>
      <c r="M66" s="78"/>
      <c r="N66" s="67"/>
      <c r="O66" s="78"/>
      <c r="P66" s="43"/>
      <c r="Q66" s="43"/>
      <c r="R66" s="1056"/>
      <c r="S66" s="1064"/>
      <c r="T66" s="78"/>
      <c r="U66" s="78"/>
      <c r="V66" s="78"/>
      <c r="W66" s="78"/>
      <c r="X66" s="78"/>
      <c r="Y66" s="78"/>
      <c r="Z66" s="67"/>
      <c r="AA66" s="78"/>
      <c r="AB66" s="78"/>
      <c r="AC66" s="78"/>
      <c r="AD66" s="78"/>
      <c r="AE66" s="78"/>
      <c r="AF66" s="78"/>
      <c r="AG66" s="78"/>
      <c r="AH66" s="78"/>
      <c r="AI66" s="1427"/>
      <c r="AJ66" s="1595"/>
      <c r="AK66" s="1597"/>
      <c r="AL66" s="1556"/>
      <c r="AM66" s="1556"/>
      <c r="AN66" s="1556"/>
    </row>
    <row r="67" spans="2:40" s="36" customFormat="1" ht="12.75" customHeight="1" x14ac:dyDescent="0.2">
      <c r="B67" s="39"/>
      <c r="C67" s="40"/>
      <c r="D67" s="41"/>
      <c r="E67" s="42"/>
      <c r="F67" s="42"/>
      <c r="G67" s="599"/>
      <c r="H67" s="67"/>
      <c r="I67" s="67"/>
      <c r="J67" s="78"/>
      <c r="K67" s="311"/>
      <c r="L67" s="67"/>
      <c r="M67" s="78"/>
      <c r="N67" s="67"/>
      <c r="O67" s="78"/>
      <c r="P67" s="43"/>
      <c r="Q67" s="43"/>
      <c r="R67" s="1056"/>
      <c r="S67" s="1064"/>
      <c r="T67" s="78"/>
      <c r="U67" s="78"/>
      <c r="V67" s="78"/>
      <c r="W67" s="78"/>
      <c r="X67" s="78"/>
      <c r="Y67" s="78"/>
      <c r="Z67" s="67"/>
      <c r="AA67" s="78"/>
      <c r="AB67" s="78"/>
      <c r="AC67" s="78"/>
      <c r="AD67" s="78"/>
      <c r="AE67" s="78"/>
      <c r="AF67" s="78"/>
      <c r="AG67" s="78"/>
      <c r="AH67" s="78"/>
      <c r="AI67" s="1427"/>
      <c r="AJ67" s="1595"/>
      <c r="AK67" s="1597"/>
      <c r="AL67" s="1556"/>
      <c r="AM67" s="1556"/>
      <c r="AN67" s="1556"/>
    </row>
    <row r="68" spans="2:40" s="36" customFormat="1" ht="12.75" customHeight="1" x14ac:dyDescent="0.2">
      <c r="B68" s="39"/>
      <c r="C68" s="40"/>
      <c r="D68" s="41"/>
      <c r="E68" s="42"/>
      <c r="F68" s="42"/>
      <c r="G68" s="599"/>
      <c r="H68" s="67"/>
      <c r="I68" s="67"/>
      <c r="J68" s="78"/>
      <c r="K68" s="311"/>
      <c r="L68" s="67"/>
      <c r="M68" s="78"/>
      <c r="N68" s="67"/>
      <c r="O68" s="78"/>
      <c r="P68" s="43"/>
      <c r="Q68" s="43"/>
      <c r="R68" s="1056"/>
      <c r="S68" s="1064"/>
      <c r="T68" s="78"/>
      <c r="U68" s="78"/>
      <c r="V68" s="78"/>
      <c r="W68" s="78"/>
      <c r="X68" s="78"/>
      <c r="Y68" s="78"/>
      <c r="Z68" s="67"/>
      <c r="AA68" s="78"/>
      <c r="AB68" s="78"/>
      <c r="AC68" s="78"/>
      <c r="AD68" s="78"/>
      <c r="AE68" s="78"/>
      <c r="AF68" s="78"/>
      <c r="AG68" s="78"/>
      <c r="AH68" s="78"/>
      <c r="AI68" s="1427"/>
      <c r="AJ68" s="1595"/>
      <c r="AK68" s="1597"/>
      <c r="AL68" s="1556"/>
      <c r="AM68" s="1556"/>
      <c r="AN68" s="1556"/>
    </row>
    <row r="69" spans="2:40" s="36" customFormat="1" ht="12.75" customHeight="1" x14ac:dyDescent="0.2">
      <c r="B69" s="39"/>
      <c r="C69" s="40"/>
      <c r="D69" s="41"/>
      <c r="E69" s="42"/>
      <c r="F69" s="42"/>
      <c r="G69" s="599"/>
      <c r="H69" s="67"/>
      <c r="I69" s="67"/>
      <c r="J69" s="78"/>
      <c r="K69" s="311"/>
      <c r="L69" s="67"/>
      <c r="M69" s="78"/>
      <c r="N69" s="67"/>
      <c r="O69" s="78"/>
      <c r="P69" s="43"/>
      <c r="Q69" s="43"/>
      <c r="R69" s="1056"/>
      <c r="S69" s="1064"/>
      <c r="T69" s="78"/>
      <c r="U69" s="78"/>
      <c r="V69" s="78"/>
      <c r="W69" s="78"/>
      <c r="X69" s="78"/>
      <c r="Y69" s="78"/>
      <c r="Z69" s="67"/>
      <c r="AA69" s="78"/>
      <c r="AB69" s="78"/>
      <c r="AC69" s="78"/>
      <c r="AD69" s="78"/>
      <c r="AE69" s="78"/>
      <c r="AF69" s="78"/>
      <c r="AG69" s="78"/>
      <c r="AH69" s="78"/>
      <c r="AI69" s="1425"/>
      <c r="AJ69" s="1595"/>
      <c r="AK69" s="1597"/>
      <c r="AL69" s="1556"/>
      <c r="AM69" s="1556"/>
      <c r="AN69" s="1556"/>
    </row>
  </sheetData>
  <autoFilter ref="A9:AP49"/>
  <mergeCells count="13">
    <mergeCell ref="U7:V7"/>
    <mergeCell ref="U6:V6"/>
    <mergeCell ref="B2:AH2"/>
    <mergeCell ref="B5:AH5"/>
    <mergeCell ref="W7:X7"/>
    <mergeCell ref="W6:X6"/>
    <mergeCell ref="B6:G8"/>
    <mergeCell ref="P6:R6"/>
    <mergeCell ref="H6:O6"/>
    <mergeCell ref="S7:T7"/>
    <mergeCell ref="S6:T6"/>
    <mergeCell ref="Y6:Z6"/>
    <mergeCell ref="Y7:Z7"/>
  </mergeCells>
  <conditionalFormatting sqref="Q26:Q27 H26:J26 J41:J42 H41:I41 H27 H29 H28:J28 H30:J30 H14:J14 L14 AG20:AH20 AC14:AH14 L18 I18:I19 H37:H38 S14:Z14 Y20:AE20">
    <cfRule type="cellIs" dxfId="113" priority="507" operator="equal">
      <formula>"·¡$S$$P$16"</formula>
    </cfRule>
  </conditionalFormatting>
  <conditionalFormatting sqref="I48">
    <cfRule type="cellIs" dxfId="112" priority="490" operator="equal">
      <formula>"·¡$S$$P$16"</formula>
    </cfRule>
  </conditionalFormatting>
  <conditionalFormatting sqref="I48">
    <cfRule type="cellIs" dxfId="111" priority="489" operator="equal">
      <formula>"·¡$S$$P$16"</formula>
    </cfRule>
  </conditionalFormatting>
  <conditionalFormatting sqref="H20:I20 H24">
    <cfRule type="cellIs" dxfId="110" priority="279" operator="equal">
      <formula>"·¡$S$$P$16"</formula>
    </cfRule>
  </conditionalFormatting>
  <conditionalFormatting sqref="I20">
    <cfRule type="cellIs" dxfId="109" priority="278" operator="equal">
      <formula>"·¡$S$$P$16"</formula>
    </cfRule>
  </conditionalFormatting>
  <conditionalFormatting sqref="Q48">
    <cfRule type="cellIs" dxfId="108" priority="205" operator="equal">
      <formula>"·¡$S$$P$16"</formula>
    </cfRule>
  </conditionalFormatting>
  <conditionalFormatting sqref="Q21:Q25">
    <cfRule type="cellIs" dxfId="107" priority="148" operator="equal">
      <formula>"·¡$S$$P$16"</formula>
    </cfRule>
  </conditionalFormatting>
  <conditionalFormatting sqref="Q21:Q25">
    <cfRule type="cellIs" dxfId="106" priority="147" operator="equal">
      <formula>"·¡$S$$P$16"</formula>
    </cfRule>
  </conditionalFormatting>
  <conditionalFormatting sqref="Q41:Q46">
    <cfRule type="cellIs" dxfId="105" priority="134" operator="equal">
      <formula>"·¡$S$$P$16"</formula>
    </cfRule>
  </conditionalFormatting>
  <conditionalFormatting sqref="Q41:Q46">
    <cfRule type="cellIs" dxfId="104" priority="133" operator="equal">
      <formula>"·¡$S$$P$16"</formula>
    </cfRule>
  </conditionalFormatting>
  <conditionalFormatting sqref="Q15:Q19">
    <cfRule type="cellIs" dxfId="103" priority="128" operator="equal">
      <formula>"·¡$S$$P$16"</formula>
    </cfRule>
  </conditionalFormatting>
  <conditionalFormatting sqref="Q15:Q19">
    <cfRule type="cellIs" dxfId="102" priority="127" operator="equal">
      <formula>"·¡$S$$P$16"</formula>
    </cfRule>
  </conditionalFormatting>
  <conditionalFormatting sqref="J48">
    <cfRule type="cellIs" dxfId="101" priority="125" operator="equal">
      <formula>"·¡$S$$P$16"</formula>
    </cfRule>
  </conditionalFormatting>
  <conditionalFormatting sqref="J21:J23 J25">
    <cfRule type="cellIs" dxfId="100" priority="124" operator="equal">
      <formula>"·¡$S$$P$16"</formula>
    </cfRule>
  </conditionalFormatting>
  <conditionalFormatting sqref="J15:J16">
    <cfRule type="cellIs" dxfId="99" priority="122" operator="equal">
      <formula>"·¡$S$$P$16"</formula>
    </cfRule>
  </conditionalFormatting>
  <conditionalFormatting sqref="J57">
    <cfRule type="cellIs" dxfId="98" priority="84" operator="equal">
      <formula>"·¡$S$$P$16"</formula>
    </cfRule>
  </conditionalFormatting>
  <conditionalFormatting sqref="P15:P19">
    <cfRule type="cellIs" dxfId="97" priority="83" operator="equal">
      <formula>"·¡$S$$P$16"</formula>
    </cfRule>
  </conditionalFormatting>
  <conditionalFormatting sqref="P15:P19">
    <cfRule type="cellIs" dxfId="96" priority="82" operator="equal">
      <formula>"·¡$S$$P$16"</formula>
    </cfRule>
  </conditionalFormatting>
  <conditionalFormatting sqref="J20">
    <cfRule type="cellIs" dxfId="95" priority="73" operator="equal">
      <formula>"·¡$S$$P$16"</formula>
    </cfRule>
  </conditionalFormatting>
  <conditionalFormatting sqref="J20">
    <cfRule type="cellIs" dxfId="94" priority="72" operator="equal">
      <formula>"·¡$S$$P$16"</formula>
    </cfRule>
  </conditionalFormatting>
  <conditionalFormatting sqref="L20">
    <cfRule type="cellIs" dxfId="93" priority="78" operator="equal">
      <formula>"·¡$S$$P$16"</formula>
    </cfRule>
  </conditionalFormatting>
  <conditionalFormatting sqref="L20">
    <cfRule type="cellIs" dxfId="92" priority="77" operator="equal">
      <formula>"·¡$S$$P$16"</formula>
    </cfRule>
  </conditionalFormatting>
  <conditionalFormatting sqref="L30">
    <cfRule type="cellIs" dxfId="91" priority="76" operator="equal">
      <formula>"·¡$S$$P$16"</formula>
    </cfRule>
  </conditionalFormatting>
  <conditionalFormatting sqref="J17:J19">
    <cfRule type="cellIs" dxfId="90" priority="75" operator="equal">
      <formula>"·¡$S$$P$16"</formula>
    </cfRule>
  </conditionalFormatting>
  <conditionalFormatting sqref="J17:J19">
    <cfRule type="cellIs" dxfId="89" priority="74" operator="equal">
      <formula>"·¡$S$$P$16"</formula>
    </cfRule>
  </conditionalFormatting>
  <conditionalFormatting sqref="J24">
    <cfRule type="cellIs" dxfId="88" priority="69" operator="equal">
      <formula>"·¡$S$$P$16"</formula>
    </cfRule>
  </conditionalFormatting>
  <conditionalFormatting sqref="J24">
    <cfRule type="cellIs" dxfId="87" priority="68" operator="equal">
      <formula>"·¡$S$$P$16"</formula>
    </cfRule>
  </conditionalFormatting>
  <conditionalFormatting sqref="N38">
    <cfRule type="cellIs" dxfId="86" priority="57" operator="equal">
      <formula>"·¡$S$$P$16"</formula>
    </cfRule>
  </conditionalFormatting>
  <conditionalFormatting sqref="N38">
    <cfRule type="cellIs" dxfId="85" priority="56" operator="equal">
      <formula>"·¡$S$$P$16"</formula>
    </cfRule>
  </conditionalFormatting>
  <conditionalFormatting sqref="J32:J36">
    <cfRule type="cellIs" dxfId="84" priority="65" operator="equal">
      <formula>"·¡$S$$P$16"</formula>
    </cfRule>
  </conditionalFormatting>
  <conditionalFormatting sqref="J32:J36">
    <cfRule type="cellIs" dxfId="83" priority="64" operator="equal">
      <formula>"·¡$S$$P$16"</formula>
    </cfRule>
  </conditionalFormatting>
  <conditionalFormatting sqref="I38:J38">
    <cfRule type="cellIs" dxfId="82" priority="63" operator="equal">
      <formula>"·¡$S$$P$16"</formula>
    </cfRule>
  </conditionalFormatting>
  <conditionalFormatting sqref="I38:J38">
    <cfRule type="cellIs" dxfId="81" priority="62" operator="equal">
      <formula>"·¡$S$$P$16"</formula>
    </cfRule>
  </conditionalFormatting>
  <conditionalFormatting sqref="L38">
    <cfRule type="cellIs" dxfId="80" priority="61" operator="equal">
      <formula>"·¡$S$$P$16"</formula>
    </cfRule>
  </conditionalFormatting>
  <conditionalFormatting sqref="L38">
    <cfRule type="cellIs" dxfId="79" priority="60" operator="equal">
      <formula>"·¡$S$$P$16"</formula>
    </cfRule>
  </conditionalFormatting>
  <conditionalFormatting sqref="L33:L34 L36">
    <cfRule type="cellIs" dxfId="78" priority="59" operator="equal">
      <formula>"·¡$S$$P$16"</formula>
    </cfRule>
  </conditionalFormatting>
  <conditionalFormatting sqref="L33:L34 L36">
    <cfRule type="cellIs" dxfId="77" priority="58" operator="equal">
      <formula>"·¡$S$$P$16"</formula>
    </cfRule>
  </conditionalFormatting>
  <conditionalFormatting sqref="I37:J37">
    <cfRule type="cellIs" dxfId="76" priority="55" operator="equal">
      <formula>"·¡$S$$P$16"</formula>
    </cfRule>
  </conditionalFormatting>
  <conditionalFormatting sqref="L37 N37">
    <cfRule type="cellIs" dxfId="75" priority="54" operator="equal">
      <formula>"·¡$S$$P$16"</formula>
    </cfRule>
  </conditionalFormatting>
  <conditionalFormatting sqref="J29">
    <cfRule type="cellIs" dxfId="74" priority="52" operator="equal">
      <formula>"·¡$S$$P$16"</formula>
    </cfRule>
  </conditionalFormatting>
  <conditionalFormatting sqref="L29">
    <cfRule type="cellIs" dxfId="73" priority="51" operator="equal">
      <formula>"·¡$S$$P$16"</formula>
    </cfRule>
  </conditionalFormatting>
  <conditionalFormatting sqref="L29">
    <cfRule type="cellIs" dxfId="72" priority="50" operator="equal">
      <formula>"·¡$S$$P$16"</formula>
    </cfRule>
  </conditionalFormatting>
  <conditionalFormatting sqref="L28">
    <cfRule type="cellIs" dxfId="71" priority="49" operator="equal">
      <formula>"·¡$S$$P$16"</formula>
    </cfRule>
  </conditionalFormatting>
  <conditionalFormatting sqref="P27">
    <cfRule type="cellIs" dxfId="70" priority="28" operator="equal">
      <formula>"·¡$S$$P$16"</formula>
    </cfRule>
  </conditionalFormatting>
  <conditionalFormatting sqref="P27">
    <cfRule type="cellIs" dxfId="69" priority="27" operator="equal">
      <formula>"·¡$S$$P$16"</formula>
    </cfRule>
  </conditionalFormatting>
  <conditionalFormatting sqref="P21:P25">
    <cfRule type="cellIs" dxfId="68" priority="30" operator="equal">
      <formula>"·¡$S$$P$16"</formula>
    </cfRule>
  </conditionalFormatting>
  <conditionalFormatting sqref="P21:P25">
    <cfRule type="cellIs" dxfId="67" priority="29" operator="equal">
      <formula>"·¡$S$$P$16"</formula>
    </cfRule>
  </conditionalFormatting>
  <conditionalFormatting sqref="P29">
    <cfRule type="cellIs" dxfId="66" priority="26" operator="equal">
      <formula>"·¡$S$$P$16"</formula>
    </cfRule>
  </conditionalFormatting>
  <conditionalFormatting sqref="P29">
    <cfRule type="cellIs" dxfId="65" priority="25" operator="equal">
      <formula>"·¡$S$$P$16"</formula>
    </cfRule>
  </conditionalFormatting>
  <conditionalFormatting sqref="P31:P36">
    <cfRule type="cellIs" dxfId="64" priority="24" operator="equal">
      <formula>"·¡$S$$P$16"</formula>
    </cfRule>
  </conditionalFormatting>
  <conditionalFormatting sqref="P31:P36">
    <cfRule type="cellIs" dxfId="63" priority="23" operator="equal">
      <formula>"·¡$S$$P$16"</formula>
    </cfRule>
  </conditionalFormatting>
  <conditionalFormatting sqref="N15:N19">
    <cfRule type="cellIs" dxfId="62" priority="22" operator="equal">
      <formula>"·¡$S$$P$16"</formula>
    </cfRule>
  </conditionalFormatting>
  <conditionalFormatting sqref="N15:N19">
    <cfRule type="cellIs" dxfId="61" priority="21" operator="equal">
      <formula>"·¡$S$$P$16"</formula>
    </cfRule>
  </conditionalFormatting>
  <conditionalFormatting sqref="I29">
    <cfRule type="cellIs" dxfId="60" priority="18" operator="equal">
      <formula>"·¡$S$$P$16"</formula>
    </cfRule>
  </conditionalFormatting>
  <conditionalFormatting sqref="I29">
    <cfRule type="cellIs" dxfId="59" priority="17" operator="equal">
      <formula>"·¡$S$$P$16"</formula>
    </cfRule>
  </conditionalFormatting>
  <conditionalFormatting sqref="L26 N26:N27">
    <cfRule type="cellIs" dxfId="58" priority="14" operator="equal">
      <formula>"·¡$S$$P$16"</formula>
    </cfRule>
  </conditionalFormatting>
  <conditionalFormatting sqref="N28">
    <cfRule type="cellIs" dxfId="57" priority="13" operator="equal">
      <formula>"·¡$S$$P$16"</formula>
    </cfRule>
  </conditionalFormatting>
  <conditionalFormatting sqref="N29">
    <cfRule type="cellIs" dxfId="56" priority="12" operator="equal">
      <formula>"·¡$S$$P$16"</formula>
    </cfRule>
  </conditionalFormatting>
  <conditionalFormatting sqref="N29">
    <cfRule type="cellIs" dxfId="55" priority="11" operator="equal">
      <formula>"·¡$S$$P$16"</formula>
    </cfRule>
  </conditionalFormatting>
  <conditionalFormatting sqref="N42:N46">
    <cfRule type="cellIs" dxfId="54" priority="6" operator="equal">
      <formula>"·¡$S$$P$16"</formula>
    </cfRule>
  </conditionalFormatting>
  <conditionalFormatting sqref="N42:N46">
    <cfRule type="cellIs" dxfId="53" priority="5" operator="equal">
      <formula>"·¡$S$$P$16"</formula>
    </cfRule>
  </conditionalFormatting>
  <printOptions horizontalCentered="1"/>
  <pageMargins left="1" right="1" top="1" bottom="1" header="0.5" footer="0.5"/>
  <pageSetup paperSize="5" scale="48" fitToHeight="0" orientation="landscape" r:id="rId1"/>
  <ignoredErrors>
    <ignoredError sqref="K9 AD39 AB43 AD42 AD43 AB48 AC45 AC42 AC43 AD30 AC40 AD31 AC39 AC41 AB45 AB41 AB39 AB42 AB46 AB44 AB49 AB40 AD40 AD41 AB47 AB36 AB37 AB38 AB35 AB30 AB31 AB32 AB33 AB34 AB29 AB28 AB27 AC33 AC30 AC31 AC48 AC46 AC44 AC49 AC47 AC36 AC37 AC38 AC35 AC32 AC34 AC29 AC28 AC27 AD45 AD33 AD48 AD46 AD44 AD49 AD47 AD36 AD37 AD38 AD35 AD32 AD34 AD29 AD28 AD27 K14 K13 L13 T13 K11:X12 L17 U13 M13:R13 L14:R14 W13:X13 K10:R10 L16 T14:W14 U15:W16 L18 N18 U10 W10 L15 N15 N16 N17 P18 P15 P16 P17 U17:X18" formula="1"/>
    <ignoredError sqref="AA9:AA10 AA14:AA26 AE13 AE21:AE26 AG9:AG10 AG13 AG19:AG26 AG15:AG17 AG28:AG49 AH15:AH19 H26 H21:H25 H20 H42 H43:H49 H27:H28 H15:H19 J16:J19 S9:T9 AE9:AE10 V9 J20 H30:H41 Z9 Y9 J42 J43:J49 J27:J36 J21:J25 J40 I26:J26 I22 I44 I42 I48 I46 I34 I33 I32 I31 I36 I29 I27 I35 I21 I25 I24 I23 I45 I43 J41" unlockedFormula="1"/>
    <ignoredError sqref="AG27 AG14 AA13 AA27:AA49 AE40 AE38 AE37 AE47 AE41 AE31 AE30 AE43 AE42 AE39 AE49 AE46 AE36 AE28 AE33 AE35 AE29 AE32 AE34 AE45 AE48 AE44 AE27 AE14:AE19 AH21:AH23 AH25 AH33 AH35 AH38 AH27:AH29 AH31 AH40 AH42:AH49 AE20 Y14:Y18 Y11:Y12 Y13:Z13 Y10:Z10 Z11:Z12 Z14:Z18 O17 O16 O15 O18 M17 M16 M15 V10 S10:T10 Q15:R18 M18 S13:S18 X14:X16 X10 V13 T15:T18 K17 K16 K15 K20 K18:K19 K49 K48 K46 K45 K44 K43 K42 K47 K36 K35 K33 K32 K31 K39:K41 K29 K30 K27:K28 K34 K37:K38 K24 K21 K22 K23 K26 K25 J38 I47 I49 I28 I39:J39 I38 I40 I41 I30 I37:J37 N48 N34 N29 N31 N32 N33 N35 N36 N42 N43 N44 N45 N46 N41 N27 N25 N23 N22 N21 N24 N20 N19 U19:X19 U44 N40 N39 N30 P28 P30 P46 P45 P42 P33 P29 P27 P32 P31 P36 P35 P34 P44 P43 P48 W45 W41 W44 W48:X48 U48 W42 W43 W34 W35 W27 W28 W29 W30 W39 W36 W32 W31 W33 W38 W46 W47:X47 W37 W40 U41 U45 U49:X49 U42 U43 P21 N26 P19 P20 L20 P24 P22:P23 P25 L19 U26 U21:U24 U34 U35 U27 U28 U29 U30 U39 U36 U32 U31 U33 T38:U38 U46 U47 T37:U37 U40 U20:X20 U25 W21:W25 W26 X37 X46 X38 X31 X32 X36 X39 X29 X30 X27 X34 X35 L26 L47 L38 L37 L39:L40 L30 L28 L49 L42 L48 L46 L33 L31 L32 L36 L29 L27 L35 L34 L21 L25 L24 L23 L45 L43 L44 L41 L22 X26 V27:V48 X28 X33 X45 X41 X40 X42 X43 X44 O48 O43 O44 O34 O35 O36 O31 O32 O27 O29 O33 O42 O45 O46 N38:P38 N37:P37 N47:O47 O41:Q41 O40:P40 O39:Q39 O30 N28:O28 Q47 P47 Q40 Q28 Q37 Q26 T26 T40 T41 T27:T36 T39 T46 T42:T43 T44 T49 T47 T48 T45 T19 T20:T24 N49:Q49 M19 M20 M24 M21 M22 M23 M26 M25 M27 M28 M30 M39 M40 M41 M47 M37 M38 M46 M45 M44 M43 M42 M36 M35 M33 M32 M31 M29 M34 M48 M49 Z28 V21:V26 X21:X25 T25 S19:S49 R26 Q30:R30 Q38:R38 R37 R28 R39:R41 R47 Q29:R29 R49 Q27:R27 Q31:R36 Q42:R46 Q48:R48 O25 O26:P26 O22:O23 O24 O20 O19 Q19:R19 Q21:R23 Q25:R25 Q24:R24 Q20:R20 O21 Z19:Z27 Z29 Y29 Y28 Y19:Y27" formula="1" unlockedFormula="1"/>
    <ignoredError sqref="Y37 Y35 Y31 Y32 Y33 Y34 Y36 Y40 Y41 Y30 Y42 Y43 Y38 Y39 Y48:Y49 Y44:Y46 Y47 Z44:Z46 Z48:Z49 Z38 Z42 Z41 Z40 Z39 Z34 Z33 Z32 Z31 Z30 Z35 Z37 Z36 Z47 Z43" formula="1"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DFDD"/>
  </sheetPr>
  <dimension ref="A1:JS61"/>
  <sheetViews>
    <sheetView topLeftCell="BE1" workbookViewId="0">
      <selection activeCell="BS6" sqref="BS6"/>
    </sheetView>
  </sheetViews>
  <sheetFormatPr baseColWidth="10" defaultRowHeight="15" x14ac:dyDescent="0.25"/>
  <cols>
    <col min="1" max="1" width="15" bestFit="1" customWidth="1"/>
    <col min="2" max="2" width="47.140625" bestFit="1" customWidth="1"/>
    <col min="3" max="3" width="13.28515625" bestFit="1" customWidth="1"/>
    <col min="4" max="4" width="45.42578125" bestFit="1" customWidth="1"/>
    <col min="5" max="5" width="19.140625" hidden="1" customWidth="1"/>
    <col min="6" max="6" width="19.140625" style="75" customWidth="1"/>
    <col min="7" max="7" width="9" hidden="1" customWidth="1"/>
    <col min="8" max="8" width="13.85546875" style="75" customWidth="1"/>
    <col min="12" max="12" width="15.140625" customWidth="1"/>
    <col min="16" max="16" width="0" hidden="1" customWidth="1"/>
    <col min="21" max="21" width="14.140625" customWidth="1"/>
    <col min="24" max="24" width="48.42578125" customWidth="1"/>
    <col min="25" max="25" width="0" hidden="1" customWidth="1"/>
    <col min="33" max="33" width="28" customWidth="1"/>
    <col min="34" max="34" width="14" hidden="1" customWidth="1"/>
    <col min="35" max="35" width="11.42578125" style="75"/>
    <col min="41" max="41" width="29.85546875" customWidth="1"/>
    <col min="43" max="43" width="21" customWidth="1"/>
    <col min="44" max="44" width="17.7109375" customWidth="1"/>
    <col min="50" max="50" width="46.42578125" customWidth="1"/>
    <col min="52" max="52" width="41.42578125" customWidth="1"/>
    <col min="53" max="53" width="10.140625" hidden="1" customWidth="1"/>
    <col min="54" max="54" width="5.85546875" style="75" hidden="1" customWidth="1"/>
    <col min="55" max="55" width="5.85546875" hidden="1" customWidth="1"/>
    <col min="56" max="57" width="10.140625" style="75" customWidth="1"/>
    <col min="58" max="58" width="10.140625" customWidth="1"/>
    <col min="59" max="61" width="11.42578125" style="75"/>
    <col min="67" max="67" width="14" customWidth="1"/>
    <col min="77" max="77" width="14.140625" hidden="1" customWidth="1"/>
    <col min="78" max="79" width="12.28515625" hidden="1" customWidth="1"/>
    <col min="91" max="93" width="0" hidden="1" customWidth="1"/>
    <col min="102" max="102" width="16.5703125" customWidth="1"/>
    <col min="103" max="103" width="22.5703125" customWidth="1"/>
    <col min="104" max="106" width="0" hidden="1" customWidth="1"/>
    <col min="115" max="115" width="20.7109375" customWidth="1"/>
    <col min="117" max="119" width="0" hidden="1" customWidth="1"/>
    <col min="123" max="123" width="6.42578125" customWidth="1"/>
    <col min="124" max="124" width="3.140625" customWidth="1"/>
    <col min="128" max="128" width="13.85546875" customWidth="1"/>
    <col min="129" max="129" width="33.140625" style="70" customWidth="1"/>
    <col min="130" max="133" width="19" hidden="1" customWidth="1"/>
    <col min="134" max="134" width="19" customWidth="1"/>
    <col min="144" max="146" width="0" hidden="1" customWidth="1"/>
    <col min="147" max="149" width="11.42578125" style="169"/>
    <col min="150" max="150" width="6.140625" customWidth="1"/>
    <col min="151" max="151" width="6" customWidth="1"/>
    <col min="153" max="153" width="14.5703125" bestFit="1" customWidth="1"/>
    <col min="154" max="154" width="39.85546875" bestFit="1" customWidth="1"/>
    <col min="155" max="155" width="12.28515625" bestFit="1" customWidth="1"/>
    <col min="156" max="156" width="35.28515625" customWidth="1"/>
    <col min="157" max="157" width="56.140625" hidden="1" customWidth="1"/>
    <col min="158" max="159" width="0" hidden="1" customWidth="1"/>
    <col min="160" max="160" width="1.42578125" hidden="1" customWidth="1"/>
    <col min="164" max="164" width="7" customWidth="1"/>
    <col min="165" max="165" width="8.5703125" customWidth="1"/>
    <col min="172" max="174" width="0" hidden="1" customWidth="1"/>
    <col min="185" max="186" width="0" hidden="1" customWidth="1"/>
    <col min="188" max="188" width="7.42578125" customWidth="1"/>
    <col min="189" max="189" width="4.85546875" customWidth="1"/>
    <col min="191" max="191" width="8.140625" style="70" customWidth="1"/>
    <col min="192" max="192" width="21" style="70" customWidth="1"/>
    <col min="193" max="193" width="11.42578125" style="677"/>
    <col min="194" max="194" width="34.5703125" style="70" customWidth="1"/>
    <col min="195" max="198" width="0" style="70" hidden="1" customWidth="1"/>
    <col min="199" max="201" width="11.42578125" style="677"/>
    <col min="207" max="207" width="18.140625" customWidth="1"/>
    <col min="210" max="211" width="0" hidden="1" customWidth="1"/>
    <col min="216" max="218" width="11.42578125" style="777"/>
    <col min="219" max="219" width="30.42578125" style="778" customWidth="1"/>
    <col min="220" max="220" width="34.5703125" style="778" hidden="1" customWidth="1"/>
    <col min="221" max="223" width="0" style="76" hidden="1" customWidth="1"/>
    <col min="224" max="226" width="11.42578125" style="773"/>
    <col min="236" max="238" width="0" hidden="1" customWidth="1"/>
    <col min="243" max="247" width="11.42578125" style="76"/>
    <col min="248" max="250" width="0" style="76" hidden="1" customWidth="1"/>
    <col min="251" max="253" width="11.42578125" style="773"/>
    <col min="258" max="258" width="27" customWidth="1"/>
    <col min="260" max="260" width="35.140625" customWidth="1"/>
    <col min="261" max="262" width="0" hidden="1" customWidth="1"/>
    <col min="263" max="263" width="11.42578125" style="838"/>
    <col min="270" max="270" width="37" customWidth="1"/>
    <col min="271" max="271" width="38" hidden="1" customWidth="1"/>
    <col min="272" max="274" width="0" hidden="1" customWidth="1"/>
  </cols>
  <sheetData>
    <row r="1" spans="1:279" ht="15.75" thickBot="1" x14ac:dyDescent="0.3">
      <c r="A1" s="1756">
        <v>44562</v>
      </c>
      <c r="B1" s="1729"/>
      <c r="C1" s="1729"/>
      <c r="D1" s="1729"/>
      <c r="E1" s="1729"/>
      <c r="F1" s="1729"/>
      <c r="G1" s="1729"/>
      <c r="H1" s="124"/>
      <c r="L1" s="1729" t="s">
        <v>694</v>
      </c>
      <c r="M1" s="1729"/>
      <c r="N1" s="1729"/>
      <c r="O1" s="1729"/>
      <c r="P1" s="1729"/>
      <c r="Q1" s="1729"/>
      <c r="R1">
        <v>1000</v>
      </c>
      <c r="S1">
        <v>1.0629999999999999</v>
      </c>
      <c r="U1" s="1729" t="s">
        <v>764</v>
      </c>
      <c r="V1" s="1729"/>
      <c r="W1" s="1729"/>
      <c r="X1" s="1729"/>
      <c r="Y1" s="1729"/>
      <c r="Z1" s="1729"/>
      <c r="AA1" s="75">
        <v>1000</v>
      </c>
      <c r="AB1" s="75">
        <v>1.0629999999999999</v>
      </c>
      <c r="AD1" s="1729" t="s">
        <v>785</v>
      </c>
      <c r="AE1" s="1729"/>
      <c r="AF1" s="1729"/>
      <c r="AG1" s="1729"/>
      <c r="AH1" s="1729"/>
      <c r="AI1" s="1729"/>
      <c r="AJ1" s="1729"/>
      <c r="AN1" s="1729" t="s">
        <v>692</v>
      </c>
      <c r="AO1" s="1729"/>
      <c r="AP1" s="1729"/>
      <c r="AQ1" s="1729"/>
      <c r="AR1" s="1729"/>
      <c r="AW1" s="1729" t="s">
        <v>695</v>
      </c>
      <c r="AX1" s="1729"/>
      <c r="AY1" s="1729"/>
      <c r="AZ1" s="1729"/>
      <c r="BA1" s="1729"/>
      <c r="BB1" s="1729"/>
      <c r="BC1" s="1729"/>
      <c r="BD1" s="1729"/>
      <c r="BE1" s="1729"/>
      <c r="BF1" s="1729"/>
      <c r="BG1" s="213"/>
      <c r="BH1" s="213"/>
      <c r="BI1" s="213"/>
      <c r="BK1" s="1729" t="s">
        <v>530</v>
      </c>
      <c r="BL1" s="1729"/>
      <c r="BM1" s="1729"/>
      <c r="BN1" s="1729"/>
      <c r="BO1" s="1729"/>
      <c r="BP1" s="75"/>
      <c r="BT1" s="1729" t="s">
        <v>820</v>
      </c>
      <c r="BU1" s="1729"/>
      <c r="BV1" s="1729"/>
      <c r="BW1" s="1729"/>
      <c r="BX1" s="1729"/>
      <c r="BY1" s="1729"/>
      <c r="BZ1" s="1729"/>
      <c r="CA1" s="1729"/>
      <c r="CB1" s="1729"/>
      <c r="CC1" s="1729"/>
      <c r="CD1" s="1729"/>
      <c r="CE1" s="1729"/>
      <c r="CF1" s="1729"/>
      <c r="CH1" s="1729" t="s">
        <v>696</v>
      </c>
      <c r="CI1" s="1729"/>
      <c r="CJ1" s="1729"/>
      <c r="CK1" s="1729"/>
      <c r="CL1" s="1729"/>
      <c r="CM1" s="1729"/>
      <c r="CN1" s="1729"/>
      <c r="CO1" s="1729"/>
      <c r="CP1" s="1729"/>
      <c r="CQ1" s="1729"/>
      <c r="CR1" s="1729"/>
      <c r="CS1" s="1729"/>
      <c r="CT1" s="1729"/>
      <c r="CV1" s="1729" t="s">
        <v>845</v>
      </c>
      <c r="CW1" s="1729"/>
      <c r="CX1" s="1729"/>
      <c r="CY1" s="1729"/>
      <c r="CZ1" s="1729"/>
      <c r="DA1" s="1729"/>
      <c r="DB1" s="1729"/>
      <c r="DC1" s="1729"/>
      <c r="DD1" s="1729"/>
      <c r="DE1" s="1729"/>
      <c r="DI1" s="1729" t="s">
        <v>849</v>
      </c>
      <c r="DJ1" s="1729"/>
      <c r="DK1" s="1729"/>
      <c r="DL1" s="1729"/>
      <c r="DM1" s="1729"/>
      <c r="DN1" s="1729"/>
      <c r="DO1" s="1729"/>
      <c r="DP1" s="1729"/>
      <c r="DQ1" s="1729"/>
      <c r="DR1" s="1729"/>
      <c r="DV1" s="1729" t="s">
        <v>699</v>
      </c>
      <c r="DW1" s="1729"/>
      <c r="DX1" s="1729"/>
      <c r="DY1" s="1729"/>
      <c r="DZ1" s="1729"/>
      <c r="EA1" s="1729"/>
      <c r="EB1" s="1729"/>
      <c r="EC1" s="1729"/>
      <c r="ED1" s="1729"/>
      <c r="EE1" s="1729"/>
      <c r="EF1" s="1729"/>
      <c r="EI1" s="1729" t="s">
        <v>865</v>
      </c>
      <c r="EJ1" s="1729"/>
      <c r="EK1" s="1729"/>
      <c r="EL1" s="1729"/>
      <c r="EM1" s="1729"/>
      <c r="EN1" s="1729"/>
      <c r="EO1" s="1729"/>
      <c r="EP1" s="1729"/>
      <c r="EQ1" s="1729"/>
      <c r="ER1" s="1729"/>
      <c r="ES1" s="1729"/>
      <c r="ET1" s="1729"/>
      <c r="EU1" s="1729"/>
      <c r="EW1" s="1729" t="s">
        <v>10</v>
      </c>
      <c r="EX1" s="1729"/>
      <c r="EY1" s="1729"/>
      <c r="EZ1" s="1729"/>
      <c r="FA1" s="1729"/>
      <c r="FB1" s="1729"/>
      <c r="FC1" s="1729"/>
      <c r="FD1" s="1729"/>
      <c r="FE1" s="1729"/>
      <c r="FF1" s="1729"/>
      <c r="FG1" s="1729"/>
      <c r="FK1" s="1729" t="s">
        <v>871</v>
      </c>
      <c r="FL1" s="1729"/>
      <c r="FM1" s="1729"/>
      <c r="FN1" s="1729"/>
      <c r="FO1" s="1729"/>
      <c r="FP1" s="1729"/>
      <c r="FQ1" s="1729"/>
      <c r="FR1" s="1729"/>
      <c r="FS1" s="1729"/>
      <c r="FT1" s="1729"/>
      <c r="FU1" s="1729"/>
      <c r="FY1" s="1757" t="s">
        <v>11</v>
      </c>
      <c r="FZ1" s="1757"/>
      <c r="GA1" s="1757"/>
      <c r="GB1" s="1757"/>
      <c r="GC1" s="1757"/>
      <c r="GD1" s="1757"/>
      <c r="GE1" s="1757"/>
      <c r="GI1" s="1758" t="s">
        <v>876</v>
      </c>
      <c r="GJ1" s="1759"/>
      <c r="GK1" s="1759"/>
      <c r="GL1" s="1759"/>
      <c r="GM1" s="1759"/>
      <c r="GN1" s="1759"/>
      <c r="GO1" s="1759"/>
      <c r="GP1" s="1759"/>
      <c r="GQ1" s="1759"/>
      <c r="GR1" s="1759"/>
      <c r="GS1" s="1759"/>
      <c r="GT1" s="1760"/>
      <c r="GX1" s="1729" t="s">
        <v>12</v>
      </c>
      <c r="GY1" s="1729"/>
      <c r="GZ1" s="1729"/>
      <c r="HA1" s="1729"/>
      <c r="HB1" s="1729"/>
      <c r="HC1" s="1729"/>
      <c r="HD1" s="1729"/>
      <c r="HE1" s="1729"/>
      <c r="HF1" s="1729"/>
      <c r="HH1" s="1756" t="s">
        <v>898</v>
      </c>
      <c r="HI1" s="1729"/>
      <c r="HJ1" s="1729"/>
      <c r="HK1" s="1729"/>
      <c r="HL1" s="1729"/>
      <c r="HM1" s="1729"/>
      <c r="HN1" s="1729"/>
      <c r="HO1" s="1729"/>
      <c r="HP1" s="1729"/>
      <c r="HQ1" s="1729"/>
      <c r="HR1" s="1729"/>
      <c r="HW1" s="1729" t="s">
        <v>13</v>
      </c>
      <c r="HX1" s="1729"/>
      <c r="HY1" s="1729"/>
      <c r="HZ1" s="1729"/>
      <c r="IA1" s="1729"/>
      <c r="IB1" s="1729"/>
      <c r="IC1" s="1729"/>
      <c r="ID1" s="1729"/>
      <c r="IE1" s="1729"/>
      <c r="IF1" s="1729"/>
      <c r="IG1" s="1729"/>
      <c r="II1" s="1729" t="s">
        <v>909</v>
      </c>
      <c r="IJ1" s="1729"/>
      <c r="IK1" s="1729"/>
      <c r="IL1" s="1729"/>
      <c r="IM1" s="1729"/>
      <c r="IN1" s="1729"/>
      <c r="IO1" s="1729"/>
      <c r="IP1" s="1729"/>
      <c r="IQ1" s="1729"/>
      <c r="IR1" s="1729"/>
      <c r="IS1" s="1729"/>
      <c r="IW1" s="1729" t="s">
        <v>14</v>
      </c>
      <c r="IX1" s="1729"/>
      <c r="IY1" s="1729"/>
      <c r="IZ1" s="1729"/>
      <c r="JA1" s="1729"/>
      <c r="JB1" s="1729"/>
      <c r="JC1" s="1729"/>
      <c r="JG1" s="1729" t="s">
        <v>918</v>
      </c>
      <c r="JH1" s="1729"/>
      <c r="JI1" s="1729"/>
      <c r="JJ1" s="1729"/>
      <c r="JK1" s="1729"/>
      <c r="JL1" s="1729"/>
      <c r="JM1" s="1729"/>
      <c r="JN1" s="1729"/>
      <c r="JO1" s="1729"/>
      <c r="JP1" s="1729"/>
      <c r="JQ1" s="1729"/>
    </row>
    <row r="2" spans="1:279" ht="29.25" customHeight="1" x14ac:dyDescent="0.25">
      <c r="A2" s="98" t="s">
        <v>425</v>
      </c>
      <c r="B2" s="98" t="s">
        <v>453</v>
      </c>
      <c r="C2" s="98" t="s">
        <v>426</v>
      </c>
      <c r="D2" s="98" t="s">
        <v>535</v>
      </c>
      <c r="E2" s="98" t="s">
        <v>467</v>
      </c>
      <c r="F2" s="249" t="s">
        <v>467</v>
      </c>
      <c r="G2" s="249" t="s">
        <v>429</v>
      </c>
      <c r="H2" s="249" t="s">
        <v>429</v>
      </c>
      <c r="I2">
        <v>1000</v>
      </c>
      <c r="J2">
        <v>1.0629999999999999</v>
      </c>
      <c r="L2" s="100" t="s">
        <v>425</v>
      </c>
      <c r="M2" s="100" t="s">
        <v>453</v>
      </c>
      <c r="N2" s="100" t="s">
        <v>426</v>
      </c>
      <c r="O2" s="100" t="s">
        <v>535</v>
      </c>
      <c r="P2" s="100" t="s">
        <v>429</v>
      </c>
      <c r="Q2" s="100" t="s">
        <v>429</v>
      </c>
      <c r="U2" s="100" t="s">
        <v>425</v>
      </c>
      <c r="V2" s="100" t="s">
        <v>453</v>
      </c>
      <c r="W2" s="100" t="s">
        <v>426</v>
      </c>
      <c r="X2" s="100" t="s">
        <v>535</v>
      </c>
      <c r="Y2" s="100" t="s">
        <v>467</v>
      </c>
      <c r="Z2" s="100" t="s">
        <v>467</v>
      </c>
      <c r="AD2" s="100" t="s">
        <v>425</v>
      </c>
      <c r="AE2" s="100" t="s">
        <v>453</v>
      </c>
      <c r="AF2" s="100" t="s">
        <v>426</v>
      </c>
      <c r="AG2" s="100" t="s">
        <v>535</v>
      </c>
      <c r="AH2" s="100" t="s">
        <v>467</v>
      </c>
      <c r="AI2" s="100" t="s">
        <v>467</v>
      </c>
      <c r="AJ2" s="100" t="s">
        <v>429</v>
      </c>
      <c r="AK2">
        <v>1000</v>
      </c>
      <c r="AL2">
        <v>1.0629999999999999</v>
      </c>
      <c r="AN2" s="100" t="s">
        <v>425</v>
      </c>
      <c r="AO2" s="100" t="s">
        <v>453</v>
      </c>
      <c r="AP2" s="100" t="s">
        <v>426</v>
      </c>
      <c r="AQ2" s="100" t="s">
        <v>535</v>
      </c>
      <c r="AR2" s="100" t="s">
        <v>429</v>
      </c>
      <c r="AS2" s="100" t="s">
        <v>429</v>
      </c>
      <c r="AT2">
        <v>1000</v>
      </c>
      <c r="AU2">
        <v>1.0629999999999999</v>
      </c>
      <c r="AW2" s="1419" t="s">
        <v>425</v>
      </c>
      <c r="AX2" s="1419" t="s">
        <v>453</v>
      </c>
      <c r="AY2" s="1419" t="s">
        <v>426</v>
      </c>
      <c r="AZ2" s="1419" t="s">
        <v>535</v>
      </c>
      <c r="BA2" s="1419" t="s">
        <v>467</v>
      </c>
      <c r="BB2" s="1419" t="s">
        <v>487</v>
      </c>
      <c r="BC2" s="1419" t="s">
        <v>429</v>
      </c>
      <c r="BD2" s="1419" t="s">
        <v>802</v>
      </c>
      <c r="BE2" s="1419" t="s">
        <v>800</v>
      </c>
      <c r="BF2" s="1419" t="s">
        <v>801</v>
      </c>
      <c r="BG2" s="101">
        <v>1000</v>
      </c>
      <c r="BH2" s="101">
        <v>1.0629999999999999</v>
      </c>
      <c r="BI2" s="101"/>
      <c r="BK2" s="1419" t="s">
        <v>425</v>
      </c>
      <c r="BL2" s="1419" t="s">
        <v>453</v>
      </c>
      <c r="BM2" s="1419" t="s">
        <v>426</v>
      </c>
      <c r="BN2" s="1419" t="s">
        <v>535</v>
      </c>
      <c r="BO2" s="1419" t="s">
        <v>429</v>
      </c>
      <c r="BP2" s="1419" t="s">
        <v>429</v>
      </c>
      <c r="BQ2">
        <v>1000</v>
      </c>
      <c r="BR2">
        <v>1.0629999999999999</v>
      </c>
      <c r="BT2" s="303" t="s">
        <v>425</v>
      </c>
      <c r="BU2" s="303" t="s">
        <v>453</v>
      </c>
      <c r="BV2" s="303" t="s">
        <v>426</v>
      </c>
      <c r="BW2" s="303" t="s">
        <v>535</v>
      </c>
      <c r="BX2" s="303" t="s">
        <v>427</v>
      </c>
      <c r="BY2" s="303" t="s">
        <v>467</v>
      </c>
      <c r="BZ2" s="303" t="s">
        <v>487</v>
      </c>
      <c r="CA2" s="303" t="s">
        <v>429</v>
      </c>
      <c r="CB2" s="303" t="s">
        <v>821</v>
      </c>
      <c r="CC2" s="303" t="s">
        <v>822</v>
      </c>
      <c r="CD2" s="303" t="s">
        <v>823</v>
      </c>
      <c r="CE2">
        <v>1000</v>
      </c>
      <c r="CF2">
        <v>1</v>
      </c>
      <c r="CH2" s="303" t="s">
        <v>425</v>
      </c>
      <c r="CI2" s="303" t="s">
        <v>453</v>
      </c>
      <c r="CJ2" s="303" t="s">
        <v>426</v>
      </c>
      <c r="CK2" s="303" t="s">
        <v>535</v>
      </c>
      <c r="CL2" s="303" t="s">
        <v>427</v>
      </c>
      <c r="CM2" s="303" t="s">
        <v>467</v>
      </c>
      <c r="CN2" s="303" t="s">
        <v>487</v>
      </c>
      <c r="CO2" s="303" t="s">
        <v>429</v>
      </c>
      <c r="CP2" s="303" t="s">
        <v>821</v>
      </c>
      <c r="CQ2" s="303" t="s">
        <v>822</v>
      </c>
      <c r="CR2" s="303" t="s">
        <v>823</v>
      </c>
      <c r="CS2">
        <v>1000</v>
      </c>
      <c r="CT2">
        <v>1</v>
      </c>
      <c r="CV2" s="303" t="s">
        <v>425</v>
      </c>
      <c r="CW2" s="303" t="s">
        <v>453</v>
      </c>
      <c r="CX2" s="303" t="s">
        <v>426</v>
      </c>
      <c r="CY2" s="303" t="s">
        <v>535</v>
      </c>
      <c r="CZ2" s="303" t="s">
        <v>467</v>
      </c>
      <c r="DA2" s="303" t="s">
        <v>487</v>
      </c>
      <c r="DB2" s="303" t="s">
        <v>429</v>
      </c>
      <c r="DC2" s="303" t="s">
        <v>467</v>
      </c>
      <c r="DD2" s="303" t="s">
        <v>487</v>
      </c>
      <c r="DE2" s="303" t="s">
        <v>429</v>
      </c>
      <c r="DF2">
        <v>1000</v>
      </c>
      <c r="DG2">
        <v>1</v>
      </c>
      <c r="DI2" s="303" t="s">
        <v>425</v>
      </c>
      <c r="DJ2" s="303" t="s">
        <v>453</v>
      </c>
      <c r="DK2" s="303" t="s">
        <v>426</v>
      </c>
      <c r="DL2" s="303" t="s">
        <v>535</v>
      </c>
      <c r="DM2" s="303" t="s">
        <v>467</v>
      </c>
      <c r="DN2" s="303" t="s">
        <v>487</v>
      </c>
      <c r="DO2" s="303" t="s">
        <v>429</v>
      </c>
      <c r="DP2" s="303" t="s">
        <v>467</v>
      </c>
      <c r="DQ2" s="303" t="s">
        <v>487</v>
      </c>
      <c r="DR2" s="303" t="s">
        <v>429</v>
      </c>
      <c r="DS2">
        <v>1000</v>
      </c>
      <c r="DT2">
        <v>1</v>
      </c>
      <c r="DV2" s="303" t="s">
        <v>425</v>
      </c>
      <c r="DW2" s="303" t="s">
        <v>453</v>
      </c>
      <c r="DX2" s="303" t="s">
        <v>426</v>
      </c>
      <c r="DY2" s="303" t="s">
        <v>535</v>
      </c>
      <c r="DZ2" s="303" t="s">
        <v>427</v>
      </c>
      <c r="EA2" s="303" t="s">
        <v>467</v>
      </c>
      <c r="EB2" s="303" t="s">
        <v>487</v>
      </c>
      <c r="EC2" s="303" t="s">
        <v>429</v>
      </c>
      <c r="ED2" s="303" t="s">
        <v>858</v>
      </c>
      <c r="EE2" s="303" t="s">
        <v>862</v>
      </c>
      <c r="EF2" s="303" t="s">
        <v>863</v>
      </c>
      <c r="EG2">
        <v>1000</v>
      </c>
      <c r="EH2">
        <v>1</v>
      </c>
      <c r="EI2" s="303" t="s">
        <v>425</v>
      </c>
      <c r="EJ2" s="303" t="s">
        <v>453</v>
      </c>
      <c r="EK2" s="303" t="s">
        <v>426</v>
      </c>
      <c r="EL2" s="303" t="s">
        <v>535</v>
      </c>
      <c r="EM2" s="303" t="s">
        <v>427</v>
      </c>
      <c r="EN2" s="303" t="s">
        <v>467</v>
      </c>
      <c r="EO2" s="303" t="s">
        <v>487</v>
      </c>
      <c r="EP2" s="303" t="s">
        <v>429</v>
      </c>
      <c r="EQ2" s="303" t="s">
        <v>858</v>
      </c>
      <c r="ER2" s="303" t="s">
        <v>862</v>
      </c>
      <c r="ES2" s="303" t="s">
        <v>863</v>
      </c>
      <c r="ET2">
        <v>1000</v>
      </c>
      <c r="EU2">
        <v>1</v>
      </c>
      <c r="EW2" s="303" t="s">
        <v>425</v>
      </c>
      <c r="EX2" s="303" t="s">
        <v>453</v>
      </c>
      <c r="EY2" s="303" t="s">
        <v>426</v>
      </c>
      <c r="EZ2" s="303" t="s">
        <v>535</v>
      </c>
      <c r="FA2" s="303" t="s">
        <v>427</v>
      </c>
      <c r="FB2" s="303" t="s">
        <v>467</v>
      </c>
      <c r="FC2" s="303" t="s">
        <v>487</v>
      </c>
      <c r="FD2" s="303" t="s">
        <v>429</v>
      </c>
      <c r="FE2" s="303" t="s">
        <v>467</v>
      </c>
      <c r="FF2" s="303" t="s">
        <v>487</v>
      </c>
      <c r="FG2" s="303" t="s">
        <v>429</v>
      </c>
      <c r="FH2">
        <v>1000</v>
      </c>
      <c r="FI2">
        <v>1</v>
      </c>
      <c r="FK2" s="303" t="s">
        <v>425</v>
      </c>
      <c r="FL2" s="303" t="s">
        <v>453</v>
      </c>
      <c r="FM2" s="303" t="s">
        <v>426</v>
      </c>
      <c r="FN2" s="303" t="s">
        <v>535</v>
      </c>
      <c r="FO2" s="303" t="s">
        <v>427</v>
      </c>
      <c r="FP2" s="303" t="s">
        <v>467</v>
      </c>
      <c r="FQ2" s="303" t="s">
        <v>487</v>
      </c>
      <c r="FR2" s="303" t="s">
        <v>429</v>
      </c>
      <c r="FS2" s="303" t="s">
        <v>467</v>
      </c>
      <c r="FT2" s="303" t="s">
        <v>487</v>
      </c>
      <c r="FU2" s="303" t="s">
        <v>429</v>
      </c>
      <c r="FV2">
        <v>1000</v>
      </c>
      <c r="FW2">
        <v>1</v>
      </c>
      <c r="FY2" s="303" t="s">
        <v>425</v>
      </c>
      <c r="FZ2" s="303" t="s">
        <v>453</v>
      </c>
      <c r="GA2" s="303" t="s">
        <v>426</v>
      </c>
      <c r="GB2" s="303" t="s">
        <v>535</v>
      </c>
      <c r="GC2" s="303" t="s">
        <v>427</v>
      </c>
      <c r="GD2" s="303" t="s">
        <v>429</v>
      </c>
      <c r="GE2" s="303" t="s">
        <v>429</v>
      </c>
      <c r="GF2">
        <v>1000</v>
      </c>
      <c r="GG2" s="75">
        <v>1</v>
      </c>
      <c r="GH2" s="75"/>
      <c r="GI2" s="303" t="s">
        <v>425</v>
      </c>
      <c r="GJ2" s="303" t="s">
        <v>453</v>
      </c>
      <c r="GK2" s="303" t="s">
        <v>426</v>
      </c>
      <c r="GL2" s="303" t="s">
        <v>535</v>
      </c>
      <c r="GM2" s="303" t="s">
        <v>427</v>
      </c>
      <c r="GN2" s="303" t="s">
        <v>467</v>
      </c>
      <c r="GO2" s="303" t="s">
        <v>487</v>
      </c>
      <c r="GP2" s="303" t="s">
        <v>429</v>
      </c>
      <c r="GQ2" s="303" t="s">
        <v>467</v>
      </c>
      <c r="GR2" s="303" t="s">
        <v>487</v>
      </c>
      <c r="GS2" s="303" t="s">
        <v>429</v>
      </c>
      <c r="GT2">
        <v>1000</v>
      </c>
      <c r="GU2">
        <v>1</v>
      </c>
      <c r="GX2" s="303" t="s">
        <v>425</v>
      </c>
      <c r="GY2" s="303" t="s">
        <v>453</v>
      </c>
      <c r="GZ2" s="303" t="s">
        <v>426</v>
      </c>
      <c r="HA2" s="303" t="s">
        <v>535</v>
      </c>
      <c r="HB2" s="303" t="s">
        <v>427</v>
      </c>
      <c r="HC2" s="303" t="s">
        <v>429</v>
      </c>
      <c r="HD2" s="303" t="s">
        <v>429</v>
      </c>
      <c r="HE2" s="81">
        <v>1000</v>
      </c>
      <c r="HF2" s="81">
        <v>1</v>
      </c>
      <c r="HH2" s="303" t="s">
        <v>425</v>
      </c>
      <c r="HI2" s="303" t="s">
        <v>453</v>
      </c>
      <c r="HJ2" s="303" t="s">
        <v>426</v>
      </c>
      <c r="HK2" s="303" t="s">
        <v>535</v>
      </c>
      <c r="HL2" s="303" t="s">
        <v>427</v>
      </c>
      <c r="HM2" s="303" t="s">
        <v>467</v>
      </c>
      <c r="HN2" s="303" t="s">
        <v>487</v>
      </c>
      <c r="HO2" s="303" t="s">
        <v>429</v>
      </c>
      <c r="HP2" s="303" t="s">
        <v>467</v>
      </c>
      <c r="HQ2" s="303" t="s">
        <v>487</v>
      </c>
      <c r="HR2" s="303" t="s">
        <v>429</v>
      </c>
      <c r="HS2">
        <v>1000</v>
      </c>
      <c r="HT2">
        <v>1</v>
      </c>
      <c r="HW2" s="303" t="s">
        <v>425</v>
      </c>
      <c r="HX2" s="303" t="s">
        <v>453</v>
      </c>
      <c r="HY2" s="303" t="s">
        <v>426</v>
      </c>
      <c r="HZ2" s="303" t="s">
        <v>535</v>
      </c>
      <c r="IA2" s="303" t="s">
        <v>427</v>
      </c>
      <c r="IB2" s="303" t="s">
        <v>467</v>
      </c>
      <c r="IC2" s="303" t="s">
        <v>487</v>
      </c>
      <c r="ID2" s="303" t="s">
        <v>429</v>
      </c>
      <c r="IE2" s="303" t="s">
        <v>429</v>
      </c>
      <c r="IF2">
        <v>1000</v>
      </c>
      <c r="IG2">
        <v>1</v>
      </c>
      <c r="II2" s="303" t="s">
        <v>425</v>
      </c>
      <c r="IJ2" s="303" t="s">
        <v>453</v>
      </c>
      <c r="IK2" s="303" t="s">
        <v>426</v>
      </c>
      <c r="IL2" s="303" t="s">
        <v>535</v>
      </c>
      <c r="IM2" s="303" t="s">
        <v>427</v>
      </c>
      <c r="IN2" s="303" t="s">
        <v>467</v>
      </c>
      <c r="IO2" s="303" t="s">
        <v>487</v>
      </c>
      <c r="IP2" s="303" t="s">
        <v>429</v>
      </c>
      <c r="IQ2" s="303" t="s">
        <v>467</v>
      </c>
      <c r="IR2" s="303" t="s">
        <v>487</v>
      </c>
      <c r="IS2" s="303" t="s">
        <v>429</v>
      </c>
      <c r="IT2">
        <v>1000</v>
      </c>
      <c r="IU2">
        <v>1</v>
      </c>
      <c r="IW2" s="303" t="s">
        <v>425</v>
      </c>
      <c r="IX2" s="303" t="s">
        <v>453</v>
      </c>
      <c r="IY2" s="303" t="s">
        <v>426</v>
      </c>
      <c r="IZ2" s="303" t="s">
        <v>535</v>
      </c>
      <c r="JA2" s="303" t="s">
        <v>427</v>
      </c>
      <c r="JB2" s="303" t="s">
        <v>429</v>
      </c>
      <c r="JC2" s="303" t="s">
        <v>429</v>
      </c>
      <c r="JD2">
        <v>1000</v>
      </c>
      <c r="JE2">
        <v>1</v>
      </c>
      <c r="JG2" s="303" t="s">
        <v>425</v>
      </c>
      <c r="JH2" s="303" t="s">
        <v>453</v>
      </c>
      <c r="JI2" s="303" t="s">
        <v>426</v>
      </c>
      <c r="JJ2" s="303" t="s">
        <v>535</v>
      </c>
      <c r="JK2" s="303" t="s">
        <v>427</v>
      </c>
      <c r="JL2" s="303" t="s">
        <v>467</v>
      </c>
      <c r="JM2" s="303" t="s">
        <v>487</v>
      </c>
      <c r="JN2" s="303" t="s">
        <v>429</v>
      </c>
      <c r="JO2" s="303" t="s">
        <v>467</v>
      </c>
      <c r="JP2" s="303" t="s">
        <v>487</v>
      </c>
      <c r="JQ2" s="303" t="s">
        <v>429</v>
      </c>
      <c r="JR2">
        <v>1000</v>
      </c>
      <c r="JS2">
        <v>1</v>
      </c>
    </row>
    <row r="3" spans="1:279" ht="15" customHeight="1" x14ac:dyDescent="0.25">
      <c r="A3" s="92" t="s">
        <v>430</v>
      </c>
      <c r="B3" s="92" t="s">
        <v>454</v>
      </c>
      <c r="C3" s="92" t="s">
        <v>457</v>
      </c>
      <c r="D3" s="92" t="s">
        <v>274</v>
      </c>
      <c r="E3" s="93">
        <v>1090011249</v>
      </c>
      <c r="F3" s="93">
        <f>+E3/$I$2*$J$2</f>
        <v>1158681.957687</v>
      </c>
      <c r="G3" s="93">
        <v>0</v>
      </c>
      <c r="H3" s="93">
        <f>+G3/$I$2*$J$2</f>
        <v>0</v>
      </c>
      <c r="L3" s="90" t="s">
        <v>434</v>
      </c>
      <c r="M3" s="90" t="s">
        <v>307</v>
      </c>
      <c r="N3" s="90" t="s">
        <v>437</v>
      </c>
      <c r="O3" s="90" t="s">
        <v>329</v>
      </c>
      <c r="P3" s="91">
        <v>9692789</v>
      </c>
      <c r="Q3" s="91">
        <f t="shared" ref="Q3:Q8" si="0">+P3/$R$1*$S$1</f>
        <v>10303.434707</v>
      </c>
      <c r="U3" s="90" t="s">
        <v>430</v>
      </c>
      <c r="V3" s="90" t="s">
        <v>454</v>
      </c>
      <c r="W3" s="90" t="s">
        <v>457</v>
      </c>
      <c r="X3" s="1420" t="s">
        <v>274</v>
      </c>
      <c r="Y3" s="91">
        <v>1090011249</v>
      </c>
      <c r="Z3" s="91">
        <f>+Y3/$AA$1*$AB$1</f>
        <v>1158681.957687</v>
      </c>
      <c r="AD3" s="90" t="s">
        <v>430</v>
      </c>
      <c r="AE3" s="90" t="s">
        <v>454</v>
      </c>
      <c r="AF3" s="90" t="s">
        <v>457</v>
      </c>
      <c r="AG3" s="90" t="s">
        <v>274</v>
      </c>
      <c r="AH3" s="91">
        <v>1090011249</v>
      </c>
      <c r="AI3" s="91">
        <f>+AH3/$AK$2*$AL$2</f>
        <v>1158681.957687</v>
      </c>
      <c r="AJ3" s="91">
        <v>0</v>
      </c>
      <c r="AM3" s="169"/>
      <c r="AN3" s="90" t="s">
        <v>430</v>
      </c>
      <c r="AO3" s="90" t="s">
        <v>454</v>
      </c>
      <c r="AP3" s="90" t="s">
        <v>457</v>
      </c>
      <c r="AQ3" s="90" t="s">
        <v>274</v>
      </c>
      <c r="AR3" s="91">
        <v>47700000</v>
      </c>
      <c r="AS3" s="91">
        <f>+AR3/$AT$2*$AU$2</f>
        <v>50705.1</v>
      </c>
      <c r="AW3" s="90" t="s">
        <v>430</v>
      </c>
      <c r="AX3" s="90" t="s">
        <v>454</v>
      </c>
      <c r="AY3" s="90">
        <v>42426001</v>
      </c>
      <c r="AZ3" s="90" t="s">
        <v>274</v>
      </c>
      <c r="BA3" s="91">
        <v>1090011249</v>
      </c>
      <c r="BB3" s="91">
        <v>0</v>
      </c>
      <c r="BC3" s="91">
        <v>0</v>
      </c>
      <c r="BD3" s="91">
        <f t="shared" ref="BD3:BD34" si="1">+BA3/$BG$2*$BH$2</f>
        <v>1158681.957687</v>
      </c>
      <c r="BE3" s="91">
        <f t="shared" ref="BE3:BE34" si="2">+BB3/$BG$2*$BH$2</f>
        <v>0</v>
      </c>
      <c r="BF3" s="91">
        <f t="shared" ref="BF3:BF34" si="3">+BC3/$BG$2*$BH$2</f>
        <v>0</v>
      </c>
      <c r="BK3" s="90" t="s">
        <v>438</v>
      </c>
      <c r="BL3" s="90" t="s">
        <v>335</v>
      </c>
      <c r="BM3" s="90" t="s">
        <v>629</v>
      </c>
      <c r="BN3" s="90" t="s">
        <v>630</v>
      </c>
      <c r="BO3" s="91">
        <v>750000</v>
      </c>
      <c r="BP3" s="91">
        <f t="shared" ref="BP3:BP8" si="4">+BO3/$BQ$2*$BR$2</f>
        <v>797.25</v>
      </c>
      <c r="BT3" s="87" t="s">
        <v>430</v>
      </c>
      <c r="BU3" s="87" t="s">
        <v>454</v>
      </c>
      <c r="BV3" s="87" t="s">
        <v>457</v>
      </c>
      <c r="BW3" s="87" t="s">
        <v>274</v>
      </c>
      <c r="BX3" s="304" t="s">
        <v>433</v>
      </c>
      <c r="BY3" s="88">
        <v>1090011249</v>
      </c>
      <c r="BZ3" s="88">
        <v>0</v>
      </c>
      <c r="CA3" s="88">
        <v>0</v>
      </c>
      <c r="CB3" s="169">
        <f>+BY3/$CE$2*$CF$2</f>
        <v>1090011.2490000001</v>
      </c>
      <c r="CC3" s="169">
        <f>+BZ3/$CE$2*$CF$2</f>
        <v>0</v>
      </c>
      <c r="CD3" s="169">
        <f>+CA3/$CE$2*$CF$2</f>
        <v>0</v>
      </c>
      <c r="CH3" s="87" t="s">
        <v>430</v>
      </c>
      <c r="CI3" s="87" t="s">
        <v>454</v>
      </c>
      <c r="CJ3" s="87">
        <v>42426001</v>
      </c>
      <c r="CK3" s="87" t="s">
        <v>274</v>
      </c>
      <c r="CL3" s="304" t="s">
        <v>433</v>
      </c>
      <c r="CM3" s="88">
        <v>0</v>
      </c>
      <c r="CN3" s="88">
        <v>0</v>
      </c>
      <c r="CO3" s="88">
        <v>18000000</v>
      </c>
      <c r="CP3" s="309">
        <f>+CM3/$CS$2*$CT$2</f>
        <v>0</v>
      </c>
      <c r="CQ3" s="309">
        <f>+CN3/$CS$2*$CT$2</f>
        <v>0</v>
      </c>
      <c r="CR3" s="309">
        <f>+CO3/$CS$2*$CT$2</f>
        <v>18000</v>
      </c>
      <c r="CV3" s="89" t="s">
        <v>430</v>
      </c>
      <c r="CW3" s="89" t="s">
        <v>454</v>
      </c>
      <c r="CX3" s="89" t="s">
        <v>431</v>
      </c>
      <c r="CY3" s="89" t="s">
        <v>432</v>
      </c>
      <c r="CZ3" s="89">
        <v>49731249</v>
      </c>
      <c r="DA3" s="89">
        <v>0</v>
      </c>
      <c r="DB3" s="89">
        <v>0</v>
      </c>
      <c r="DC3" s="590">
        <f>+CZ3/$DF$2*$DG$2</f>
        <v>49731.249000000003</v>
      </c>
      <c r="DD3" s="590">
        <f>+DA3/$DF$2*$DG$2</f>
        <v>0</v>
      </c>
      <c r="DE3" s="590">
        <f>+DB3/$DF$2*$DG$2</f>
        <v>0</v>
      </c>
      <c r="DI3" s="316" t="s">
        <v>430</v>
      </c>
      <c r="DJ3" s="316" t="s">
        <v>454</v>
      </c>
      <c r="DK3" s="316" t="s">
        <v>457</v>
      </c>
      <c r="DL3" s="316" t="s">
        <v>274</v>
      </c>
      <c r="DM3" s="80">
        <v>1087480000</v>
      </c>
      <c r="DN3" s="80">
        <v>0</v>
      </c>
      <c r="DO3" s="80">
        <v>0</v>
      </c>
      <c r="DP3" s="593">
        <f>+DM3/$DS$2*$DT$2</f>
        <v>1087480</v>
      </c>
      <c r="DQ3" s="593">
        <f>+DN3/$DS$2*$DT$2</f>
        <v>0</v>
      </c>
      <c r="DR3" s="593">
        <f>+DO3/$DS$2*$DT$2</f>
        <v>0</v>
      </c>
      <c r="DV3" s="565" t="s">
        <v>430</v>
      </c>
      <c r="DW3" s="565" t="s">
        <v>454</v>
      </c>
      <c r="DX3" s="565" t="s">
        <v>457</v>
      </c>
      <c r="DY3" s="567" t="s">
        <v>274</v>
      </c>
      <c r="DZ3" s="594" t="s">
        <v>433</v>
      </c>
      <c r="EA3" s="566">
        <v>14607000</v>
      </c>
      <c r="EB3" s="566">
        <v>0</v>
      </c>
      <c r="EC3" s="566">
        <v>0</v>
      </c>
      <c r="ED3" s="566">
        <f>+EA3/$EG$2*$EH$2</f>
        <v>14607</v>
      </c>
      <c r="EE3" s="566">
        <f>+EB3/$EG$2*$EH$2</f>
        <v>0</v>
      </c>
      <c r="EF3" s="566">
        <f>+EC3/$EG$2*$EH$2</f>
        <v>0</v>
      </c>
      <c r="EG3" s="96"/>
      <c r="EI3" s="89" t="s">
        <v>430</v>
      </c>
      <c r="EJ3" s="89" t="s">
        <v>454</v>
      </c>
      <c r="EK3" s="89" t="s">
        <v>457</v>
      </c>
      <c r="EL3" s="89" t="s">
        <v>274</v>
      </c>
      <c r="EM3" s="89" t="s">
        <v>433</v>
      </c>
      <c r="EN3" s="89">
        <v>1102087000</v>
      </c>
      <c r="EO3" s="89">
        <v>0</v>
      </c>
      <c r="EP3" s="89">
        <v>0</v>
      </c>
      <c r="EQ3" s="590">
        <f>+EN3/$ET$2*$EU$2</f>
        <v>1102087</v>
      </c>
      <c r="ER3" s="590">
        <f>+EO3/$ET$2*$EU$2</f>
        <v>0</v>
      </c>
      <c r="ES3" s="590">
        <f>+EP3/$ET$2*$EU$2</f>
        <v>0</v>
      </c>
      <c r="EW3" s="565" t="s">
        <v>430</v>
      </c>
      <c r="EX3" s="565" t="s">
        <v>454</v>
      </c>
      <c r="EY3" s="565" t="s">
        <v>447</v>
      </c>
      <c r="EZ3" s="565" t="s">
        <v>447</v>
      </c>
      <c r="FA3" s="594" t="s">
        <v>433</v>
      </c>
      <c r="FB3" s="566">
        <v>0</v>
      </c>
      <c r="FC3" s="566">
        <v>0</v>
      </c>
      <c r="FD3" s="566">
        <v>0</v>
      </c>
      <c r="FE3" s="566">
        <f>+FB3/$FH$2*$FI$2</f>
        <v>0</v>
      </c>
      <c r="FF3" s="566">
        <f>+FC3/$FH$2*$FI$2</f>
        <v>0</v>
      </c>
      <c r="FG3" s="566">
        <f>+FD3/$FH$2*$FI$2</f>
        <v>0</v>
      </c>
      <c r="FK3" s="89" t="s">
        <v>430</v>
      </c>
      <c r="FL3" s="89" t="s">
        <v>454</v>
      </c>
      <c r="FM3" s="89" t="s">
        <v>457</v>
      </c>
      <c r="FN3" s="89" t="s">
        <v>274</v>
      </c>
      <c r="FO3" s="366" t="s">
        <v>433</v>
      </c>
      <c r="FP3" s="80">
        <v>1102087000</v>
      </c>
      <c r="FQ3" s="80">
        <v>0</v>
      </c>
      <c r="FR3" s="80">
        <v>0</v>
      </c>
      <c r="FS3" s="566">
        <f>+FP3/$FV$2*$FW$2</f>
        <v>1102087</v>
      </c>
      <c r="FT3" s="566">
        <f>+FQ3/$FV$2*$FW$2</f>
        <v>0</v>
      </c>
      <c r="FU3" s="566">
        <f>+FR3/$FV$2*$FW$2</f>
        <v>0</v>
      </c>
      <c r="FY3" s="565" t="s">
        <v>430</v>
      </c>
      <c r="FZ3" s="567" t="s">
        <v>454</v>
      </c>
      <c r="GA3" s="567" t="s">
        <v>447</v>
      </c>
      <c r="GB3" s="567" t="s">
        <v>447</v>
      </c>
      <c r="GC3" s="594" t="s">
        <v>433</v>
      </c>
      <c r="GD3" s="566">
        <v>0</v>
      </c>
      <c r="GE3" s="706">
        <f>+GD3/$GF$2*$GG$2</f>
        <v>0</v>
      </c>
      <c r="GI3" s="679" t="s">
        <v>430</v>
      </c>
      <c r="GJ3" s="679" t="s">
        <v>454</v>
      </c>
      <c r="GK3" s="362" t="s">
        <v>457</v>
      </c>
      <c r="GL3" s="679" t="s">
        <v>274</v>
      </c>
      <c r="GM3" s="679" t="s">
        <v>433</v>
      </c>
      <c r="GN3" s="715">
        <v>1102087000</v>
      </c>
      <c r="GO3" s="715">
        <v>0</v>
      </c>
      <c r="GP3" s="715">
        <v>0</v>
      </c>
      <c r="GQ3" s="716">
        <f>+GN3/$GT$2*$GU$2</f>
        <v>1102087</v>
      </c>
      <c r="GR3" s="716">
        <f>+GO3/$GT$2*$GU$2</f>
        <v>0</v>
      </c>
      <c r="GS3" s="716">
        <f>+GP3/$GT$2*$GU$2</f>
        <v>0</v>
      </c>
      <c r="GX3" s="664" t="s">
        <v>430</v>
      </c>
      <c r="GY3" s="567" t="s">
        <v>454</v>
      </c>
      <c r="GZ3" s="567" t="s">
        <v>455</v>
      </c>
      <c r="HA3" s="567" t="s">
        <v>456</v>
      </c>
      <c r="HB3" s="567" t="s">
        <v>433</v>
      </c>
      <c r="HC3" s="771">
        <v>0</v>
      </c>
      <c r="HD3" s="772">
        <f>+HC3/$HE$2*$HF$2</f>
        <v>0</v>
      </c>
      <c r="HE3" s="81"/>
      <c r="HF3" s="81"/>
      <c r="HH3" s="775" t="s">
        <v>430</v>
      </c>
      <c r="HI3" s="775" t="s">
        <v>454</v>
      </c>
      <c r="HJ3" s="775" t="s">
        <v>457</v>
      </c>
      <c r="HK3" s="776" t="s">
        <v>274</v>
      </c>
      <c r="HL3" s="776" t="s">
        <v>433</v>
      </c>
      <c r="HM3" s="367">
        <v>1029687000</v>
      </c>
      <c r="HN3" s="367">
        <v>0</v>
      </c>
      <c r="HO3" s="367">
        <v>0</v>
      </c>
      <c r="HP3" s="774">
        <f>+HM3/$HS$2*$HT$2</f>
        <v>1029687</v>
      </c>
      <c r="HQ3" s="774">
        <f>+HN3/$HS$2*$HT$2</f>
        <v>0</v>
      </c>
      <c r="HR3" s="774">
        <f>+HO3/$HS$2*$HT$2</f>
        <v>0</v>
      </c>
      <c r="HW3" s="776" t="s">
        <v>430</v>
      </c>
      <c r="HX3" s="776" t="s">
        <v>454</v>
      </c>
      <c r="HY3" s="776" t="s">
        <v>455</v>
      </c>
      <c r="HZ3" s="776" t="s">
        <v>456</v>
      </c>
      <c r="IA3" s="776" t="s">
        <v>433</v>
      </c>
      <c r="IB3" s="813">
        <v>16000000</v>
      </c>
      <c r="IC3" s="813">
        <v>0</v>
      </c>
      <c r="ID3" s="813">
        <v>0</v>
      </c>
      <c r="IE3" s="568">
        <f>+ID3/$IF$2*$IG$2</f>
        <v>0</v>
      </c>
      <c r="II3" s="362" t="s">
        <v>430</v>
      </c>
      <c r="IJ3" s="362" t="s">
        <v>454</v>
      </c>
      <c r="IK3" s="362" t="s">
        <v>457</v>
      </c>
      <c r="IL3" s="362" t="s">
        <v>274</v>
      </c>
      <c r="IM3" s="679" t="s">
        <v>433</v>
      </c>
      <c r="IN3" s="248">
        <v>1022896000</v>
      </c>
      <c r="IO3" s="248">
        <v>0</v>
      </c>
      <c r="IP3" s="248">
        <v>0</v>
      </c>
      <c r="IQ3" s="806">
        <f>+IN3/$IT$2*$IU$2</f>
        <v>1022896</v>
      </c>
      <c r="IR3" s="806">
        <f t="shared" ref="IR3:IS3" si="5">+IO3/$IT$2*$IU$2</f>
        <v>0</v>
      </c>
      <c r="IS3" s="806">
        <f t="shared" si="5"/>
        <v>0</v>
      </c>
      <c r="IW3" s="567" t="s">
        <v>430</v>
      </c>
      <c r="IX3" s="567" t="s">
        <v>454</v>
      </c>
      <c r="IY3" s="567" t="s">
        <v>715</v>
      </c>
      <c r="IZ3" s="567" t="s">
        <v>716</v>
      </c>
      <c r="JA3" s="594" t="s">
        <v>433</v>
      </c>
      <c r="JB3" s="566">
        <v>8948512</v>
      </c>
      <c r="JC3" s="806">
        <f>+JB3/$JD$2*$JE$2</f>
        <v>8948.5120000000006</v>
      </c>
      <c r="JG3" s="567" t="s">
        <v>430</v>
      </c>
      <c r="JH3" s="567" t="s">
        <v>454</v>
      </c>
      <c r="JI3" s="567" t="s">
        <v>457</v>
      </c>
      <c r="JJ3" s="567" t="s">
        <v>274</v>
      </c>
      <c r="JK3" s="567" t="s">
        <v>433</v>
      </c>
      <c r="JL3" s="80">
        <v>1022896000</v>
      </c>
      <c r="JM3" s="80">
        <v>0</v>
      </c>
      <c r="JN3" s="80">
        <v>0</v>
      </c>
      <c r="JO3" s="169">
        <f>+JL3/$JR$2*$JS$2</f>
        <v>1022896</v>
      </c>
      <c r="JP3" s="169">
        <f t="shared" ref="JP3:JQ3" si="6">+JM3/$JR$2*$JS$2</f>
        <v>0</v>
      </c>
      <c r="JQ3" s="169">
        <f t="shared" si="6"/>
        <v>0</v>
      </c>
    </row>
    <row r="4" spans="1:279" ht="15" customHeight="1" x14ac:dyDescent="0.25">
      <c r="A4" s="92" t="s">
        <v>430</v>
      </c>
      <c r="B4" s="92" t="s">
        <v>454</v>
      </c>
      <c r="C4" s="92" t="s">
        <v>455</v>
      </c>
      <c r="D4" s="92" t="s">
        <v>456</v>
      </c>
      <c r="E4" s="93">
        <v>167200000</v>
      </c>
      <c r="F4" s="93">
        <f t="shared" ref="F4:F39" si="7">+E4/$I$2*$J$2</f>
        <v>177733.59999999998</v>
      </c>
      <c r="G4" s="93">
        <v>0</v>
      </c>
      <c r="H4" s="93">
        <f t="shared" ref="H4:H39" si="8">+G4/$I$2*$J$2</f>
        <v>0</v>
      </c>
      <c r="L4" s="90" t="s">
        <v>434</v>
      </c>
      <c r="M4" s="90" t="s">
        <v>307</v>
      </c>
      <c r="N4" s="90" t="s">
        <v>435</v>
      </c>
      <c r="O4" s="90" t="s">
        <v>328</v>
      </c>
      <c r="P4" s="91">
        <v>64025300</v>
      </c>
      <c r="Q4" s="91">
        <f t="shared" si="0"/>
        <v>68058.893899999995</v>
      </c>
      <c r="U4" s="90" t="s">
        <v>430</v>
      </c>
      <c r="V4" s="90" t="s">
        <v>454</v>
      </c>
      <c r="W4" s="90" t="s">
        <v>455</v>
      </c>
      <c r="X4" s="1420" t="s">
        <v>456</v>
      </c>
      <c r="Y4" s="91">
        <v>167200000</v>
      </c>
      <c r="Z4" s="91">
        <f t="shared" ref="Z4:Z25" si="9">+Y4/$AA$1*$AB$1</f>
        <v>177733.59999999998</v>
      </c>
      <c r="AD4" s="90" t="s">
        <v>430</v>
      </c>
      <c r="AE4" s="90" t="s">
        <v>454</v>
      </c>
      <c r="AF4" s="90" t="s">
        <v>455</v>
      </c>
      <c r="AG4" s="90" t="s">
        <v>456</v>
      </c>
      <c r="AH4" s="91">
        <v>167200000</v>
      </c>
      <c r="AI4" s="91">
        <f t="shared" ref="AI4:AI48" si="10">+AH4/$AK$2*$AL$2</f>
        <v>177733.59999999998</v>
      </c>
      <c r="AJ4" s="91">
        <v>0</v>
      </c>
      <c r="AM4" s="169"/>
      <c r="AN4" s="90" t="s">
        <v>430</v>
      </c>
      <c r="AO4" s="90" t="s">
        <v>454</v>
      </c>
      <c r="AP4" s="90" t="s">
        <v>455</v>
      </c>
      <c r="AQ4" s="90" t="s">
        <v>456</v>
      </c>
      <c r="AR4" s="91">
        <v>40000000</v>
      </c>
      <c r="AS4" s="91">
        <f t="shared" ref="AS4:AS14" si="11">+AR4/$AT$2*$AU$2</f>
        <v>42520</v>
      </c>
      <c r="AW4" s="90" t="s">
        <v>430</v>
      </c>
      <c r="AX4" s="90" t="s">
        <v>454</v>
      </c>
      <c r="AY4" s="90" t="s">
        <v>457</v>
      </c>
      <c r="AZ4" s="90" t="s">
        <v>274</v>
      </c>
      <c r="BA4" s="91">
        <v>0</v>
      </c>
      <c r="BB4" s="91">
        <v>109500000</v>
      </c>
      <c r="BC4" s="91">
        <v>47700000</v>
      </c>
      <c r="BD4" s="91">
        <f t="shared" si="1"/>
        <v>0</v>
      </c>
      <c r="BE4" s="91">
        <f t="shared" si="2"/>
        <v>116398.5</v>
      </c>
      <c r="BF4" s="91">
        <f t="shared" si="3"/>
        <v>50705.1</v>
      </c>
      <c r="BK4" s="90" t="s">
        <v>434</v>
      </c>
      <c r="BL4" s="90" t="s">
        <v>307</v>
      </c>
      <c r="BM4" s="90" t="s">
        <v>435</v>
      </c>
      <c r="BN4" s="90" t="s">
        <v>328</v>
      </c>
      <c r="BO4" s="91">
        <v>84799100</v>
      </c>
      <c r="BP4" s="91">
        <f t="shared" si="4"/>
        <v>90141.443299999999</v>
      </c>
      <c r="BT4" s="87" t="s">
        <v>430</v>
      </c>
      <c r="BU4" s="87" t="s">
        <v>454</v>
      </c>
      <c r="BV4" s="87" t="s">
        <v>457</v>
      </c>
      <c r="BW4" s="87" t="s">
        <v>274</v>
      </c>
      <c r="BX4" s="304" t="s">
        <v>433</v>
      </c>
      <c r="BY4" s="88">
        <v>0</v>
      </c>
      <c r="BZ4" s="88">
        <v>109500000</v>
      </c>
      <c r="CA4" s="88">
        <v>65700000</v>
      </c>
      <c r="CB4" s="169">
        <f t="shared" ref="CB4:CB48" si="12">+BY4/$CE$2*$CF$2</f>
        <v>0</v>
      </c>
      <c r="CC4" s="169">
        <f t="shared" ref="CC4:CC48" si="13">+BZ4/$CE$2*$CF$2</f>
        <v>109500</v>
      </c>
      <c r="CD4" s="169">
        <f t="shared" ref="CD4:CD48" si="14">+CA4/$CE$2*$CF$2</f>
        <v>65700</v>
      </c>
      <c r="CH4" s="87" t="s">
        <v>434</v>
      </c>
      <c r="CI4" s="87" t="s">
        <v>307</v>
      </c>
      <c r="CJ4" s="87">
        <v>42433001</v>
      </c>
      <c r="CK4" s="87" t="s">
        <v>328</v>
      </c>
      <c r="CL4" s="304" t="s">
        <v>433</v>
      </c>
      <c r="CM4" s="88">
        <v>0</v>
      </c>
      <c r="CN4" s="88">
        <v>338002928</v>
      </c>
      <c r="CO4" s="88">
        <v>25683889</v>
      </c>
      <c r="CP4" s="309">
        <f t="shared" ref="CP4:CP16" si="15">+CM4/$CS$2*$CT$2</f>
        <v>0</v>
      </c>
      <c r="CQ4" s="309">
        <f t="shared" ref="CQ4:CQ16" si="16">+CN4/$CS$2*$CT$2</f>
        <v>338002.92800000001</v>
      </c>
      <c r="CR4" s="309">
        <f t="shared" ref="CR4:CR16" si="17">+CO4/$CS$2*$CT$2</f>
        <v>25683.888999999999</v>
      </c>
      <c r="CV4" s="89" t="s">
        <v>430</v>
      </c>
      <c r="CW4" s="89" t="s">
        <v>454</v>
      </c>
      <c r="CX4" s="89" t="s">
        <v>447</v>
      </c>
      <c r="CY4" s="89" t="s">
        <v>447</v>
      </c>
      <c r="CZ4" s="89">
        <v>0</v>
      </c>
      <c r="DA4" s="89">
        <v>0</v>
      </c>
      <c r="DB4" s="89">
        <v>0</v>
      </c>
      <c r="DC4" s="590">
        <f t="shared" ref="DC4:DC24" si="18">+CZ4/$DF$2*$DG$2</f>
        <v>0</v>
      </c>
      <c r="DD4" s="590">
        <f t="shared" ref="DD4:DD24" si="19">+DA4/$DF$2*$DG$2</f>
        <v>0</v>
      </c>
      <c r="DE4" s="590">
        <f t="shared" ref="DE4:DE24" si="20">+DB4/$DF$2*$DG$2</f>
        <v>0</v>
      </c>
      <c r="DI4" s="316" t="s">
        <v>430</v>
      </c>
      <c r="DJ4" s="316" t="s">
        <v>454</v>
      </c>
      <c r="DK4" s="316" t="s">
        <v>455</v>
      </c>
      <c r="DL4" s="316" t="s">
        <v>456</v>
      </c>
      <c r="DM4" s="80">
        <v>120000000</v>
      </c>
      <c r="DN4" s="80">
        <v>0</v>
      </c>
      <c r="DO4" s="80">
        <v>0</v>
      </c>
      <c r="DP4" s="593">
        <f t="shared" ref="DP4:DP51" si="21">+DM4/$DS$2*$DT$2</f>
        <v>120000</v>
      </c>
      <c r="DQ4" s="593">
        <f t="shared" ref="DQ4:DQ51" si="22">+DN4/$DS$2*$DT$2</f>
        <v>0</v>
      </c>
      <c r="DR4" s="593">
        <f t="shared" ref="DR4:DR51" si="23">+DO4/$DS$2*$DT$2</f>
        <v>0</v>
      </c>
      <c r="DV4" s="565" t="s">
        <v>430</v>
      </c>
      <c r="DW4" s="565" t="s">
        <v>454</v>
      </c>
      <c r="DX4" s="565" t="s">
        <v>447</v>
      </c>
      <c r="DY4" s="567" t="s">
        <v>447</v>
      </c>
      <c r="DZ4" s="594" t="s">
        <v>433</v>
      </c>
      <c r="EA4" s="566">
        <v>0</v>
      </c>
      <c r="EB4" s="566">
        <v>0</v>
      </c>
      <c r="EC4" s="566">
        <v>0</v>
      </c>
      <c r="ED4" s="566">
        <f t="shared" ref="ED4:ED25" si="24">+EA4/$EG$2*$EH$2</f>
        <v>0</v>
      </c>
      <c r="EE4" s="566">
        <f t="shared" ref="EE4:EE25" si="25">+EB4/$EG$2*$EH$2</f>
        <v>0</v>
      </c>
      <c r="EF4" s="566">
        <f t="shared" ref="EF4:EF25" si="26">+EC4/$EG$2*$EH$2</f>
        <v>0</v>
      </c>
      <c r="EG4" s="96"/>
      <c r="EI4" s="89" t="s">
        <v>430</v>
      </c>
      <c r="EJ4" s="89" t="s">
        <v>454</v>
      </c>
      <c r="EK4" s="89" t="s">
        <v>455</v>
      </c>
      <c r="EL4" s="89" t="s">
        <v>456</v>
      </c>
      <c r="EM4" s="89" t="s">
        <v>433</v>
      </c>
      <c r="EN4" s="89">
        <v>120000000</v>
      </c>
      <c r="EO4" s="89">
        <v>0</v>
      </c>
      <c r="EP4" s="89">
        <v>0</v>
      </c>
      <c r="EQ4" s="590">
        <f t="shared" ref="EQ4:EQ52" si="27">+EN4/$ET$2*$EU$2</f>
        <v>120000</v>
      </c>
      <c r="ER4" s="590">
        <f t="shared" ref="ER4:ER52" si="28">+EO4/$ET$2*$EU$2</f>
        <v>0</v>
      </c>
      <c r="ES4" s="590">
        <f t="shared" ref="ES4:ES52" si="29">+EP4/$ET$2*$EU$2</f>
        <v>0</v>
      </c>
      <c r="EW4" s="565" t="s">
        <v>430</v>
      </c>
      <c r="EX4" s="565" t="s">
        <v>454</v>
      </c>
      <c r="EY4" s="565" t="s">
        <v>457</v>
      </c>
      <c r="EZ4" s="565" t="s">
        <v>274</v>
      </c>
      <c r="FA4" s="594" t="s">
        <v>433</v>
      </c>
      <c r="FB4" s="566">
        <v>0</v>
      </c>
      <c r="FC4" s="566">
        <v>0</v>
      </c>
      <c r="FD4" s="566">
        <v>121356000</v>
      </c>
      <c r="FE4" s="566">
        <f t="shared" ref="FE4:FE23" si="30">+FB4/$FH$2*$FI$2</f>
        <v>0</v>
      </c>
      <c r="FF4" s="566">
        <f t="shared" ref="FF4:FF23" si="31">+FC4/$FH$2*$FI$2</f>
        <v>0</v>
      </c>
      <c r="FG4" s="566">
        <f t="shared" ref="FG4:FG23" si="32">+FD4/$FH$2*$FI$2</f>
        <v>121356</v>
      </c>
      <c r="FK4" s="89" t="s">
        <v>430</v>
      </c>
      <c r="FL4" s="89" t="s">
        <v>454</v>
      </c>
      <c r="FM4" s="89" t="s">
        <v>455</v>
      </c>
      <c r="FN4" s="89" t="s">
        <v>456</v>
      </c>
      <c r="FO4" s="366" t="s">
        <v>433</v>
      </c>
      <c r="FP4" s="80">
        <v>120000000</v>
      </c>
      <c r="FQ4" s="80">
        <v>0</v>
      </c>
      <c r="FR4" s="80">
        <v>0</v>
      </c>
      <c r="FS4" s="566">
        <f t="shared" ref="FS4:FS52" si="33">+FP4/$FV$2*$FW$2</f>
        <v>120000</v>
      </c>
      <c r="FT4" s="566">
        <f t="shared" ref="FT4:FT52" si="34">+FQ4/$FV$2*$FW$2</f>
        <v>0</v>
      </c>
      <c r="FU4" s="566">
        <f t="shared" ref="FU4:FU52" si="35">+FR4/$FV$2*$FW$2</f>
        <v>0</v>
      </c>
      <c r="FY4" s="565" t="s">
        <v>430</v>
      </c>
      <c r="FZ4" s="567" t="s">
        <v>454</v>
      </c>
      <c r="GA4" s="567" t="s">
        <v>457</v>
      </c>
      <c r="GB4" s="567" t="s">
        <v>274</v>
      </c>
      <c r="GC4" s="594" t="s">
        <v>433</v>
      </c>
      <c r="GD4" s="566">
        <v>99372000</v>
      </c>
      <c r="GE4" s="706">
        <f t="shared" ref="GE4:GE16" si="36">+GD4/$GF$2*$GG$2</f>
        <v>99372</v>
      </c>
      <c r="GI4" s="679" t="s">
        <v>430</v>
      </c>
      <c r="GJ4" s="679" t="s">
        <v>454</v>
      </c>
      <c r="GK4" s="362" t="s">
        <v>455</v>
      </c>
      <c r="GL4" s="679" t="s">
        <v>456</v>
      </c>
      <c r="GM4" s="679" t="s">
        <v>433</v>
      </c>
      <c r="GN4" s="715">
        <v>120000000</v>
      </c>
      <c r="GO4" s="715">
        <v>0</v>
      </c>
      <c r="GP4" s="715">
        <v>0</v>
      </c>
      <c r="GQ4" s="716">
        <f t="shared" ref="GQ4:GQ53" si="37">+GN4/$GT$2*$GU$2</f>
        <v>120000</v>
      </c>
      <c r="GR4" s="716">
        <f t="shared" ref="GR4:GR53" si="38">+GO4/$GT$2*$GU$2</f>
        <v>0</v>
      </c>
      <c r="GS4" s="716">
        <f t="shared" ref="GS4:GS53" si="39">+GP4/$GT$2*$GU$2</f>
        <v>0</v>
      </c>
      <c r="GX4" s="664" t="s">
        <v>430</v>
      </c>
      <c r="GY4" s="567" t="s">
        <v>454</v>
      </c>
      <c r="GZ4" s="567" t="s">
        <v>431</v>
      </c>
      <c r="HA4" s="567" t="s">
        <v>432</v>
      </c>
      <c r="HB4" s="567" t="s">
        <v>433</v>
      </c>
      <c r="HC4" s="771">
        <v>0</v>
      </c>
      <c r="HD4" s="772">
        <f t="shared" ref="HD4:HD24" si="40">+HC4/$HE$2*$HF$2</f>
        <v>0</v>
      </c>
      <c r="HE4" s="81"/>
      <c r="HF4" s="81"/>
      <c r="HH4" s="775" t="s">
        <v>430</v>
      </c>
      <c r="HI4" s="775" t="s">
        <v>454</v>
      </c>
      <c r="HJ4" s="775" t="s">
        <v>455</v>
      </c>
      <c r="HK4" s="776" t="s">
        <v>456</v>
      </c>
      <c r="HL4" s="776" t="s">
        <v>433</v>
      </c>
      <c r="HM4" s="367">
        <v>164000000</v>
      </c>
      <c r="HN4" s="367">
        <v>0</v>
      </c>
      <c r="HO4" s="367">
        <v>0</v>
      </c>
      <c r="HP4" s="774">
        <f t="shared" ref="HP4:HP55" si="41">+HM4/$HS$2*$HT$2</f>
        <v>164000</v>
      </c>
      <c r="HQ4" s="774">
        <f t="shared" ref="HQ4:HQ55" si="42">+HN4/$HS$2*$HT$2</f>
        <v>0</v>
      </c>
      <c r="HR4" s="774">
        <f t="shared" ref="HR4:HR55" si="43">+HO4/$HS$2*$HT$2</f>
        <v>0</v>
      </c>
      <c r="HW4" s="776" t="s">
        <v>430</v>
      </c>
      <c r="HX4" s="776" t="s">
        <v>454</v>
      </c>
      <c r="HY4" s="776" t="s">
        <v>715</v>
      </c>
      <c r="HZ4" s="776" t="s">
        <v>716</v>
      </c>
      <c r="IA4" s="776" t="s">
        <v>433</v>
      </c>
      <c r="IB4" s="813">
        <v>500000</v>
      </c>
      <c r="IC4" s="813">
        <v>0</v>
      </c>
      <c r="ID4" s="813">
        <v>0</v>
      </c>
      <c r="IE4" s="568">
        <f t="shared" ref="IE4:IE35" si="44">+ID4/$IF$2*$IG$2</f>
        <v>0</v>
      </c>
      <c r="II4" s="362" t="s">
        <v>430</v>
      </c>
      <c r="IJ4" s="362" t="s">
        <v>454</v>
      </c>
      <c r="IK4" s="362" t="s">
        <v>455</v>
      </c>
      <c r="IL4" s="362" t="s">
        <v>456</v>
      </c>
      <c r="IM4" s="679" t="s">
        <v>433</v>
      </c>
      <c r="IN4" s="248">
        <v>180000000</v>
      </c>
      <c r="IO4" s="248">
        <v>0</v>
      </c>
      <c r="IP4" s="248">
        <v>0</v>
      </c>
      <c r="IQ4" s="806">
        <f t="shared" ref="IQ4:IQ53" si="45">+IN4/$IT$2*$IU$2</f>
        <v>180000</v>
      </c>
      <c r="IR4" s="806">
        <f t="shared" ref="IR4:IR54" si="46">+IO4/$IT$2*$IU$2</f>
        <v>0</v>
      </c>
      <c r="IS4" s="806">
        <f t="shared" ref="IS4:IS54" si="47">+IP4/$IT$2*$IU$2</f>
        <v>0</v>
      </c>
      <c r="IW4" s="567" t="s">
        <v>430</v>
      </c>
      <c r="IX4" s="567" t="s">
        <v>454</v>
      </c>
      <c r="IY4" s="567" t="s">
        <v>455</v>
      </c>
      <c r="IZ4" s="567" t="s">
        <v>456</v>
      </c>
      <c r="JA4" s="594" t="s">
        <v>433</v>
      </c>
      <c r="JB4" s="566">
        <v>120000000</v>
      </c>
      <c r="JC4" s="806">
        <f t="shared" ref="JC4:JC19" si="48">+JB4/$JD$2*$JE$2</f>
        <v>120000</v>
      </c>
      <c r="JG4" s="567" t="s">
        <v>430</v>
      </c>
      <c r="JH4" s="567" t="s">
        <v>454</v>
      </c>
      <c r="JI4" s="567" t="s">
        <v>455</v>
      </c>
      <c r="JJ4" s="567" t="s">
        <v>456</v>
      </c>
      <c r="JK4" s="567" t="s">
        <v>433</v>
      </c>
      <c r="JL4" s="80">
        <v>180000000</v>
      </c>
      <c r="JM4" s="80">
        <v>0</v>
      </c>
      <c r="JN4" s="80">
        <v>0</v>
      </c>
      <c r="JO4" s="169">
        <f t="shared" ref="JO4:JO57" si="49">+JL4/$JR$2*$JS$2</f>
        <v>180000</v>
      </c>
      <c r="JP4" s="169">
        <f t="shared" ref="JP4:JP58" si="50">+JM4/$JR$2*$JS$2</f>
        <v>0</v>
      </c>
      <c r="JQ4" s="169">
        <f t="shared" ref="JQ4:JQ58" si="51">+JN4/$JR$2*$JS$2</f>
        <v>0</v>
      </c>
    </row>
    <row r="5" spans="1:279" ht="15" customHeight="1" x14ac:dyDescent="0.25">
      <c r="A5" s="92" t="s">
        <v>430</v>
      </c>
      <c r="B5" s="92" t="s">
        <v>454</v>
      </c>
      <c r="C5" s="92" t="s">
        <v>431</v>
      </c>
      <c r="D5" s="92" t="s">
        <v>432</v>
      </c>
      <c r="E5" s="93">
        <v>22000000</v>
      </c>
      <c r="F5" s="93">
        <f t="shared" si="7"/>
        <v>23386</v>
      </c>
      <c r="G5" s="93">
        <v>0</v>
      </c>
      <c r="H5" s="93">
        <f t="shared" si="8"/>
        <v>0</v>
      </c>
      <c r="L5" s="90" t="s">
        <v>438</v>
      </c>
      <c r="M5" s="90" t="s">
        <v>335</v>
      </c>
      <c r="N5" s="90" t="s">
        <v>462</v>
      </c>
      <c r="O5" s="90" t="s">
        <v>633</v>
      </c>
      <c r="P5" s="91">
        <v>97000000</v>
      </c>
      <c r="Q5" s="91">
        <f t="shared" si="0"/>
        <v>103111</v>
      </c>
      <c r="U5" s="90" t="s">
        <v>430</v>
      </c>
      <c r="V5" s="90" t="s">
        <v>454</v>
      </c>
      <c r="W5" s="90" t="s">
        <v>431</v>
      </c>
      <c r="X5" s="1420" t="s">
        <v>432</v>
      </c>
      <c r="Y5" s="91">
        <v>22000000</v>
      </c>
      <c r="Z5" s="91">
        <f t="shared" si="9"/>
        <v>23386</v>
      </c>
      <c r="AD5" s="90" t="s">
        <v>430</v>
      </c>
      <c r="AE5" s="90" t="s">
        <v>454</v>
      </c>
      <c r="AF5" s="90" t="s">
        <v>431</v>
      </c>
      <c r="AG5" s="90" t="s">
        <v>432</v>
      </c>
      <c r="AH5" s="91">
        <v>22000000</v>
      </c>
      <c r="AI5" s="91">
        <f t="shared" si="10"/>
        <v>23386</v>
      </c>
      <c r="AJ5" s="91">
        <v>0</v>
      </c>
      <c r="AM5" s="169"/>
      <c r="AN5" s="90" t="s">
        <v>434</v>
      </c>
      <c r="AO5" s="90" t="s">
        <v>307</v>
      </c>
      <c r="AP5" s="90" t="s">
        <v>436</v>
      </c>
      <c r="AQ5" s="90" t="s">
        <v>339</v>
      </c>
      <c r="AR5" s="91">
        <v>10474662</v>
      </c>
      <c r="AS5" s="91">
        <f t="shared" si="11"/>
        <v>11134.565705999999</v>
      </c>
      <c r="AW5" s="90" t="s">
        <v>430</v>
      </c>
      <c r="AX5" s="90" t="s">
        <v>454</v>
      </c>
      <c r="AY5" s="90" t="s">
        <v>455</v>
      </c>
      <c r="AZ5" s="90" t="s">
        <v>456</v>
      </c>
      <c r="BA5" s="91">
        <v>167200000</v>
      </c>
      <c r="BB5" s="91">
        <v>0</v>
      </c>
      <c r="BC5" s="91">
        <v>0</v>
      </c>
      <c r="BD5" s="91">
        <f t="shared" si="1"/>
        <v>177733.59999999998</v>
      </c>
      <c r="BE5" s="91">
        <f t="shared" si="2"/>
        <v>0</v>
      </c>
      <c r="BF5" s="91">
        <f t="shared" si="3"/>
        <v>0</v>
      </c>
      <c r="BK5" s="90" t="s">
        <v>434</v>
      </c>
      <c r="BL5" s="90" t="s">
        <v>307</v>
      </c>
      <c r="BM5" s="90" t="s">
        <v>436</v>
      </c>
      <c r="BN5" s="90" t="s">
        <v>339</v>
      </c>
      <c r="BO5" s="91">
        <v>24116387</v>
      </c>
      <c r="BP5" s="91">
        <f t="shared" si="4"/>
        <v>25635.719380999999</v>
      </c>
      <c r="BT5" s="87" t="s">
        <v>430</v>
      </c>
      <c r="BU5" s="87" t="s">
        <v>454</v>
      </c>
      <c r="BV5" s="87" t="s">
        <v>455</v>
      </c>
      <c r="BW5" s="87" t="s">
        <v>456</v>
      </c>
      <c r="BX5" s="304" t="s">
        <v>433</v>
      </c>
      <c r="BY5" s="88">
        <v>167200000</v>
      </c>
      <c r="BZ5" s="88">
        <v>0</v>
      </c>
      <c r="CA5" s="88">
        <v>0</v>
      </c>
      <c r="CB5" s="169">
        <f t="shared" si="12"/>
        <v>167200</v>
      </c>
      <c r="CC5" s="169">
        <f t="shared" si="13"/>
        <v>0</v>
      </c>
      <c r="CD5" s="169">
        <f t="shared" si="14"/>
        <v>0</v>
      </c>
      <c r="CH5" s="87" t="s">
        <v>434</v>
      </c>
      <c r="CI5" s="87" t="s">
        <v>307</v>
      </c>
      <c r="CJ5" s="87">
        <v>42433002</v>
      </c>
      <c r="CK5" s="87" t="s">
        <v>339</v>
      </c>
      <c r="CL5" s="304" t="s">
        <v>433</v>
      </c>
      <c r="CM5" s="88">
        <v>0</v>
      </c>
      <c r="CN5" s="88">
        <v>9561835</v>
      </c>
      <c r="CO5" s="88">
        <v>0</v>
      </c>
      <c r="CP5" s="309">
        <f t="shared" si="15"/>
        <v>0</v>
      </c>
      <c r="CQ5" s="309">
        <f t="shared" si="16"/>
        <v>9561.8349999999991</v>
      </c>
      <c r="CR5" s="309">
        <f t="shared" si="17"/>
        <v>0</v>
      </c>
      <c r="CV5" s="89" t="s">
        <v>430</v>
      </c>
      <c r="CW5" s="89" t="s">
        <v>454</v>
      </c>
      <c r="CX5" s="89" t="s">
        <v>457</v>
      </c>
      <c r="CY5" s="89" t="s">
        <v>274</v>
      </c>
      <c r="CZ5" s="89">
        <v>0</v>
      </c>
      <c r="DA5" s="89">
        <v>540480000</v>
      </c>
      <c r="DB5" s="89">
        <v>115200000</v>
      </c>
      <c r="DC5" s="590">
        <f t="shared" si="18"/>
        <v>0</v>
      </c>
      <c r="DD5" s="590">
        <f t="shared" si="19"/>
        <v>540480</v>
      </c>
      <c r="DE5" s="590">
        <f t="shared" si="20"/>
        <v>115200</v>
      </c>
      <c r="DI5" s="316" t="s">
        <v>430</v>
      </c>
      <c r="DJ5" s="316" t="s">
        <v>454</v>
      </c>
      <c r="DK5" s="316" t="s">
        <v>431</v>
      </c>
      <c r="DL5" s="316" t="s">
        <v>432</v>
      </c>
      <c r="DM5" s="80">
        <v>71731249</v>
      </c>
      <c r="DN5" s="80">
        <v>0</v>
      </c>
      <c r="DO5" s="80">
        <v>0</v>
      </c>
      <c r="DP5" s="593">
        <f t="shared" si="21"/>
        <v>71731.248999999996</v>
      </c>
      <c r="DQ5" s="593">
        <f t="shared" si="22"/>
        <v>0</v>
      </c>
      <c r="DR5" s="593">
        <f t="shared" si="23"/>
        <v>0</v>
      </c>
      <c r="DV5" s="565" t="s">
        <v>430</v>
      </c>
      <c r="DW5" s="565" t="s">
        <v>454</v>
      </c>
      <c r="DX5" s="565" t="s">
        <v>457</v>
      </c>
      <c r="DY5" s="567" t="s">
        <v>274</v>
      </c>
      <c r="DZ5" s="594" t="s">
        <v>433</v>
      </c>
      <c r="EA5" s="566">
        <v>0</v>
      </c>
      <c r="EB5" s="566">
        <v>27000000</v>
      </c>
      <c r="EC5" s="566">
        <v>12960000</v>
      </c>
      <c r="ED5" s="566">
        <f t="shared" si="24"/>
        <v>0</v>
      </c>
      <c r="EE5" s="566">
        <f t="shared" si="25"/>
        <v>27000</v>
      </c>
      <c r="EF5" s="566">
        <f t="shared" si="26"/>
        <v>12960</v>
      </c>
      <c r="EG5" s="96"/>
      <c r="EI5" s="89" t="s">
        <v>430</v>
      </c>
      <c r="EJ5" s="89" t="s">
        <v>454</v>
      </c>
      <c r="EK5" s="89" t="s">
        <v>431</v>
      </c>
      <c r="EL5" s="89" t="s">
        <v>432</v>
      </c>
      <c r="EM5" s="89" t="s">
        <v>433</v>
      </c>
      <c r="EN5" s="89">
        <v>70000000</v>
      </c>
      <c r="EO5" s="89">
        <v>0</v>
      </c>
      <c r="EP5" s="89">
        <v>0</v>
      </c>
      <c r="EQ5" s="590">
        <f t="shared" si="27"/>
        <v>70000</v>
      </c>
      <c r="ER5" s="590">
        <f t="shared" si="28"/>
        <v>0</v>
      </c>
      <c r="ES5" s="590">
        <f t="shared" si="29"/>
        <v>0</v>
      </c>
      <c r="EW5" s="565" t="s">
        <v>434</v>
      </c>
      <c r="EX5" s="565" t="s">
        <v>307</v>
      </c>
      <c r="EY5" s="565" t="s">
        <v>435</v>
      </c>
      <c r="EZ5" s="565" t="s">
        <v>328</v>
      </c>
      <c r="FA5" s="594" t="s">
        <v>433</v>
      </c>
      <c r="FB5" s="566">
        <v>308288000</v>
      </c>
      <c r="FC5" s="566">
        <v>0</v>
      </c>
      <c r="FD5" s="566">
        <v>0</v>
      </c>
      <c r="FE5" s="566">
        <f t="shared" si="30"/>
        <v>308288</v>
      </c>
      <c r="FF5" s="566">
        <f t="shared" si="31"/>
        <v>0</v>
      </c>
      <c r="FG5" s="566">
        <f t="shared" si="32"/>
        <v>0</v>
      </c>
      <c r="FK5" s="89" t="s">
        <v>430</v>
      </c>
      <c r="FL5" s="89" t="s">
        <v>454</v>
      </c>
      <c r="FM5" s="89" t="s">
        <v>431</v>
      </c>
      <c r="FN5" s="89" t="s">
        <v>432</v>
      </c>
      <c r="FO5" s="366" t="s">
        <v>433</v>
      </c>
      <c r="FP5" s="80">
        <v>70000000</v>
      </c>
      <c r="FQ5" s="80">
        <v>0</v>
      </c>
      <c r="FR5" s="80">
        <v>0</v>
      </c>
      <c r="FS5" s="566">
        <f t="shared" si="33"/>
        <v>70000</v>
      </c>
      <c r="FT5" s="566">
        <f t="shared" si="34"/>
        <v>0</v>
      </c>
      <c r="FU5" s="566">
        <f t="shared" si="35"/>
        <v>0</v>
      </c>
      <c r="FY5" s="710" t="s">
        <v>434</v>
      </c>
      <c r="FZ5" s="711" t="s">
        <v>307</v>
      </c>
      <c r="GA5" s="711" t="s">
        <v>436</v>
      </c>
      <c r="GB5" s="711" t="s">
        <v>339</v>
      </c>
      <c r="GC5" s="712" t="s">
        <v>433</v>
      </c>
      <c r="GD5" s="713">
        <v>5428422</v>
      </c>
      <c r="GE5" s="714">
        <f t="shared" si="36"/>
        <v>5428.4219999999996</v>
      </c>
      <c r="GI5" s="679" t="s">
        <v>430</v>
      </c>
      <c r="GJ5" s="679" t="s">
        <v>454</v>
      </c>
      <c r="GK5" s="362" t="s">
        <v>431</v>
      </c>
      <c r="GL5" s="679" t="s">
        <v>432</v>
      </c>
      <c r="GM5" s="679" t="s">
        <v>433</v>
      </c>
      <c r="GN5" s="715">
        <v>70000000</v>
      </c>
      <c r="GO5" s="715">
        <v>0</v>
      </c>
      <c r="GP5" s="715">
        <v>0</v>
      </c>
      <c r="GQ5" s="716">
        <f t="shared" si="37"/>
        <v>70000</v>
      </c>
      <c r="GR5" s="716">
        <f t="shared" si="38"/>
        <v>0</v>
      </c>
      <c r="GS5" s="716">
        <f t="shared" si="39"/>
        <v>0</v>
      </c>
      <c r="GX5" s="664" t="s">
        <v>430</v>
      </c>
      <c r="GY5" s="567" t="s">
        <v>454</v>
      </c>
      <c r="GZ5" s="567" t="s">
        <v>455</v>
      </c>
      <c r="HA5" s="567" t="s">
        <v>456</v>
      </c>
      <c r="HB5" s="567" t="s">
        <v>433</v>
      </c>
      <c r="HC5" s="771">
        <v>20000000</v>
      </c>
      <c r="HD5" s="772">
        <f t="shared" si="40"/>
        <v>20000</v>
      </c>
      <c r="HE5" s="81"/>
      <c r="HF5" s="81"/>
      <c r="HH5" s="775" t="s">
        <v>430</v>
      </c>
      <c r="HI5" s="775" t="s">
        <v>454</v>
      </c>
      <c r="HJ5" s="775" t="s">
        <v>431</v>
      </c>
      <c r="HK5" s="776" t="s">
        <v>432</v>
      </c>
      <c r="HL5" s="776" t="s">
        <v>433</v>
      </c>
      <c r="HM5" s="367">
        <v>100000000</v>
      </c>
      <c r="HN5" s="367">
        <v>0</v>
      </c>
      <c r="HO5" s="367">
        <v>0</v>
      </c>
      <c r="HP5" s="774">
        <f t="shared" si="41"/>
        <v>100000</v>
      </c>
      <c r="HQ5" s="774">
        <f t="shared" si="42"/>
        <v>0</v>
      </c>
      <c r="HR5" s="774">
        <f t="shared" si="43"/>
        <v>0</v>
      </c>
      <c r="HW5" s="776" t="s">
        <v>430</v>
      </c>
      <c r="HX5" s="776" t="s">
        <v>454</v>
      </c>
      <c r="HY5" s="776" t="s">
        <v>628</v>
      </c>
      <c r="HZ5" s="776" t="s">
        <v>331</v>
      </c>
      <c r="IA5" s="776" t="s">
        <v>433</v>
      </c>
      <c r="IB5" s="813">
        <v>160293</v>
      </c>
      <c r="IC5" s="813">
        <v>0</v>
      </c>
      <c r="ID5" s="813">
        <v>0</v>
      </c>
      <c r="IE5" s="568">
        <f t="shared" si="44"/>
        <v>0</v>
      </c>
      <c r="II5" s="362" t="s">
        <v>430</v>
      </c>
      <c r="IJ5" s="362" t="s">
        <v>454</v>
      </c>
      <c r="IK5" s="362" t="s">
        <v>431</v>
      </c>
      <c r="IL5" s="362" t="s">
        <v>432</v>
      </c>
      <c r="IM5" s="679" t="s">
        <v>433</v>
      </c>
      <c r="IN5" s="248">
        <v>90130707</v>
      </c>
      <c r="IO5" s="248">
        <v>0</v>
      </c>
      <c r="IP5" s="248">
        <v>0</v>
      </c>
      <c r="IQ5" s="806">
        <f t="shared" si="45"/>
        <v>90130.706999999995</v>
      </c>
      <c r="IR5" s="806">
        <f t="shared" si="46"/>
        <v>0</v>
      </c>
      <c r="IS5" s="806">
        <f t="shared" si="47"/>
        <v>0</v>
      </c>
      <c r="IW5" s="567" t="s">
        <v>430</v>
      </c>
      <c r="IX5" s="567" t="s">
        <v>454</v>
      </c>
      <c r="IY5" s="567" t="s">
        <v>457</v>
      </c>
      <c r="IZ5" s="567" t="s">
        <v>274</v>
      </c>
      <c r="JA5" s="594" t="s">
        <v>433</v>
      </c>
      <c r="JB5" s="566">
        <v>401994000</v>
      </c>
      <c r="JC5" s="806">
        <f t="shared" si="48"/>
        <v>401994</v>
      </c>
      <c r="JG5" s="567" t="s">
        <v>430</v>
      </c>
      <c r="JH5" s="567" t="s">
        <v>454</v>
      </c>
      <c r="JI5" s="567" t="s">
        <v>431</v>
      </c>
      <c r="JJ5" s="567" t="s">
        <v>432</v>
      </c>
      <c r="JK5" s="567" t="s">
        <v>433</v>
      </c>
      <c r="JL5" s="80">
        <v>10130707</v>
      </c>
      <c r="JM5" s="80">
        <v>0</v>
      </c>
      <c r="JN5" s="80">
        <v>0</v>
      </c>
      <c r="JO5" s="169">
        <f t="shared" si="49"/>
        <v>10130.707</v>
      </c>
      <c r="JP5" s="169">
        <f t="shared" si="50"/>
        <v>0</v>
      </c>
      <c r="JQ5" s="169">
        <f t="shared" si="51"/>
        <v>0</v>
      </c>
    </row>
    <row r="6" spans="1:279" ht="15" customHeight="1" x14ac:dyDescent="0.25">
      <c r="A6" s="92" t="s">
        <v>430</v>
      </c>
      <c r="B6" s="92" t="s">
        <v>454</v>
      </c>
      <c r="C6" s="92" t="s">
        <v>715</v>
      </c>
      <c r="D6" s="92" t="s">
        <v>716</v>
      </c>
      <c r="E6" s="93">
        <v>21890000</v>
      </c>
      <c r="F6" s="93">
        <f t="shared" si="7"/>
        <v>23269.07</v>
      </c>
      <c r="G6" s="93">
        <v>0</v>
      </c>
      <c r="H6" s="93">
        <f t="shared" si="8"/>
        <v>0</v>
      </c>
      <c r="L6" s="90" t="s">
        <v>438</v>
      </c>
      <c r="M6" s="90" t="s">
        <v>335</v>
      </c>
      <c r="N6" s="90" t="s">
        <v>629</v>
      </c>
      <c r="O6" s="90" t="s">
        <v>630</v>
      </c>
      <c r="P6" s="91">
        <v>750000</v>
      </c>
      <c r="Q6" s="91">
        <f t="shared" si="0"/>
        <v>797.25</v>
      </c>
      <c r="U6" s="90" t="s">
        <v>430</v>
      </c>
      <c r="V6" s="90" t="s">
        <v>454</v>
      </c>
      <c r="W6" s="90" t="s">
        <v>715</v>
      </c>
      <c r="X6" s="1420" t="s">
        <v>716</v>
      </c>
      <c r="Y6" s="91">
        <v>21890000</v>
      </c>
      <c r="Z6" s="91">
        <f t="shared" si="9"/>
        <v>23269.07</v>
      </c>
      <c r="AD6" s="90" t="s">
        <v>430</v>
      </c>
      <c r="AE6" s="90" t="s">
        <v>454</v>
      </c>
      <c r="AF6" s="90" t="s">
        <v>715</v>
      </c>
      <c r="AG6" s="90" t="s">
        <v>716</v>
      </c>
      <c r="AH6" s="91">
        <v>21890000</v>
      </c>
      <c r="AI6" s="91">
        <f t="shared" si="10"/>
        <v>23269.07</v>
      </c>
      <c r="AJ6" s="91">
        <v>0</v>
      </c>
      <c r="AM6" s="169"/>
      <c r="AN6" s="90" t="s">
        <v>434</v>
      </c>
      <c r="AO6" s="90" t="s">
        <v>307</v>
      </c>
      <c r="AP6" s="90" t="s">
        <v>437</v>
      </c>
      <c r="AQ6" s="90" t="s">
        <v>329</v>
      </c>
      <c r="AR6" s="91">
        <v>9692789</v>
      </c>
      <c r="AS6" s="91">
        <f t="shared" si="11"/>
        <v>10303.434707</v>
      </c>
      <c r="AW6" s="90" t="s">
        <v>430</v>
      </c>
      <c r="AX6" s="90" t="s">
        <v>454</v>
      </c>
      <c r="AY6" s="90" t="s">
        <v>455</v>
      </c>
      <c r="AZ6" s="90" t="s">
        <v>456</v>
      </c>
      <c r="BA6" s="91">
        <v>0</v>
      </c>
      <c r="BB6" s="91">
        <v>100000000</v>
      </c>
      <c r="BC6" s="91">
        <v>40000000</v>
      </c>
      <c r="BD6" s="91">
        <f t="shared" si="1"/>
        <v>0</v>
      </c>
      <c r="BE6" s="91">
        <f t="shared" si="2"/>
        <v>106300</v>
      </c>
      <c r="BF6" s="91">
        <f t="shared" si="3"/>
        <v>42520</v>
      </c>
      <c r="BK6" s="90" t="s">
        <v>434</v>
      </c>
      <c r="BL6" s="90" t="s">
        <v>307</v>
      </c>
      <c r="BM6" s="90" t="s">
        <v>437</v>
      </c>
      <c r="BN6" s="90" t="s">
        <v>329</v>
      </c>
      <c r="BO6" s="91">
        <v>9692789</v>
      </c>
      <c r="BP6" s="91">
        <f t="shared" si="4"/>
        <v>10303.434707</v>
      </c>
      <c r="BT6" s="87" t="s">
        <v>430</v>
      </c>
      <c r="BU6" s="87" t="s">
        <v>454</v>
      </c>
      <c r="BV6" s="87" t="s">
        <v>455</v>
      </c>
      <c r="BW6" s="87" t="s">
        <v>456</v>
      </c>
      <c r="BX6" s="304" t="s">
        <v>433</v>
      </c>
      <c r="BY6" s="88">
        <v>0</v>
      </c>
      <c r="BZ6" s="88">
        <v>100000000</v>
      </c>
      <c r="CA6" s="88">
        <v>40000000</v>
      </c>
      <c r="CB6" s="169">
        <f t="shared" si="12"/>
        <v>0</v>
      </c>
      <c r="CC6" s="169">
        <f t="shared" si="13"/>
        <v>100000</v>
      </c>
      <c r="CD6" s="169">
        <f t="shared" si="14"/>
        <v>40000</v>
      </c>
      <c r="CH6" s="87" t="s">
        <v>434</v>
      </c>
      <c r="CI6" s="87" t="s">
        <v>307</v>
      </c>
      <c r="CJ6" s="87">
        <v>42433003</v>
      </c>
      <c r="CK6" s="87" t="s">
        <v>329</v>
      </c>
      <c r="CL6" s="304" t="s">
        <v>433</v>
      </c>
      <c r="CM6" s="88">
        <v>0</v>
      </c>
      <c r="CN6" s="88">
        <v>-39469138</v>
      </c>
      <c r="CO6" s="88">
        <v>8796954</v>
      </c>
      <c r="CP6" s="309">
        <f t="shared" si="15"/>
        <v>0</v>
      </c>
      <c r="CQ6" s="309">
        <f t="shared" si="16"/>
        <v>-39469.137999999999</v>
      </c>
      <c r="CR6" s="309">
        <f t="shared" si="17"/>
        <v>8796.9539999999997</v>
      </c>
      <c r="CV6" s="89" t="s">
        <v>430</v>
      </c>
      <c r="CW6" s="89" t="s">
        <v>454</v>
      </c>
      <c r="CX6" s="89" t="s">
        <v>455</v>
      </c>
      <c r="CY6" s="89" t="s">
        <v>456</v>
      </c>
      <c r="CZ6" s="89">
        <v>0</v>
      </c>
      <c r="DA6" s="89">
        <v>-20000000</v>
      </c>
      <c r="DB6" s="89">
        <v>0</v>
      </c>
      <c r="DC6" s="590">
        <f t="shared" si="18"/>
        <v>0</v>
      </c>
      <c r="DD6" s="590">
        <f t="shared" si="19"/>
        <v>-20000</v>
      </c>
      <c r="DE6" s="590">
        <f t="shared" si="20"/>
        <v>0</v>
      </c>
      <c r="DI6" s="316" t="s">
        <v>430</v>
      </c>
      <c r="DJ6" s="316" t="s">
        <v>454</v>
      </c>
      <c r="DK6" s="316" t="s">
        <v>715</v>
      </c>
      <c r="DL6" s="316" t="s">
        <v>716</v>
      </c>
      <c r="DM6" s="80">
        <v>21890000</v>
      </c>
      <c r="DN6" s="80">
        <v>0</v>
      </c>
      <c r="DO6" s="80">
        <v>0</v>
      </c>
      <c r="DP6" s="593">
        <f t="shared" si="21"/>
        <v>21890</v>
      </c>
      <c r="DQ6" s="593">
        <f t="shared" si="22"/>
        <v>0</v>
      </c>
      <c r="DR6" s="593">
        <f t="shared" si="23"/>
        <v>0</v>
      </c>
      <c r="DV6" s="565" t="s">
        <v>430</v>
      </c>
      <c r="DW6" s="565" t="s">
        <v>454</v>
      </c>
      <c r="DX6" s="565" t="s">
        <v>431</v>
      </c>
      <c r="DY6" s="567" t="s">
        <v>432</v>
      </c>
      <c r="DZ6" s="594" t="s">
        <v>433</v>
      </c>
      <c r="EA6" s="566">
        <v>-1731249</v>
      </c>
      <c r="EB6" s="566">
        <v>0</v>
      </c>
      <c r="EC6" s="566">
        <v>0</v>
      </c>
      <c r="ED6" s="566">
        <f t="shared" si="24"/>
        <v>-1731.249</v>
      </c>
      <c r="EE6" s="566">
        <f t="shared" si="25"/>
        <v>0</v>
      </c>
      <c r="EF6" s="566">
        <f t="shared" si="26"/>
        <v>0</v>
      </c>
      <c r="EG6" s="96"/>
      <c r="EI6" s="89" t="s">
        <v>430</v>
      </c>
      <c r="EJ6" s="89" t="s">
        <v>454</v>
      </c>
      <c r="EK6" s="89" t="s">
        <v>715</v>
      </c>
      <c r="EL6" s="89" t="s">
        <v>716</v>
      </c>
      <c r="EM6" s="89" t="s">
        <v>433</v>
      </c>
      <c r="EN6" s="89">
        <v>11000000</v>
      </c>
      <c r="EO6" s="89">
        <v>0</v>
      </c>
      <c r="EP6" s="89">
        <v>0</v>
      </c>
      <c r="EQ6" s="590">
        <f t="shared" si="27"/>
        <v>11000</v>
      </c>
      <c r="ER6" s="590">
        <f t="shared" si="28"/>
        <v>0</v>
      </c>
      <c r="ES6" s="590">
        <f t="shared" si="29"/>
        <v>0</v>
      </c>
      <c r="EW6" s="565" t="s">
        <v>434</v>
      </c>
      <c r="EX6" s="565" t="s">
        <v>307</v>
      </c>
      <c r="EY6" s="565" t="s">
        <v>436</v>
      </c>
      <c r="EZ6" s="565" t="s">
        <v>339</v>
      </c>
      <c r="FA6" s="594" t="s">
        <v>433</v>
      </c>
      <c r="FB6" s="566">
        <v>0</v>
      </c>
      <c r="FC6" s="566">
        <v>1675190</v>
      </c>
      <c r="FD6" s="566">
        <v>34134654</v>
      </c>
      <c r="FE6" s="566">
        <f t="shared" si="30"/>
        <v>0</v>
      </c>
      <c r="FF6" s="566">
        <f t="shared" si="31"/>
        <v>1675.19</v>
      </c>
      <c r="FG6" s="566">
        <f t="shared" si="32"/>
        <v>34134.654000000002</v>
      </c>
      <c r="FK6" s="89" t="s">
        <v>430</v>
      </c>
      <c r="FL6" s="89" t="s">
        <v>454</v>
      </c>
      <c r="FM6" s="89" t="s">
        <v>715</v>
      </c>
      <c r="FN6" s="89" t="s">
        <v>716</v>
      </c>
      <c r="FO6" s="366" t="s">
        <v>433</v>
      </c>
      <c r="FP6" s="80">
        <v>11000000</v>
      </c>
      <c r="FQ6" s="80">
        <v>0</v>
      </c>
      <c r="FR6" s="80">
        <v>0</v>
      </c>
      <c r="FS6" s="566">
        <f t="shared" si="33"/>
        <v>11000</v>
      </c>
      <c r="FT6" s="566">
        <f t="shared" si="34"/>
        <v>0</v>
      </c>
      <c r="FU6" s="566">
        <f t="shared" si="35"/>
        <v>0</v>
      </c>
      <c r="FY6" s="710" t="s">
        <v>434</v>
      </c>
      <c r="FZ6" s="711" t="s">
        <v>307</v>
      </c>
      <c r="GA6" s="711" t="s">
        <v>447</v>
      </c>
      <c r="GB6" s="711" t="s">
        <v>447</v>
      </c>
      <c r="GC6" s="712" t="s">
        <v>433</v>
      </c>
      <c r="GD6" s="713">
        <v>0</v>
      </c>
      <c r="GE6" s="714">
        <f t="shared" si="36"/>
        <v>0</v>
      </c>
      <c r="GI6" s="679" t="s">
        <v>430</v>
      </c>
      <c r="GJ6" s="679" t="s">
        <v>454</v>
      </c>
      <c r="GK6" s="362" t="s">
        <v>715</v>
      </c>
      <c r="GL6" s="679" t="s">
        <v>716</v>
      </c>
      <c r="GM6" s="679" t="s">
        <v>433</v>
      </c>
      <c r="GN6" s="715">
        <v>11000000</v>
      </c>
      <c r="GO6" s="715">
        <v>0</v>
      </c>
      <c r="GP6" s="715">
        <v>0</v>
      </c>
      <c r="GQ6" s="716">
        <f t="shared" si="37"/>
        <v>11000</v>
      </c>
      <c r="GR6" s="716">
        <f t="shared" si="38"/>
        <v>0</v>
      </c>
      <c r="GS6" s="716">
        <f t="shared" si="39"/>
        <v>0</v>
      </c>
      <c r="GX6" s="664" t="s">
        <v>430</v>
      </c>
      <c r="GY6" s="567" t="s">
        <v>454</v>
      </c>
      <c r="GZ6" s="567" t="s">
        <v>457</v>
      </c>
      <c r="HA6" s="567" t="s">
        <v>274</v>
      </c>
      <c r="HB6" s="567" t="s">
        <v>433</v>
      </c>
      <c r="HC6" s="771">
        <v>39000000</v>
      </c>
      <c r="HD6" s="772">
        <f t="shared" si="40"/>
        <v>39000</v>
      </c>
      <c r="HE6" s="81"/>
      <c r="HF6" s="81"/>
      <c r="HH6" s="775" t="s">
        <v>430</v>
      </c>
      <c r="HI6" s="775" t="s">
        <v>454</v>
      </c>
      <c r="HJ6" s="775" t="s">
        <v>715</v>
      </c>
      <c r="HK6" s="776" t="s">
        <v>716</v>
      </c>
      <c r="HL6" s="776" t="s">
        <v>433</v>
      </c>
      <c r="HM6" s="367">
        <v>9400000</v>
      </c>
      <c r="HN6" s="367">
        <v>0</v>
      </c>
      <c r="HO6" s="367">
        <v>0</v>
      </c>
      <c r="HP6" s="774">
        <f t="shared" si="41"/>
        <v>9400</v>
      </c>
      <c r="HQ6" s="774">
        <f t="shared" si="42"/>
        <v>0</v>
      </c>
      <c r="HR6" s="774">
        <f t="shared" si="43"/>
        <v>0</v>
      </c>
      <c r="HW6" s="776" t="s">
        <v>430</v>
      </c>
      <c r="HX6" s="776" t="s">
        <v>454</v>
      </c>
      <c r="HY6" s="776" t="s">
        <v>447</v>
      </c>
      <c r="HZ6" s="776" t="s">
        <v>447</v>
      </c>
      <c r="IA6" s="776" t="s">
        <v>433</v>
      </c>
      <c r="IB6" s="813">
        <v>0</v>
      </c>
      <c r="IC6" s="813">
        <v>0</v>
      </c>
      <c r="ID6" s="813">
        <v>0</v>
      </c>
      <c r="IE6" s="568">
        <f t="shared" si="44"/>
        <v>0</v>
      </c>
      <c r="II6" s="362" t="s">
        <v>430</v>
      </c>
      <c r="IJ6" s="362" t="s">
        <v>454</v>
      </c>
      <c r="IK6" s="362" t="s">
        <v>715</v>
      </c>
      <c r="IL6" s="362" t="s">
        <v>716</v>
      </c>
      <c r="IM6" s="679" t="s">
        <v>433</v>
      </c>
      <c r="IN6" s="248">
        <v>9900000</v>
      </c>
      <c r="IO6" s="248">
        <v>0</v>
      </c>
      <c r="IP6" s="248">
        <v>0</v>
      </c>
      <c r="IQ6" s="806">
        <f t="shared" si="45"/>
        <v>9900</v>
      </c>
      <c r="IR6" s="806">
        <f t="shared" si="46"/>
        <v>0</v>
      </c>
      <c r="IS6" s="806">
        <f t="shared" si="47"/>
        <v>0</v>
      </c>
      <c r="IW6" s="567" t="s">
        <v>430</v>
      </c>
      <c r="IX6" s="567" t="s">
        <v>454</v>
      </c>
      <c r="IY6" s="567" t="s">
        <v>431</v>
      </c>
      <c r="IZ6" s="567" t="s">
        <v>432</v>
      </c>
      <c r="JA6" s="594" t="s">
        <v>433</v>
      </c>
      <c r="JB6" s="566">
        <v>2194241</v>
      </c>
      <c r="JC6" s="806">
        <f t="shared" si="48"/>
        <v>2194.241</v>
      </c>
      <c r="JG6" s="567" t="s">
        <v>430</v>
      </c>
      <c r="JH6" s="567" t="s">
        <v>454</v>
      </c>
      <c r="JI6" s="567" t="s">
        <v>715</v>
      </c>
      <c r="JJ6" s="567" t="s">
        <v>716</v>
      </c>
      <c r="JK6" s="567" t="s">
        <v>433</v>
      </c>
      <c r="JL6" s="80">
        <v>9900000</v>
      </c>
      <c r="JM6" s="80">
        <v>0</v>
      </c>
      <c r="JN6" s="80">
        <v>0</v>
      </c>
      <c r="JO6" s="169">
        <f t="shared" si="49"/>
        <v>9900</v>
      </c>
      <c r="JP6" s="169">
        <f t="shared" si="50"/>
        <v>0</v>
      </c>
      <c r="JQ6" s="169">
        <f t="shared" si="51"/>
        <v>0</v>
      </c>
    </row>
    <row r="7" spans="1:279" ht="15" customHeight="1" x14ac:dyDescent="0.25">
      <c r="A7" s="92" t="s">
        <v>430</v>
      </c>
      <c r="B7" s="92" t="s">
        <v>454</v>
      </c>
      <c r="C7" s="92" t="s">
        <v>628</v>
      </c>
      <c r="D7" s="92" t="s">
        <v>331</v>
      </c>
      <c r="E7" s="93">
        <v>1985751</v>
      </c>
      <c r="F7" s="93">
        <f t="shared" si="7"/>
        <v>2110.8533130000001</v>
      </c>
      <c r="G7" s="93">
        <v>0</v>
      </c>
      <c r="H7" s="93">
        <f t="shared" si="8"/>
        <v>0</v>
      </c>
      <c r="L7" s="90" t="s">
        <v>465</v>
      </c>
      <c r="M7" s="90" t="s">
        <v>466</v>
      </c>
      <c r="N7" s="90" t="s">
        <v>447</v>
      </c>
      <c r="O7" s="90" t="s">
        <v>447</v>
      </c>
      <c r="P7" s="91">
        <v>10392341</v>
      </c>
      <c r="Q7" s="91">
        <f t="shared" si="0"/>
        <v>11047.058483000001</v>
      </c>
      <c r="U7" s="90" t="s">
        <v>430</v>
      </c>
      <c r="V7" s="90" t="s">
        <v>454</v>
      </c>
      <c r="W7" s="90" t="s">
        <v>628</v>
      </c>
      <c r="X7" s="1420" t="s">
        <v>331</v>
      </c>
      <c r="Y7" s="91">
        <v>1985751</v>
      </c>
      <c r="Z7" s="91">
        <f t="shared" si="9"/>
        <v>2110.8533130000001</v>
      </c>
      <c r="AD7" s="90" t="s">
        <v>430</v>
      </c>
      <c r="AE7" s="90" t="s">
        <v>454</v>
      </c>
      <c r="AF7" s="90" t="s">
        <v>628</v>
      </c>
      <c r="AG7" s="90" t="s">
        <v>331</v>
      </c>
      <c r="AH7" s="91">
        <v>1985751</v>
      </c>
      <c r="AI7" s="91">
        <f t="shared" si="10"/>
        <v>2110.8533130000001</v>
      </c>
      <c r="AJ7" s="91">
        <v>0</v>
      </c>
      <c r="AM7" s="169"/>
      <c r="AN7" s="90" t="s">
        <v>434</v>
      </c>
      <c r="AO7" s="90" t="s">
        <v>307</v>
      </c>
      <c r="AP7" s="90" t="s">
        <v>459</v>
      </c>
      <c r="AQ7" s="90" t="s">
        <v>331</v>
      </c>
      <c r="AR7" s="91">
        <v>2250000</v>
      </c>
      <c r="AS7" s="91">
        <f t="shared" si="11"/>
        <v>2391.75</v>
      </c>
      <c r="AW7" s="90" t="s">
        <v>430</v>
      </c>
      <c r="AX7" s="90" t="s">
        <v>454</v>
      </c>
      <c r="AY7" s="90" t="s">
        <v>431</v>
      </c>
      <c r="AZ7" s="90" t="s">
        <v>432</v>
      </c>
      <c r="BA7" s="91">
        <v>22000000</v>
      </c>
      <c r="BB7" s="91">
        <v>0</v>
      </c>
      <c r="BC7" s="91">
        <v>0</v>
      </c>
      <c r="BD7" s="91">
        <f t="shared" si="1"/>
        <v>23386</v>
      </c>
      <c r="BE7" s="91">
        <f t="shared" si="2"/>
        <v>0</v>
      </c>
      <c r="BF7" s="91">
        <f t="shared" si="3"/>
        <v>0</v>
      </c>
      <c r="BK7" s="90" t="s">
        <v>434</v>
      </c>
      <c r="BL7" s="90" t="s">
        <v>307</v>
      </c>
      <c r="BM7" s="90" t="s">
        <v>459</v>
      </c>
      <c r="BN7" s="90" t="s">
        <v>331</v>
      </c>
      <c r="BO7" s="91">
        <v>2250000</v>
      </c>
      <c r="BP7" s="91">
        <f t="shared" si="4"/>
        <v>2391.75</v>
      </c>
      <c r="BT7" s="87" t="s">
        <v>430</v>
      </c>
      <c r="BU7" s="87" t="s">
        <v>454</v>
      </c>
      <c r="BV7" s="87" t="s">
        <v>431</v>
      </c>
      <c r="BW7" s="87" t="s">
        <v>432</v>
      </c>
      <c r="BX7" s="304" t="s">
        <v>433</v>
      </c>
      <c r="BY7" s="88">
        <v>22000000</v>
      </c>
      <c r="BZ7" s="88">
        <v>0</v>
      </c>
      <c r="CA7" s="88">
        <v>0</v>
      </c>
      <c r="CB7" s="169">
        <f t="shared" si="12"/>
        <v>22000</v>
      </c>
      <c r="CC7" s="169">
        <f t="shared" si="13"/>
        <v>0</v>
      </c>
      <c r="CD7" s="169">
        <f t="shared" si="14"/>
        <v>0</v>
      </c>
      <c r="CH7" s="87" t="s">
        <v>434</v>
      </c>
      <c r="CI7" s="87" t="s">
        <v>307</v>
      </c>
      <c r="CJ7" s="87">
        <v>42433005</v>
      </c>
      <c r="CK7" s="87" t="s">
        <v>331</v>
      </c>
      <c r="CL7" s="304" t="s">
        <v>433</v>
      </c>
      <c r="CM7" s="88">
        <v>0</v>
      </c>
      <c r="CN7" s="88">
        <v>0</v>
      </c>
      <c r="CO7" s="88">
        <v>4500000</v>
      </c>
      <c r="CP7" s="309">
        <f t="shared" si="15"/>
        <v>0</v>
      </c>
      <c r="CQ7" s="309">
        <f t="shared" si="16"/>
        <v>0</v>
      </c>
      <c r="CR7" s="309">
        <f t="shared" si="17"/>
        <v>4500</v>
      </c>
      <c r="CV7" s="89" t="s">
        <v>430</v>
      </c>
      <c r="CW7" s="89" t="s">
        <v>454</v>
      </c>
      <c r="CX7" s="89" t="s">
        <v>457</v>
      </c>
      <c r="CY7" s="89" t="s">
        <v>274</v>
      </c>
      <c r="CZ7" s="89">
        <v>-2531249</v>
      </c>
      <c r="DA7" s="89">
        <v>0</v>
      </c>
      <c r="DB7" s="89">
        <v>0</v>
      </c>
      <c r="DC7" s="590">
        <f t="shared" si="18"/>
        <v>-2531.2489999999998</v>
      </c>
      <c r="DD7" s="590">
        <f t="shared" si="19"/>
        <v>0</v>
      </c>
      <c r="DE7" s="590">
        <f t="shared" si="20"/>
        <v>0</v>
      </c>
      <c r="DI7" s="316" t="s">
        <v>430</v>
      </c>
      <c r="DJ7" s="316" t="s">
        <v>454</v>
      </c>
      <c r="DK7" s="316" t="s">
        <v>628</v>
      </c>
      <c r="DL7" s="316" t="s">
        <v>331</v>
      </c>
      <c r="DM7" s="80">
        <v>1985751</v>
      </c>
      <c r="DN7" s="80">
        <v>0</v>
      </c>
      <c r="DO7" s="80">
        <v>0</v>
      </c>
      <c r="DP7" s="593">
        <f t="shared" si="21"/>
        <v>1985.751</v>
      </c>
      <c r="DQ7" s="593">
        <f t="shared" si="22"/>
        <v>0</v>
      </c>
      <c r="DR7" s="593">
        <f t="shared" si="23"/>
        <v>0</v>
      </c>
      <c r="DV7" s="565" t="s">
        <v>430</v>
      </c>
      <c r="DW7" s="565" t="s">
        <v>454</v>
      </c>
      <c r="DX7" s="565" t="s">
        <v>628</v>
      </c>
      <c r="DY7" s="567" t="s">
        <v>331</v>
      </c>
      <c r="DZ7" s="594" t="s">
        <v>433</v>
      </c>
      <c r="EA7" s="566">
        <v>-1985751</v>
      </c>
      <c r="EB7" s="566">
        <v>0</v>
      </c>
      <c r="EC7" s="566">
        <v>0</v>
      </c>
      <c r="ED7" s="566">
        <f t="shared" si="24"/>
        <v>-1985.751</v>
      </c>
      <c r="EE7" s="566">
        <f t="shared" si="25"/>
        <v>0</v>
      </c>
      <c r="EF7" s="566">
        <f t="shared" si="26"/>
        <v>0</v>
      </c>
      <c r="EG7" s="96"/>
      <c r="EI7" s="89" t="s">
        <v>430</v>
      </c>
      <c r="EJ7" s="89" t="s">
        <v>454</v>
      </c>
      <c r="EK7" s="89" t="s">
        <v>447</v>
      </c>
      <c r="EL7" s="89" t="s">
        <v>447</v>
      </c>
      <c r="EM7" s="89" t="s">
        <v>433</v>
      </c>
      <c r="EN7" s="89">
        <v>0</v>
      </c>
      <c r="EO7" s="89">
        <v>0</v>
      </c>
      <c r="EP7" s="89">
        <v>0</v>
      </c>
      <c r="EQ7" s="590">
        <f t="shared" si="27"/>
        <v>0</v>
      </c>
      <c r="ER7" s="590">
        <f t="shared" si="28"/>
        <v>0</v>
      </c>
      <c r="ES7" s="590">
        <f t="shared" si="29"/>
        <v>0</v>
      </c>
      <c r="EW7" s="565" t="s">
        <v>434</v>
      </c>
      <c r="EX7" s="565" t="s">
        <v>307</v>
      </c>
      <c r="EY7" s="565" t="s">
        <v>447</v>
      </c>
      <c r="EZ7" s="565" t="s">
        <v>447</v>
      </c>
      <c r="FA7" s="594" t="s">
        <v>433</v>
      </c>
      <c r="FB7" s="566">
        <v>0</v>
      </c>
      <c r="FC7" s="566">
        <v>0</v>
      </c>
      <c r="FD7" s="566">
        <v>0</v>
      </c>
      <c r="FE7" s="566">
        <f t="shared" si="30"/>
        <v>0</v>
      </c>
      <c r="FF7" s="566">
        <f t="shared" si="31"/>
        <v>0</v>
      </c>
      <c r="FG7" s="566">
        <f t="shared" si="32"/>
        <v>0</v>
      </c>
      <c r="FK7" s="89" t="s">
        <v>430</v>
      </c>
      <c r="FL7" s="89" t="s">
        <v>454</v>
      </c>
      <c r="FM7" s="89" t="s">
        <v>457</v>
      </c>
      <c r="FN7" s="89" t="s">
        <v>274</v>
      </c>
      <c r="FO7" s="366" t="s">
        <v>433</v>
      </c>
      <c r="FP7" s="80">
        <v>0</v>
      </c>
      <c r="FQ7" s="80">
        <v>676980000</v>
      </c>
      <c r="FR7" s="80">
        <v>315216000</v>
      </c>
      <c r="FS7" s="566">
        <f t="shared" si="33"/>
        <v>0</v>
      </c>
      <c r="FT7" s="566">
        <f t="shared" si="34"/>
        <v>676980</v>
      </c>
      <c r="FU7" s="566">
        <f t="shared" si="35"/>
        <v>315216</v>
      </c>
      <c r="FY7" s="710" t="s">
        <v>434</v>
      </c>
      <c r="FZ7" s="711" t="s">
        <v>307</v>
      </c>
      <c r="GA7" s="711" t="s">
        <v>459</v>
      </c>
      <c r="GB7" s="711" t="s">
        <v>331</v>
      </c>
      <c r="GC7" s="712" t="s">
        <v>433</v>
      </c>
      <c r="GD7" s="713">
        <v>98980</v>
      </c>
      <c r="GE7" s="714">
        <f t="shared" si="36"/>
        <v>98.98</v>
      </c>
      <c r="GI7" s="679" t="s">
        <v>430</v>
      </c>
      <c r="GJ7" s="679" t="s">
        <v>454</v>
      </c>
      <c r="GK7" s="362" t="s">
        <v>457</v>
      </c>
      <c r="GL7" s="679" t="s">
        <v>274</v>
      </c>
      <c r="GM7" s="679" t="s">
        <v>433</v>
      </c>
      <c r="GN7" s="715">
        <v>0</v>
      </c>
      <c r="GO7" s="715">
        <v>754980000</v>
      </c>
      <c r="GP7" s="715">
        <v>414588000</v>
      </c>
      <c r="GQ7" s="716">
        <f t="shared" si="37"/>
        <v>0</v>
      </c>
      <c r="GR7" s="716">
        <f t="shared" si="38"/>
        <v>754980</v>
      </c>
      <c r="GS7" s="716">
        <f t="shared" si="39"/>
        <v>414588</v>
      </c>
      <c r="GX7" s="664" t="s">
        <v>430</v>
      </c>
      <c r="GY7" s="567" t="s">
        <v>454</v>
      </c>
      <c r="GZ7" s="567" t="s">
        <v>447</v>
      </c>
      <c r="HA7" s="567" t="s">
        <v>447</v>
      </c>
      <c r="HB7" s="567" t="s">
        <v>433</v>
      </c>
      <c r="HC7" s="771">
        <v>0</v>
      </c>
      <c r="HD7" s="772">
        <f t="shared" si="40"/>
        <v>0</v>
      </c>
      <c r="HE7" s="81"/>
      <c r="HF7" s="81"/>
      <c r="HH7" s="775" t="s">
        <v>430</v>
      </c>
      <c r="HI7" s="775" t="s">
        <v>454</v>
      </c>
      <c r="HJ7" s="775" t="s">
        <v>447</v>
      </c>
      <c r="HK7" s="776" t="s">
        <v>447</v>
      </c>
      <c r="HL7" s="776" t="s">
        <v>433</v>
      </c>
      <c r="HM7" s="367">
        <v>0</v>
      </c>
      <c r="HN7" s="367">
        <v>0</v>
      </c>
      <c r="HO7" s="367">
        <v>0</v>
      </c>
      <c r="HP7" s="774">
        <f t="shared" si="41"/>
        <v>0</v>
      </c>
      <c r="HQ7" s="774">
        <f t="shared" si="42"/>
        <v>0</v>
      </c>
      <c r="HR7" s="774">
        <f t="shared" si="43"/>
        <v>0</v>
      </c>
      <c r="HW7" s="776" t="s">
        <v>430</v>
      </c>
      <c r="HX7" s="776" t="s">
        <v>454</v>
      </c>
      <c r="HY7" s="776" t="s">
        <v>431</v>
      </c>
      <c r="HZ7" s="776" t="s">
        <v>432</v>
      </c>
      <c r="IA7" s="776" t="s">
        <v>433</v>
      </c>
      <c r="IB7" s="813">
        <v>0</v>
      </c>
      <c r="IC7" s="813">
        <v>1242241</v>
      </c>
      <c r="ID7" s="813">
        <v>0</v>
      </c>
      <c r="IE7" s="568">
        <f t="shared" si="44"/>
        <v>0</v>
      </c>
      <c r="II7" s="362" t="s">
        <v>430</v>
      </c>
      <c r="IJ7" s="362" t="s">
        <v>454</v>
      </c>
      <c r="IK7" s="362" t="s">
        <v>628</v>
      </c>
      <c r="IL7" s="362" t="s">
        <v>331</v>
      </c>
      <c r="IM7" s="679" t="s">
        <v>433</v>
      </c>
      <c r="IN7" s="248">
        <v>160293</v>
      </c>
      <c r="IO7" s="248">
        <v>0</v>
      </c>
      <c r="IP7" s="248">
        <v>0</v>
      </c>
      <c r="IQ7" s="806">
        <f t="shared" si="45"/>
        <v>160.29300000000001</v>
      </c>
      <c r="IR7" s="806">
        <f t="shared" si="46"/>
        <v>0</v>
      </c>
      <c r="IS7" s="806">
        <f t="shared" si="47"/>
        <v>0</v>
      </c>
      <c r="IW7" s="567" t="s">
        <v>434</v>
      </c>
      <c r="IX7" s="567" t="s">
        <v>307</v>
      </c>
      <c r="IY7" s="567" t="s">
        <v>459</v>
      </c>
      <c r="IZ7" s="567" t="s">
        <v>331</v>
      </c>
      <c r="JA7" s="594" t="s">
        <v>433</v>
      </c>
      <c r="JB7" s="566">
        <v>6053959</v>
      </c>
      <c r="JC7" s="806">
        <f t="shared" si="48"/>
        <v>6053.9589999999998</v>
      </c>
      <c r="JG7" s="567" t="s">
        <v>430</v>
      </c>
      <c r="JH7" s="567" t="s">
        <v>454</v>
      </c>
      <c r="JI7" s="567" t="s">
        <v>628</v>
      </c>
      <c r="JJ7" s="567" t="s">
        <v>331</v>
      </c>
      <c r="JK7" s="567" t="s">
        <v>433</v>
      </c>
      <c r="JL7" s="80">
        <v>160293</v>
      </c>
      <c r="JM7" s="80">
        <v>0</v>
      </c>
      <c r="JN7" s="80">
        <v>0</v>
      </c>
      <c r="JO7" s="169">
        <f t="shared" si="49"/>
        <v>160.29300000000001</v>
      </c>
      <c r="JP7" s="169">
        <f t="shared" si="50"/>
        <v>0</v>
      </c>
      <c r="JQ7" s="169">
        <f t="shared" si="51"/>
        <v>0</v>
      </c>
    </row>
    <row r="8" spans="1:279" ht="15" customHeight="1" x14ac:dyDescent="0.25">
      <c r="A8" s="92" t="s">
        <v>434</v>
      </c>
      <c r="B8" s="92" t="s">
        <v>307</v>
      </c>
      <c r="C8" s="92" t="s">
        <v>435</v>
      </c>
      <c r="D8" s="92" t="s">
        <v>328</v>
      </c>
      <c r="E8" s="93">
        <v>1912129000</v>
      </c>
      <c r="F8" s="93">
        <f t="shared" si="7"/>
        <v>2032593.1269999999</v>
      </c>
      <c r="G8" s="93">
        <v>0</v>
      </c>
      <c r="H8" s="93">
        <f t="shared" si="8"/>
        <v>0</v>
      </c>
      <c r="L8" s="90" t="s">
        <v>452</v>
      </c>
      <c r="M8" s="90" t="s">
        <v>128</v>
      </c>
      <c r="N8" s="90" t="s">
        <v>447</v>
      </c>
      <c r="O8" s="90" t="s">
        <v>447</v>
      </c>
      <c r="P8" s="91">
        <v>859772544</v>
      </c>
      <c r="Q8" s="91">
        <f t="shared" si="0"/>
        <v>913938.2142719999</v>
      </c>
      <c r="U8" s="90" t="s">
        <v>434</v>
      </c>
      <c r="V8" s="90" t="s">
        <v>307</v>
      </c>
      <c r="W8" s="90" t="s">
        <v>435</v>
      </c>
      <c r="X8" s="1420" t="s">
        <v>328</v>
      </c>
      <c r="Y8" s="91">
        <v>1912129000</v>
      </c>
      <c r="Z8" s="91">
        <f t="shared" si="9"/>
        <v>2032593.1269999999</v>
      </c>
      <c r="AD8" s="90" t="s">
        <v>430</v>
      </c>
      <c r="AE8" s="90" t="s">
        <v>454</v>
      </c>
      <c r="AF8" s="90" t="s">
        <v>447</v>
      </c>
      <c r="AG8" s="90" t="s">
        <v>447</v>
      </c>
      <c r="AH8" s="91">
        <v>0</v>
      </c>
      <c r="AI8" s="91">
        <f t="shared" si="10"/>
        <v>0</v>
      </c>
      <c r="AJ8" s="91">
        <v>0</v>
      </c>
      <c r="AM8" s="169"/>
      <c r="AN8" s="90" t="s">
        <v>434</v>
      </c>
      <c r="AO8" s="90" t="s">
        <v>307</v>
      </c>
      <c r="AP8" s="90" t="s">
        <v>435</v>
      </c>
      <c r="AQ8" s="90" t="str">
        <f>+'P02 2022'!II2</f>
        <v>Código Concepto</v>
      </c>
      <c r="AR8" s="91">
        <v>14382470</v>
      </c>
      <c r="AS8" s="91">
        <f t="shared" si="11"/>
        <v>15288.565609999998</v>
      </c>
      <c r="AW8" s="90" t="s">
        <v>430</v>
      </c>
      <c r="AX8" s="90" t="s">
        <v>454</v>
      </c>
      <c r="AY8" s="90" t="s">
        <v>628</v>
      </c>
      <c r="AZ8" s="90" t="s">
        <v>331</v>
      </c>
      <c r="BA8" s="91">
        <v>1985751</v>
      </c>
      <c r="BB8" s="91">
        <v>0</v>
      </c>
      <c r="BC8" s="91">
        <v>0</v>
      </c>
      <c r="BD8" s="91">
        <f t="shared" si="1"/>
        <v>2110.8533130000001</v>
      </c>
      <c r="BE8" s="91">
        <f t="shared" si="2"/>
        <v>0</v>
      </c>
      <c r="BF8" s="91">
        <f t="shared" si="3"/>
        <v>0</v>
      </c>
      <c r="BK8" s="90" t="s">
        <v>465</v>
      </c>
      <c r="BL8" s="90" t="s">
        <v>466</v>
      </c>
      <c r="BM8" s="90" t="s">
        <v>447</v>
      </c>
      <c r="BN8" s="90" t="s">
        <v>447</v>
      </c>
      <c r="BO8" s="91">
        <v>10329576</v>
      </c>
      <c r="BP8" s="91">
        <f t="shared" si="4"/>
        <v>10980.339287999999</v>
      </c>
      <c r="BT8" s="87" t="s">
        <v>430</v>
      </c>
      <c r="BU8" s="87" t="s">
        <v>454</v>
      </c>
      <c r="BV8" s="87" t="s">
        <v>628</v>
      </c>
      <c r="BW8" s="87" t="s">
        <v>331</v>
      </c>
      <c r="BX8" s="304" t="s">
        <v>433</v>
      </c>
      <c r="BY8" s="88">
        <v>1985751</v>
      </c>
      <c r="BZ8" s="88">
        <v>0</v>
      </c>
      <c r="CA8" s="88">
        <v>0</v>
      </c>
      <c r="CB8" s="169">
        <f t="shared" si="12"/>
        <v>1985.751</v>
      </c>
      <c r="CC8" s="169">
        <f t="shared" si="13"/>
        <v>0</v>
      </c>
      <c r="CD8" s="169">
        <f t="shared" si="14"/>
        <v>0</v>
      </c>
      <c r="CH8" s="87" t="s">
        <v>434</v>
      </c>
      <c r="CI8" s="87" t="s">
        <v>307</v>
      </c>
      <c r="CJ8" s="87" t="s">
        <v>447</v>
      </c>
      <c r="CK8" s="87" t="s">
        <v>447</v>
      </c>
      <c r="CL8" s="304" t="s">
        <v>433</v>
      </c>
      <c r="CM8" s="88">
        <v>0</v>
      </c>
      <c r="CN8" s="88">
        <v>0</v>
      </c>
      <c r="CO8" s="88">
        <v>0</v>
      </c>
      <c r="CP8" s="309">
        <f t="shared" si="15"/>
        <v>0</v>
      </c>
      <c r="CQ8" s="309">
        <f t="shared" si="16"/>
        <v>0</v>
      </c>
      <c r="CR8" s="309">
        <f t="shared" si="17"/>
        <v>0</v>
      </c>
      <c r="CV8" s="89" t="s">
        <v>430</v>
      </c>
      <c r="CW8" s="89" t="s">
        <v>454</v>
      </c>
      <c r="CX8" s="89" t="s">
        <v>455</v>
      </c>
      <c r="CY8" s="89" t="s">
        <v>456</v>
      </c>
      <c r="CZ8" s="89">
        <v>-47200000</v>
      </c>
      <c r="DA8" s="89">
        <v>0</v>
      </c>
      <c r="DB8" s="89">
        <v>0</v>
      </c>
      <c r="DC8" s="590">
        <f t="shared" si="18"/>
        <v>-47200</v>
      </c>
      <c r="DD8" s="590">
        <f t="shared" si="19"/>
        <v>0</v>
      </c>
      <c r="DE8" s="590">
        <f t="shared" si="20"/>
        <v>0</v>
      </c>
      <c r="DI8" s="316" t="s">
        <v>430</v>
      </c>
      <c r="DJ8" s="316" t="s">
        <v>454</v>
      </c>
      <c r="DK8" s="316" t="s">
        <v>447</v>
      </c>
      <c r="DL8" s="316" t="s">
        <v>447</v>
      </c>
      <c r="DM8" s="80">
        <v>0</v>
      </c>
      <c r="DN8" s="80">
        <v>0</v>
      </c>
      <c r="DO8" s="80">
        <v>0</v>
      </c>
      <c r="DP8" s="593">
        <f t="shared" si="21"/>
        <v>0</v>
      </c>
      <c r="DQ8" s="593">
        <f t="shared" si="22"/>
        <v>0</v>
      </c>
      <c r="DR8" s="593">
        <f t="shared" si="23"/>
        <v>0</v>
      </c>
      <c r="DV8" s="565" t="s">
        <v>430</v>
      </c>
      <c r="DW8" s="565" t="s">
        <v>454</v>
      </c>
      <c r="DX8" s="565" t="s">
        <v>715</v>
      </c>
      <c r="DY8" s="567" t="s">
        <v>716</v>
      </c>
      <c r="DZ8" s="594" t="s">
        <v>433</v>
      </c>
      <c r="EA8" s="566">
        <v>-10890000</v>
      </c>
      <c r="EB8" s="566">
        <v>0</v>
      </c>
      <c r="EC8" s="566">
        <v>0</v>
      </c>
      <c r="ED8" s="566">
        <f t="shared" si="24"/>
        <v>-10890</v>
      </c>
      <c r="EE8" s="566">
        <f t="shared" si="25"/>
        <v>0</v>
      </c>
      <c r="EF8" s="566">
        <f t="shared" si="26"/>
        <v>0</v>
      </c>
      <c r="EG8" s="96"/>
      <c r="EI8" s="89" t="s">
        <v>430</v>
      </c>
      <c r="EJ8" s="89" t="s">
        <v>454</v>
      </c>
      <c r="EK8" s="89" t="s">
        <v>455</v>
      </c>
      <c r="EL8" s="89" t="s">
        <v>456</v>
      </c>
      <c r="EM8" s="89" t="s">
        <v>433</v>
      </c>
      <c r="EN8" s="89">
        <v>0</v>
      </c>
      <c r="EO8" s="89">
        <v>80000000</v>
      </c>
      <c r="EP8" s="89">
        <v>40000000</v>
      </c>
      <c r="EQ8" s="590">
        <f t="shared" si="27"/>
        <v>0</v>
      </c>
      <c r="ER8" s="590">
        <f t="shared" si="28"/>
        <v>80000</v>
      </c>
      <c r="ES8" s="590">
        <f t="shared" si="29"/>
        <v>40000</v>
      </c>
      <c r="EW8" s="565" t="s">
        <v>434</v>
      </c>
      <c r="EX8" s="565" t="s">
        <v>307</v>
      </c>
      <c r="EY8" s="565" t="s">
        <v>435</v>
      </c>
      <c r="EZ8" s="565" t="s">
        <v>328</v>
      </c>
      <c r="FA8" s="594" t="s">
        <v>433</v>
      </c>
      <c r="FB8" s="566">
        <v>0</v>
      </c>
      <c r="FC8" s="566">
        <v>60339625</v>
      </c>
      <c r="FD8" s="566">
        <v>189158111</v>
      </c>
      <c r="FE8" s="566">
        <f t="shared" si="30"/>
        <v>0</v>
      </c>
      <c r="FF8" s="566">
        <f t="shared" si="31"/>
        <v>60339.625</v>
      </c>
      <c r="FG8" s="566">
        <f t="shared" si="32"/>
        <v>189158.111</v>
      </c>
      <c r="FK8" s="89" t="s">
        <v>430</v>
      </c>
      <c r="FL8" s="89" t="s">
        <v>454</v>
      </c>
      <c r="FM8" s="89" t="s">
        <v>447</v>
      </c>
      <c r="FN8" s="89" t="s">
        <v>447</v>
      </c>
      <c r="FO8" s="366" t="s">
        <v>433</v>
      </c>
      <c r="FP8" s="80">
        <v>0</v>
      </c>
      <c r="FQ8" s="80">
        <v>0</v>
      </c>
      <c r="FR8" s="80">
        <v>0</v>
      </c>
      <c r="FS8" s="566">
        <f t="shared" si="33"/>
        <v>0</v>
      </c>
      <c r="FT8" s="566">
        <f t="shared" si="34"/>
        <v>0</v>
      </c>
      <c r="FU8" s="566">
        <f t="shared" si="35"/>
        <v>0</v>
      </c>
      <c r="FY8" s="710" t="s">
        <v>434</v>
      </c>
      <c r="FZ8" s="711" t="s">
        <v>307</v>
      </c>
      <c r="GA8" s="711" t="s">
        <v>437</v>
      </c>
      <c r="GB8" s="711" t="s">
        <v>329</v>
      </c>
      <c r="GC8" s="712" t="s">
        <v>433</v>
      </c>
      <c r="GD8" s="713">
        <v>11117383</v>
      </c>
      <c r="GE8" s="714">
        <f t="shared" si="36"/>
        <v>11117.383</v>
      </c>
      <c r="GI8" s="679" t="s">
        <v>430</v>
      </c>
      <c r="GJ8" s="679" t="s">
        <v>454</v>
      </c>
      <c r="GK8" s="362" t="s">
        <v>455</v>
      </c>
      <c r="GL8" s="679" t="s">
        <v>456</v>
      </c>
      <c r="GM8" s="679" t="s">
        <v>433</v>
      </c>
      <c r="GN8" s="715">
        <v>0</v>
      </c>
      <c r="GO8" s="715">
        <v>80000000</v>
      </c>
      <c r="GP8" s="715">
        <v>40000000</v>
      </c>
      <c r="GQ8" s="716">
        <f t="shared" si="37"/>
        <v>0</v>
      </c>
      <c r="GR8" s="716">
        <f t="shared" si="38"/>
        <v>80000</v>
      </c>
      <c r="GS8" s="716">
        <f t="shared" si="39"/>
        <v>40000</v>
      </c>
      <c r="GX8" s="664" t="s">
        <v>430</v>
      </c>
      <c r="GY8" s="567" t="s">
        <v>454</v>
      </c>
      <c r="GZ8" s="567" t="s">
        <v>715</v>
      </c>
      <c r="HA8" s="567" t="s">
        <v>716</v>
      </c>
      <c r="HB8" s="567" t="s">
        <v>433</v>
      </c>
      <c r="HC8" s="771">
        <v>0</v>
      </c>
      <c r="HD8" s="772">
        <f t="shared" si="40"/>
        <v>0</v>
      </c>
      <c r="HE8" s="81"/>
      <c r="HF8" s="81"/>
      <c r="HH8" s="775" t="s">
        <v>430</v>
      </c>
      <c r="HI8" s="775" t="s">
        <v>454</v>
      </c>
      <c r="HJ8" s="775" t="s">
        <v>455</v>
      </c>
      <c r="HK8" s="776" t="s">
        <v>456</v>
      </c>
      <c r="HL8" s="776" t="s">
        <v>433</v>
      </c>
      <c r="HM8" s="367">
        <v>0</v>
      </c>
      <c r="HN8" s="367">
        <v>80000000</v>
      </c>
      <c r="HO8" s="367">
        <v>60000000</v>
      </c>
      <c r="HP8" s="774">
        <f t="shared" si="41"/>
        <v>0</v>
      </c>
      <c r="HQ8" s="774">
        <f t="shared" si="42"/>
        <v>80000</v>
      </c>
      <c r="HR8" s="774">
        <f t="shared" si="43"/>
        <v>60000</v>
      </c>
      <c r="HW8" s="776" t="s">
        <v>430</v>
      </c>
      <c r="HX8" s="776" t="s">
        <v>454</v>
      </c>
      <c r="HY8" s="776" t="s">
        <v>457</v>
      </c>
      <c r="HZ8" s="776" t="s">
        <v>274</v>
      </c>
      <c r="IA8" s="776" t="s">
        <v>433</v>
      </c>
      <c r="IB8" s="813">
        <v>0</v>
      </c>
      <c r="IC8" s="813">
        <v>34272000</v>
      </c>
      <c r="ID8" s="813">
        <v>167314000</v>
      </c>
      <c r="IE8" s="568">
        <f t="shared" si="44"/>
        <v>167314</v>
      </c>
      <c r="II8" s="362" t="s">
        <v>430</v>
      </c>
      <c r="IJ8" s="362" t="s">
        <v>454</v>
      </c>
      <c r="IK8" s="362" t="s">
        <v>447</v>
      </c>
      <c r="IL8" s="362" t="s">
        <v>447</v>
      </c>
      <c r="IM8" s="679" t="s">
        <v>433</v>
      </c>
      <c r="IN8" s="248">
        <v>0</v>
      </c>
      <c r="IO8" s="248">
        <v>0</v>
      </c>
      <c r="IP8" s="248">
        <v>0</v>
      </c>
      <c r="IQ8" s="806">
        <f t="shared" si="45"/>
        <v>0</v>
      </c>
      <c r="IR8" s="806">
        <f t="shared" si="46"/>
        <v>0</v>
      </c>
      <c r="IS8" s="806">
        <f t="shared" si="47"/>
        <v>0</v>
      </c>
      <c r="IW8" s="567" t="s">
        <v>434</v>
      </c>
      <c r="IX8" s="567" t="s">
        <v>307</v>
      </c>
      <c r="IY8" s="567" t="s">
        <v>436</v>
      </c>
      <c r="IZ8" s="567" t="s">
        <v>339</v>
      </c>
      <c r="JA8" s="594" t="s">
        <v>433</v>
      </c>
      <c r="JB8" s="566">
        <v>15021614</v>
      </c>
      <c r="JC8" s="806">
        <f t="shared" si="48"/>
        <v>15021.614</v>
      </c>
      <c r="JG8" s="567" t="s">
        <v>430</v>
      </c>
      <c r="JH8" s="567" t="s">
        <v>454</v>
      </c>
      <c r="JI8" s="567" t="s">
        <v>457</v>
      </c>
      <c r="JJ8" s="567" t="s">
        <v>274</v>
      </c>
      <c r="JK8" s="567" t="s">
        <v>433</v>
      </c>
      <c r="JL8" s="80">
        <v>0</v>
      </c>
      <c r="JM8" s="80">
        <v>1022896000</v>
      </c>
      <c r="JN8" s="80">
        <v>1022896000</v>
      </c>
      <c r="JO8" s="169">
        <f t="shared" si="49"/>
        <v>0</v>
      </c>
      <c r="JP8" s="169">
        <f t="shared" si="50"/>
        <v>1022896</v>
      </c>
      <c r="JQ8" s="169">
        <f t="shared" si="51"/>
        <v>1022896</v>
      </c>
    </row>
    <row r="9" spans="1:279" ht="15" customHeight="1" x14ac:dyDescent="0.25">
      <c r="A9" s="92" t="s">
        <v>434</v>
      </c>
      <c r="B9" s="92" t="s">
        <v>307</v>
      </c>
      <c r="C9" s="92" t="s">
        <v>436</v>
      </c>
      <c r="D9" s="92" t="s">
        <v>339</v>
      </c>
      <c r="E9" s="93">
        <v>508288000</v>
      </c>
      <c r="F9" s="93">
        <f t="shared" si="7"/>
        <v>540310.14399999997</v>
      </c>
      <c r="G9" s="93">
        <v>0</v>
      </c>
      <c r="H9" s="93">
        <f t="shared" si="8"/>
        <v>0</v>
      </c>
      <c r="U9" s="90" t="s">
        <v>434</v>
      </c>
      <c r="V9" s="90" t="s">
        <v>307</v>
      </c>
      <c r="W9" s="90" t="s">
        <v>436</v>
      </c>
      <c r="X9" s="1420" t="s">
        <v>339</v>
      </c>
      <c r="Y9" s="91">
        <v>508288000</v>
      </c>
      <c r="Z9" s="91">
        <f t="shared" si="9"/>
        <v>540310.14399999997</v>
      </c>
      <c r="AD9" s="90" t="s">
        <v>430</v>
      </c>
      <c r="AE9" s="90" t="s">
        <v>454</v>
      </c>
      <c r="AF9" s="90" t="s">
        <v>457</v>
      </c>
      <c r="AG9" s="90" t="s">
        <v>274</v>
      </c>
      <c r="AH9" s="91">
        <v>0</v>
      </c>
      <c r="AI9" s="91">
        <f t="shared" si="10"/>
        <v>0</v>
      </c>
      <c r="AJ9" s="91">
        <v>47700000</v>
      </c>
      <c r="AM9" s="169"/>
      <c r="AN9" s="90" t="s">
        <v>508</v>
      </c>
      <c r="AO9" s="90" t="s">
        <v>523</v>
      </c>
      <c r="AP9" s="90" t="s">
        <v>447</v>
      </c>
      <c r="AQ9" s="90" t="s">
        <v>447</v>
      </c>
      <c r="AR9" s="91">
        <v>14500000</v>
      </c>
      <c r="AS9" s="91">
        <f t="shared" si="11"/>
        <v>15413.5</v>
      </c>
      <c r="AW9" s="90" t="s">
        <v>430</v>
      </c>
      <c r="AX9" s="90" t="s">
        <v>454</v>
      </c>
      <c r="AY9" s="90" t="s">
        <v>715</v>
      </c>
      <c r="AZ9" s="90" t="s">
        <v>716</v>
      </c>
      <c r="BA9" s="91">
        <v>21890000</v>
      </c>
      <c r="BB9" s="91">
        <v>0</v>
      </c>
      <c r="BC9" s="91">
        <v>0</v>
      </c>
      <c r="BD9" s="91">
        <f t="shared" si="1"/>
        <v>23269.07</v>
      </c>
      <c r="BE9" s="91">
        <f t="shared" si="2"/>
        <v>0</v>
      </c>
      <c r="BF9" s="91">
        <f t="shared" si="3"/>
        <v>0</v>
      </c>
      <c r="BK9" s="224"/>
      <c r="BL9" s="224"/>
      <c r="BM9" s="224"/>
      <c r="BN9" s="91"/>
      <c r="BO9" s="91">
        <f>SUM(BO3:BO8)</f>
        <v>131937852</v>
      </c>
      <c r="BP9" s="91">
        <f>SUM(BP3:BP8)</f>
        <v>140249.93667599998</v>
      </c>
      <c r="BT9" s="87" t="s">
        <v>430</v>
      </c>
      <c r="BU9" s="87" t="s">
        <v>454</v>
      </c>
      <c r="BV9" s="87" t="s">
        <v>715</v>
      </c>
      <c r="BW9" s="87" t="s">
        <v>716</v>
      </c>
      <c r="BX9" s="304" t="s">
        <v>433</v>
      </c>
      <c r="BY9" s="88">
        <v>21890000</v>
      </c>
      <c r="BZ9" s="88">
        <v>0</v>
      </c>
      <c r="CA9" s="88">
        <v>0</v>
      </c>
      <c r="CB9" s="169">
        <f t="shared" si="12"/>
        <v>21890</v>
      </c>
      <c r="CC9" s="169">
        <f t="shared" si="13"/>
        <v>0</v>
      </c>
      <c r="CD9" s="169">
        <f t="shared" si="14"/>
        <v>0</v>
      </c>
      <c r="CH9" s="87" t="s">
        <v>508</v>
      </c>
      <c r="CI9" s="87" t="s">
        <v>523</v>
      </c>
      <c r="CJ9" s="87" t="s">
        <v>447</v>
      </c>
      <c r="CK9" s="87" t="s">
        <v>447</v>
      </c>
      <c r="CL9" s="304" t="s">
        <v>433</v>
      </c>
      <c r="CM9" s="88">
        <v>0</v>
      </c>
      <c r="CN9" s="88">
        <v>0</v>
      </c>
      <c r="CO9" s="88">
        <v>6747300</v>
      </c>
      <c r="CP9" s="309">
        <f t="shared" si="15"/>
        <v>0</v>
      </c>
      <c r="CQ9" s="309">
        <f t="shared" si="16"/>
        <v>0</v>
      </c>
      <c r="CR9" s="309">
        <f t="shared" si="17"/>
        <v>6747.3</v>
      </c>
      <c r="CV9" s="89" t="s">
        <v>434</v>
      </c>
      <c r="CW9" s="89" t="s">
        <v>307</v>
      </c>
      <c r="CX9" s="89" t="s">
        <v>458</v>
      </c>
      <c r="CY9" s="89" t="s">
        <v>330</v>
      </c>
      <c r="CZ9" s="89">
        <v>4000000</v>
      </c>
      <c r="DA9" s="89">
        <v>0</v>
      </c>
      <c r="DB9" s="89">
        <v>0</v>
      </c>
      <c r="DC9" s="590">
        <f t="shared" si="18"/>
        <v>4000</v>
      </c>
      <c r="DD9" s="590">
        <f t="shared" si="19"/>
        <v>0</v>
      </c>
      <c r="DE9" s="590">
        <f t="shared" si="20"/>
        <v>0</v>
      </c>
      <c r="DI9" s="316" t="s">
        <v>430</v>
      </c>
      <c r="DJ9" s="316" t="s">
        <v>454</v>
      </c>
      <c r="DK9" s="316" t="s">
        <v>457</v>
      </c>
      <c r="DL9" s="316" t="s">
        <v>274</v>
      </c>
      <c r="DM9" s="80">
        <v>0</v>
      </c>
      <c r="DN9" s="80">
        <v>649980000</v>
      </c>
      <c r="DO9" s="80">
        <v>180900000</v>
      </c>
      <c r="DP9" s="593">
        <f t="shared" si="21"/>
        <v>0</v>
      </c>
      <c r="DQ9" s="593">
        <f t="shared" si="22"/>
        <v>649980</v>
      </c>
      <c r="DR9" s="593">
        <f t="shared" si="23"/>
        <v>180900</v>
      </c>
      <c r="DV9" s="565" t="s">
        <v>434</v>
      </c>
      <c r="DW9" s="565" t="s">
        <v>307</v>
      </c>
      <c r="DX9" s="565" t="s">
        <v>447</v>
      </c>
      <c r="DY9" s="567" t="s">
        <v>447</v>
      </c>
      <c r="DZ9" s="594" t="s">
        <v>433</v>
      </c>
      <c r="EA9" s="566">
        <v>0</v>
      </c>
      <c r="EB9" s="566">
        <v>0</v>
      </c>
      <c r="EC9" s="566">
        <v>0</v>
      </c>
      <c r="ED9" s="566">
        <f t="shared" si="24"/>
        <v>0</v>
      </c>
      <c r="EE9" s="566">
        <f t="shared" si="25"/>
        <v>0</v>
      </c>
      <c r="EF9" s="566">
        <f t="shared" si="26"/>
        <v>0</v>
      </c>
      <c r="EG9" s="96"/>
      <c r="EI9" s="89" t="s">
        <v>430</v>
      </c>
      <c r="EJ9" s="89" t="s">
        <v>454</v>
      </c>
      <c r="EK9" s="89" t="s">
        <v>457</v>
      </c>
      <c r="EL9" s="89" t="s">
        <v>274</v>
      </c>
      <c r="EM9" s="89" t="s">
        <v>433</v>
      </c>
      <c r="EN9" s="89">
        <v>0</v>
      </c>
      <c r="EO9" s="89">
        <v>676980000</v>
      </c>
      <c r="EP9" s="89">
        <v>193860000</v>
      </c>
      <c r="EQ9" s="590">
        <f t="shared" si="27"/>
        <v>0</v>
      </c>
      <c r="ER9" s="590">
        <f t="shared" si="28"/>
        <v>676980</v>
      </c>
      <c r="ES9" s="590">
        <f t="shared" si="29"/>
        <v>193860</v>
      </c>
      <c r="EW9" s="565" t="s">
        <v>434</v>
      </c>
      <c r="EX9" s="565" t="s">
        <v>307</v>
      </c>
      <c r="EY9" s="565" t="s">
        <v>459</v>
      </c>
      <c r="EZ9" s="565" t="s">
        <v>331</v>
      </c>
      <c r="FA9" s="594" t="s">
        <v>433</v>
      </c>
      <c r="FB9" s="566">
        <v>0</v>
      </c>
      <c r="FC9" s="566">
        <v>11250000</v>
      </c>
      <c r="FD9" s="566">
        <v>2250000</v>
      </c>
      <c r="FE9" s="566">
        <f t="shared" si="30"/>
        <v>0</v>
      </c>
      <c r="FF9" s="566">
        <f t="shared" si="31"/>
        <v>11250</v>
      </c>
      <c r="FG9" s="566">
        <f t="shared" si="32"/>
        <v>2250</v>
      </c>
      <c r="FK9" s="89" t="s">
        <v>430</v>
      </c>
      <c r="FL9" s="89" t="s">
        <v>454</v>
      </c>
      <c r="FM9" s="89" t="s">
        <v>455</v>
      </c>
      <c r="FN9" s="89" t="s">
        <v>456</v>
      </c>
      <c r="FO9" s="366" t="s">
        <v>433</v>
      </c>
      <c r="FP9" s="80">
        <v>0</v>
      </c>
      <c r="FQ9" s="80">
        <v>80000000</v>
      </c>
      <c r="FR9" s="80">
        <v>40000000</v>
      </c>
      <c r="FS9" s="566">
        <f t="shared" si="33"/>
        <v>0</v>
      </c>
      <c r="FT9" s="566">
        <f t="shared" si="34"/>
        <v>80000</v>
      </c>
      <c r="FU9" s="566">
        <f t="shared" si="35"/>
        <v>40000</v>
      </c>
      <c r="FY9" s="710" t="s">
        <v>434</v>
      </c>
      <c r="FZ9" s="711" t="s">
        <v>307</v>
      </c>
      <c r="GA9" s="711" t="s">
        <v>435</v>
      </c>
      <c r="GB9" s="711" t="s">
        <v>328</v>
      </c>
      <c r="GC9" s="712" t="s">
        <v>433</v>
      </c>
      <c r="GD9" s="713">
        <v>166541703</v>
      </c>
      <c r="GE9" s="714">
        <f t="shared" si="36"/>
        <v>166541.70300000001</v>
      </c>
      <c r="GI9" s="679" t="s">
        <v>430</v>
      </c>
      <c r="GJ9" s="679" t="s">
        <v>454</v>
      </c>
      <c r="GK9" s="362" t="s">
        <v>447</v>
      </c>
      <c r="GL9" s="679" t="s">
        <v>447</v>
      </c>
      <c r="GM9" s="679" t="s">
        <v>433</v>
      </c>
      <c r="GN9" s="715">
        <v>0</v>
      </c>
      <c r="GO9" s="715">
        <v>0</v>
      </c>
      <c r="GP9" s="715">
        <v>0</v>
      </c>
      <c r="GQ9" s="716">
        <f t="shared" si="37"/>
        <v>0</v>
      </c>
      <c r="GR9" s="716">
        <f t="shared" si="38"/>
        <v>0</v>
      </c>
      <c r="GS9" s="716">
        <f t="shared" si="39"/>
        <v>0</v>
      </c>
      <c r="GX9" s="664" t="s">
        <v>430</v>
      </c>
      <c r="GY9" s="567" t="s">
        <v>454</v>
      </c>
      <c r="GZ9" s="567" t="s">
        <v>457</v>
      </c>
      <c r="HA9" s="567" t="s">
        <v>274</v>
      </c>
      <c r="HB9" s="567" t="s">
        <v>433</v>
      </c>
      <c r="HC9" s="771">
        <v>0</v>
      </c>
      <c r="HD9" s="772">
        <f t="shared" si="40"/>
        <v>0</v>
      </c>
      <c r="HE9" s="81"/>
      <c r="HF9" s="81"/>
      <c r="HH9" s="775" t="s">
        <v>430</v>
      </c>
      <c r="HI9" s="775" t="s">
        <v>454</v>
      </c>
      <c r="HJ9" s="775" t="s">
        <v>457</v>
      </c>
      <c r="HK9" s="776" t="s">
        <v>274</v>
      </c>
      <c r="HL9" s="776" t="s">
        <v>433</v>
      </c>
      <c r="HM9" s="367">
        <v>0</v>
      </c>
      <c r="HN9" s="367">
        <v>886224000</v>
      </c>
      <c r="HO9" s="367">
        <v>453588000</v>
      </c>
      <c r="HP9" s="774">
        <f t="shared" si="41"/>
        <v>0</v>
      </c>
      <c r="HQ9" s="774">
        <f t="shared" si="42"/>
        <v>886224</v>
      </c>
      <c r="HR9" s="774">
        <f t="shared" si="43"/>
        <v>453588</v>
      </c>
      <c r="HW9" s="776" t="s">
        <v>430</v>
      </c>
      <c r="HX9" s="776" t="s">
        <v>454</v>
      </c>
      <c r="HY9" s="776" t="s">
        <v>628</v>
      </c>
      <c r="HZ9" s="776" t="s">
        <v>331</v>
      </c>
      <c r="IA9" s="776" t="s">
        <v>433</v>
      </c>
      <c r="IB9" s="813">
        <v>0</v>
      </c>
      <c r="IC9" s="813">
        <v>160293</v>
      </c>
      <c r="ID9" s="813">
        <v>160293</v>
      </c>
      <c r="IE9" s="568">
        <f t="shared" si="44"/>
        <v>160.29300000000001</v>
      </c>
      <c r="II9" s="362" t="s">
        <v>430</v>
      </c>
      <c r="IJ9" s="362" t="s">
        <v>454</v>
      </c>
      <c r="IK9" s="362" t="s">
        <v>431</v>
      </c>
      <c r="IL9" s="362" t="s">
        <v>432</v>
      </c>
      <c r="IM9" s="679" t="s">
        <v>433</v>
      </c>
      <c r="IN9" s="248">
        <v>0</v>
      </c>
      <c r="IO9" s="248">
        <v>1242241</v>
      </c>
      <c r="IP9" s="248">
        <v>0</v>
      </c>
      <c r="IQ9" s="806">
        <f t="shared" si="45"/>
        <v>0</v>
      </c>
      <c r="IR9" s="806">
        <f t="shared" si="46"/>
        <v>1242.241</v>
      </c>
      <c r="IS9" s="806">
        <f t="shared" si="47"/>
        <v>0</v>
      </c>
      <c r="IW9" s="567" t="s">
        <v>434</v>
      </c>
      <c r="IX9" s="567" t="s">
        <v>307</v>
      </c>
      <c r="IY9" s="567" t="s">
        <v>437</v>
      </c>
      <c r="IZ9" s="567" t="s">
        <v>329</v>
      </c>
      <c r="JA9" s="594" t="s">
        <v>433</v>
      </c>
      <c r="JB9" s="566">
        <v>10701808</v>
      </c>
      <c r="JC9" s="806">
        <f t="shared" si="48"/>
        <v>10701.808000000001</v>
      </c>
      <c r="JG9" s="567" t="s">
        <v>430</v>
      </c>
      <c r="JH9" s="567" t="s">
        <v>454</v>
      </c>
      <c r="JI9" s="567" t="s">
        <v>455</v>
      </c>
      <c r="JJ9" s="567" t="s">
        <v>456</v>
      </c>
      <c r="JK9" s="567" t="s">
        <v>433</v>
      </c>
      <c r="JL9" s="80">
        <v>0</v>
      </c>
      <c r="JM9" s="80">
        <v>180000000</v>
      </c>
      <c r="JN9" s="80">
        <v>180000000</v>
      </c>
      <c r="JO9" s="169">
        <f t="shared" si="49"/>
        <v>0</v>
      </c>
      <c r="JP9" s="169">
        <f t="shared" si="50"/>
        <v>180000</v>
      </c>
      <c r="JQ9" s="169">
        <f t="shared" si="51"/>
        <v>180000</v>
      </c>
    </row>
    <row r="10" spans="1:279" ht="15" customHeight="1" x14ac:dyDescent="0.25">
      <c r="A10" s="92" t="s">
        <v>434</v>
      </c>
      <c r="B10" s="92" t="s">
        <v>307</v>
      </c>
      <c r="C10" s="92" t="s">
        <v>437</v>
      </c>
      <c r="D10" s="92" t="s">
        <v>329</v>
      </c>
      <c r="E10" s="93">
        <v>122164211</v>
      </c>
      <c r="F10" s="93">
        <f t="shared" si="7"/>
        <v>129860.55629299999</v>
      </c>
      <c r="G10" s="93">
        <v>0</v>
      </c>
      <c r="H10" s="93">
        <f t="shared" si="8"/>
        <v>0</v>
      </c>
      <c r="I10" s="79">
        <f>+F10+F12</f>
        <v>140163.99099999998</v>
      </c>
      <c r="U10" s="90" t="s">
        <v>434</v>
      </c>
      <c r="V10" s="90" t="s">
        <v>307</v>
      </c>
      <c r="W10" s="90" t="s">
        <v>437</v>
      </c>
      <c r="X10" s="1420" t="s">
        <v>329</v>
      </c>
      <c r="Y10" s="91">
        <v>122164211</v>
      </c>
      <c r="Z10" s="91">
        <f t="shared" si="9"/>
        <v>129860.55629299999</v>
      </c>
      <c r="AD10" s="90" t="s">
        <v>430</v>
      </c>
      <c r="AE10" s="90" t="s">
        <v>454</v>
      </c>
      <c r="AF10" s="90" t="s">
        <v>455</v>
      </c>
      <c r="AG10" s="90" t="s">
        <v>456</v>
      </c>
      <c r="AH10" s="91">
        <v>0</v>
      </c>
      <c r="AI10" s="91">
        <f t="shared" si="10"/>
        <v>0</v>
      </c>
      <c r="AJ10" s="91">
        <v>40000000</v>
      </c>
      <c r="AM10" s="169"/>
      <c r="AN10" s="90" t="s">
        <v>438</v>
      </c>
      <c r="AO10" s="90" t="s">
        <v>335</v>
      </c>
      <c r="AP10" s="90" t="s">
        <v>499</v>
      </c>
      <c r="AQ10" s="90" t="s">
        <v>632</v>
      </c>
      <c r="AR10" s="91">
        <v>385000000</v>
      </c>
      <c r="AS10" s="91">
        <f t="shared" si="11"/>
        <v>409255</v>
      </c>
      <c r="AW10" s="90" t="s">
        <v>430</v>
      </c>
      <c r="AX10" s="90" t="s">
        <v>454</v>
      </c>
      <c r="AY10" s="90" t="s">
        <v>447</v>
      </c>
      <c r="AZ10" s="90" t="s">
        <v>447</v>
      </c>
      <c r="BA10" s="91">
        <v>0</v>
      </c>
      <c r="BB10" s="91">
        <v>0</v>
      </c>
      <c r="BC10" s="91">
        <v>0</v>
      </c>
      <c r="BD10" s="91">
        <f t="shared" si="1"/>
        <v>0</v>
      </c>
      <c r="BE10" s="91">
        <f t="shared" si="2"/>
        <v>0</v>
      </c>
      <c r="BF10" s="91">
        <f t="shared" si="3"/>
        <v>0</v>
      </c>
      <c r="BN10" s="75"/>
      <c r="BO10" s="75"/>
      <c r="BP10" s="75"/>
      <c r="BT10" s="87" t="s">
        <v>430</v>
      </c>
      <c r="BU10" s="87" t="s">
        <v>454</v>
      </c>
      <c r="BV10" s="87" t="s">
        <v>447</v>
      </c>
      <c r="BW10" s="87" t="s">
        <v>447</v>
      </c>
      <c r="BX10" s="304" t="s">
        <v>433</v>
      </c>
      <c r="BY10" s="88">
        <v>0</v>
      </c>
      <c r="BZ10" s="88">
        <v>0</v>
      </c>
      <c r="CA10" s="88">
        <v>0</v>
      </c>
      <c r="CB10" s="169">
        <f t="shared" si="12"/>
        <v>0</v>
      </c>
      <c r="CC10" s="169">
        <f t="shared" si="13"/>
        <v>0</v>
      </c>
      <c r="CD10" s="169">
        <f t="shared" si="14"/>
        <v>0</v>
      </c>
      <c r="CH10" s="87" t="s">
        <v>438</v>
      </c>
      <c r="CI10" s="87" t="s">
        <v>335</v>
      </c>
      <c r="CJ10" s="87">
        <v>42402004</v>
      </c>
      <c r="CK10" s="87" t="s">
        <v>633</v>
      </c>
      <c r="CL10" s="304" t="s">
        <v>433</v>
      </c>
      <c r="CM10" s="88">
        <v>15000000</v>
      </c>
      <c r="CN10" s="88">
        <v>0</v>
      </c>
      <c r="CO10" s="88">
        <v>0</v>
      </c>
      <c r="CP10" s="309">
        <f t="shared" si="15"/>
        <v>15000</v>
      </c>
      <c r="CQ10" s="309">
        <f t="shared" si="16"/>
        <v>0</v>
      </c>
      <c r="CR10" s="309">
        <f t="shared" si="17"/>
        <v>0</v>
      </c>
      <c r="CV10" s="89" t="s">
        <v>434</v>
      </c>
      <c r="CW10" s="89" t="s">
        <v>307</v>
      </c>
      <c r="CX10" s="89" t="s">
        <v>436</v>
      </c>
      <c r="CY10" s="89" t="s">
        <v>339</v>
      </c>
      <c r="CZ10" s="89">
        <v>0</v>
      </c>
      <c r="DA10" s="89">
        <v>0</v>
      </c>
      <c r="DB10" s="89">
        <v>10170501</v>
      </c>
      <c r="DC10" s="590">
        <f t="shared" si="18"/>
        <v>0</v>
      </c>
      <c r="DD10" s="590">
        <f t="shared" si="19"/>
        <v>0</v>
      </c>
      <c r="DE10" s="590">
        <f t="shared" si="20"/>
        <v>10170.501</v>
      </c>
      <c r="DI10" s="316" t="s">
        <v>430</v>
      </c>
      <c r="DJ10" s="316" t="s">
        <v>454</v>
      </c>
      <c r="DK10" s="316" t="s">
        <v>455</v>
      </c>
      <c r="DL10" s="316" t="s">
        <v>456</v>
      </c>
      <c r="DM10" s="80">
        <v>0</v>
      </c>
      <c r="DN10" s="80">
        <v>80000000</v>
      </c>
      <c r="DO10" s="80">
        <v>40000000</v>
      </c>
      <c r="DP10" s="593">
        <f t="shared" si="21"/>
        <v>0</v>
      </c>
      <c r="DQ10" s="593">
        <f t="shared" si="22"/>
        <v>80000</v>
      </c>
      <c r="DR10" s="593">
        <f t="shared" si="23"/>
        <v>40000</v>
      </c>
      <c r="DV10" s="565" t="s">
        <v>434</v>
      </c>
      <c r="DW10" s="565" t="s">
        <v>307</v>
      </c>
      <c r="DX10" s="565" t="s">
        <v>435</v>
      </c>
      <c r="DY10" s="567" t="s">
        <v>328</v>
      </c>
      <c r="DZ10" s="594" t="s">
        <v>433</v>
      </c>
      <c r="EA10" s="566">
        <v>0</v>
      </c>
      <c r="EB10" s="566">
        <v>287582386</v>
      </c>
      <c r="EC10" s="566">
        <v>26540627</v>
      </c>
      <c r="ED10" s="566">
        <f t="shared" si="24"/>
        <v>0</v>
      </c>
      <c r="EE10" s="566">
        <f t="shared" si="25"/>
        <v>287582.386</v>
      </c>
      <c r="EF10" s="566">
        <f t="shared" si="26"/>
        <v>26540.627</v>
      </c>
      <c r="EG10" s="96"/>
      <c r="EI10" s="89" t="s">
        <v>430</v>
      </c>
      <c r="EJ10" s="89" t="s">
        <v>454</v>
      </c>
      <c r="EK10" s="89" t="s">
        <v>628</v>
      </c>
      <c r="EL10" s="89" t="s">
        <v>331</v>
      </c>
      <c r="EM10" s="89" t="s">
        <v>433</v>
      </c>
      <c r="EN10" s="89">
        <v>0</v>
      </c>
      <c r="EO10" s="89">
        <v>0</v>
      </c>
      <c r="EP10" s="89">
        <v>0</v>
      </c>
      <c r="EQ10" s="590">
        <f t="shared" si="27"/>
        <v>0</v>
      </c>
      <c r="ER10" s="590">
        <f t="shared" si="28"/>
        <v>0</v>
      </c>
      <c r="ES10" s="590">
        <f t="shared" si="29"/>
        <v>0</v>
      </c>
      <c r="EW10" s="565" t="s">
        <v>434</v>
      </c>
      <c r="EX10" s="565" t="s">
        <v>307</v>
      </c>
      <c r="EY10" s="565" t="s">
        <v>437</v>
      </c>
      <c r="EZ10" s="565" t="s">
        <v>329</v>
      </c>
      <c r="FA10" s="594" t="s">
        <v>433</v>
      </c>
      <c r="FB10" s="566">
        <v>0</v>
      </c>
      <c r="FC10" s="566">
        <v>0</v>
      </c>
      <c r="FD10" s="566">
        <v>9454999</v>
      </c>
      <c r="FE10" s="566">
        <f t="shared" si="30"/>
        <v>0</v>
      </c>
      <c r="FF10" s="566">
        <f t="shared" si="31"/>
        <v>0</v>
      </c>
      <c r="FG10" s="566">
        <f t="shared" si="32"/>
        <v>9454.9989999999998</v>
      </c>
      <c r="FK10" s="89" t="s">
        <v>430</v>
      </c>
      <c r="FL10" s="89" t="s">
        <v>454</v>
      </c>
      <c r="FM10" s="89" t="s">
        <v>628</v>
      </c>
      <c r="FN10" s="89" t="s">
        <v>331</v>
      </c>
      <c r="FO10" s="366" t="s">
        <v>433</v>
      </c>
      <c r="FP10" s="80">
        <v>0</v>
      </c>
      <c r="FQ10" s="80">
        <v>0</v>
      </c>
      <c r="FR10" s="80">
        <v>0</v>
      </c>
      <c r="FS10" s="566">
        <f t="shared" si="33"/>
        <v>0</v>
      </c>
      <c r="FT10" s="566">
        <f t="shared" si="34"/>
        <v>0</v>
      </c>
      <c r="FU10" s="566">
        <f t="shared" si="35"/>
        <v>0</v>
      </c>
      <c r="FY10" s="710" t="s">
        <v>438</v>
      </c>
      <c r="FZ10" s="711" t="s">
        <v>335</v>
      </c>
      <c r="GA10" s="711" t="s">
        <v>447</v>
      </c>
      <c r="GB10" s="711" t="s">
        <v>447</v>
      </c>
      <c r="GC10" s="712" t="s">
        <v>433</v>
      </c>
      <c r="GD10" s="713">
        <v>0</v>
      </c>
      <c r="GE10" s="714">
        <f t="shared" si="36"/>
        <v>0</v>
      </c>
      <c r="GI10" s="679" t="s">
        <v>430</v>
      </c>
      <c r="GJ10" s="679" t="s">
        <v>454</v>
      </c>
      <c r="GK10" s="362" t="s">
        <v>628</v>
      </c>
      <c r="GL10" s="679" t="s">
        <v>331</v>
      </c>
      <c r="GM10" s="679" t="s">
        <v>433</v>
      </c>
      <c r="GN10" s="715">
        <v>0</v>
      </c>
      <c r="GO10" s="715">
        <v>0</v>
      </c>
      <c r="GP10" s="715">
        <v>0</v>
      </c>
      <c r="GQ10" s="716">
        <f t="shared" si="37"/>
        <v>0</v>
      </c>
      <c r="GR10" s="716">
        <f t="shared" si="38"/>
        <v>0</v>
      </c>
      <c r="GS10" s="716">
        <f t="shared" si="39"/>
        <v>0</v>
      </c>
      <c r="GX10" s="664" t="s">
        <v>434</v>
      </c>
      <c r="GY10" s="567" t="s">
        <v>307</v>
      </c>
      <c r="GZ10" s="567" t="s">
        <v>436</v>
      </c>
      <c r="HA10" s="567" t="s">
        <v>339</v>
      </c>
      <c r="HB10" s="567" t="s">
        <v>433</v>
      </c>
      <c r="HC10" s="771">
        <v>5428422</v>
      </c>
      <c r="HD10" s="772">
        <f t="shared" si="40"/>
        <v>5428.4219999999996</v>
      </c>
      <c r="HE10" s="81"/>
      <c r="HF10" s="81"/>
      <c r="HH10" s="775" t="s">
        <v>430</v>
      </c>
      <c r="HI10" s="775" t="s">
        <v>454</v>
      </c>
      <c r="HJ10" s="775" t="s">
        <v>628</v>
      </c>
      <c r="HK10" s="776" t="s">
        <v>331</v>
      </c>
      <c r="HL10" s="776" t="s">
        <v>433</v>
      </c>
      <c r="HM10" s="367">
        <v>0</v>
      </c>
      <c r="HN10" s="367">
        <v>0</v>
      </c>
      <c r="HO10" s="367">
        <v>0</v>
      </c>
      <c r="HP10" s="774">
        <f t="shared" si="41"/>
        <v>0</v>
      </c>
      <c r="HQ10" s="774">
        <f t="shared" si="42"/>
        <v>0</v>
      </c>
      <c r="HR10" s="774">
        <f t="shared" si="43"/>
        <v>0</v>
      </c>
      <c r="HW10" s="776" t="s">
        <v>430</v>
      </c>
      <c r="HX10" s="776" t="s">
        <v>454</v>
      </c>
      <c r="HY10" s="776" t="s">
        <v>457</v>
      </c>
      <c r="HZ10" s="776" t="s">
        <v>274</v>
      </c>
      <c r="IA10" s="776" t="s">
        <v>433</v>
      </c>
      <c r="IB10" s="813">
        <v>-6791000</v>
      </c>
      <c r="IC10" s="813">
        <v>0</v>
      </c>
      <c r="ID10" s="813">
        <v>0</v>
      </c>
      <c r="IE10" s="568">
        <f t="shared" si="44"/>
        <v>0</v>
      </c>
      <c r="II10" s="362" t="s">
        <v>430</v>
      </c>
      <c r="IJ10" s="362" t="s">
        <v>454</v>
      </c>
      <c r="IK10" s="362" t="s">
        <v>457</v>
      </c>
      <c r="IL10" s="362" t="s">
        <v>274</v>
      </c>
      <c r="IM10" s="679" t="s">
        <v>433</v>
      </c>
      <c r="IN10" s="248">
        <v>0</v>
      </c>
      <c r="IO10" s="248">
        <v>920496000</v>
      </c>
      <c r="IP10" s="248">
        <v>620902000</v>
      </c>
      <c r="IQ10" s="806">
        <f t="shared" si="45"/>
        <v>0</v>
      </c>
      <c r="IR10" s="806">
        <f t="shared" si="46"/>
        <v>920496</v>
      </c>
      <c r="IS10" s="806">
        <f t="shared" si="47"/>
        <v>620902</v>
      </c>
      <c r="IW10" s="567" t="s">
        <v>434</v>
      </c>
      <c r="IX10" s="567" t="s">
        <v>307</v>
      </c>
      <c r="IY10" s="567" t="s">
        <v>435</v>
      </c>
      <c r="IZ10" s="567" t="s">
        <v>328</v>
      </c>
      <c r="JA10" s="594" t="s">
        <v>433</v>
      </c>
      <c r="JB10" s="566">
        <v>196175245</v>
      </c>
      <c r="JC10" s="806">
        <f t="shared" si="48"/>
        <v>196175.245</v>
      </c>
      <c r="JG10" s="567" t="s">
        <v>430</v>
      </c>
      <c r="JH10" s="567" t="s">
        <v>454</v>
      </c>
      <c r="JI10" s="567" t="s">
        <v>628</v>
      </c>
      <c r="JJ10" s="567" t="s">
        <v>331</v>
      </c>
      <c r="JK10" s="567" t="s">
        <v>433</v>
      </c>
      <c r="JL10" s="80">
        <v>0</v>
      </c>
      <c r="JM10" s="80">
        <v>160293</v>
      </c>
      <c r="JN10" s="80">
        <v>160293</v>
      </c>
      <c r="JO10" s="169">
        <f t="shared" si="49"/>
        <v>0</v>
      </c>
      <c r="JP10" s="169">
        <f t="shared" si="50"/>
        <v>160.29300000000001</v>
      </c>
      <c r="JQ10" s="169">
        <f t="shared" si="51"/>
        <v>160.29300000000001</v>
      </c>
    </row>
    <row r="11" spans="1:279" ht="15" customHeight="1" x14ac:dyDescent="0.25">
      <c r="A11" s="92" t="s">
        <v>434</v>
      </c>
      <c r="B11" s="92" t="s">
        <v>307</v>
      </c>
      <c r="C11" s="92" t="s">
        <v>459</v>
      </c>
      <c r="D11" s="92" t="s">
        <v>331</v>
      </c>
      <c r="E11" s="93">
        <v>57186000</v>
      </c>
      <c r="F11" s="93">
        <f t="shared" si="7"/>
        <v>60788.717999999993</v>
      </c>
      <c r="G11" s="93">
        <v>0</v>
      </c>
      <c r="H11" s="93">
        <f t="shared" si="8"/>
        <v>0</v>
      </c>
      <c r="U11" s="90" t="s">
        <v>434</v>
      </c>
      <c r="V11" s="90" t="s">
        <v>307</v>
      </c>
      <c r="W11" s="90" t="s">
        <v>459</v>
      </c>
      <c r="X11" s="1420" t="s">
        <v>331</v>
      </c>
      <c r="Y11" s="91">
        <v>57186000</v>
      </c>
      <c r="Z11" s="91">
        <f t="shared" si="9"/>
        <v>60788.717999999993</v>
      </c>
      <c r="AD11" s="90" t="s">
        <v>434</v>
      </c>
      <c r="AE11" s="90" t="s">
        <v>307</v>
      </c>
      <c r="AF11" s="90" t="s">
        <v>435</v>
      </c>
      <c r="AG11" s="90" t="s">
        <v>328</v>
      </c>
      <c r="AH11" s="91">
        <v>1912129000</v>
      </c>
      <c r="AI11" s="91">
        <f t="shared" si="10"/>
        <v>2032593.1269999999</v>
      </c>
      <c r="AJ11" s="91">
        <v>0</v>
      </c>
      <c r="AM11" s="169"/>
      <c r="AN11" s="90" t="s">
        <v>438</v>
      </c>
      <c r="AO11" s="90" t="s">
        <v>335</v>
      </c>
      <c r="AP11" s="90" t="s">
        <v>462</v>
      </c>
      <c r="AQ11" s="90" t="s">
        <v>633</v>
      </c>
      <c r="AR11" s="91">
        <v>52000000</v>
      </c>
      <c r="AS11" s="91">
        <f t="shared" si="11"/>
        <v>55276</v>
      </c>
      <c r="AW11" s="90" t="s">
        <v>434</v>
      </c>
      <c r="AX11" s="90" t="s">
        <v>307</v>
      </c>
      <c r="AY11" s="90" t="s">
        <v>435</v>
      </c>
      <c r="AZ11" s="90" t="s">
        <v>328</v>
      </c>
      <c r="BA11" s="91">
        <v>1912129000</v>
      </c>
      <c r="BB11" s="91">
        <v>0</v>
      </c>
      <c r="BC11" s="91">
        <v>0</v>
      </c>
      <c r="BD11" s="91">
        <f t="shared" si="1"/>
        <v>2032593.1269999999</v>
      </c>
      <c r="BE11" s="91">
        <f t="shared" si="2"/>
        <v>0</v>
      </c>
      <c r="BF11" s="91">
        <f t="shared" si="3"/>
        <v>0</v>
      </c>
      <c r="BN11" s="75"/>
      <c r="BO11" s="75"/>
      <c r="BP11" s="75"/>
      <c r="BT11" s="87" t="s">
        <v>434</v>
      </c>
      <c r="BU11" s="87" t="s">
        <v>307</v>
      </c>
      <c r="BV11" s="87" t="s">
        <v>435</v>
      </c>
      <c r="BW11" s="87" t="s">
        <v>328</v>
      </c>
      <c r="BX11" s="304" t="s">
        <v>433</v>
      </c>
      <c r="BY11" s="88">
        <v>1912129000</v>
      </c>
      <c r="BZ11" s="88">
        <v>0</v>
      </c>
      <c r="CA11" s="88">
        <v>0</v>
      </c>
      <c r="CB11" s="169">
        <f t="shared" si="12"/>
        <v>1912129</v>
      </c>
      <c r="CC11" s="169">
        <f t="shared" si="13"/>
        <v>0</v>
      </c>
      <c r="CD11" s="169">
        <f t="shared" si="14"/>
        <v>0</v>
      </c>
      <c r="CH11" s="87" t="s">
        <v>438</v>
      </c>
      <c r="CI11" s="87" t="s">
        <v>335</v>
      </c>
      <c r="CJ11" s="87">
        <v>42402005</v>
      </c>
      <c r="CK11" s="87" t="s">
        <v>632</v>
      </c>
      <c r="CL11" s="304" t="s">
        <v>433</v>
      </c>
      <c r="CM11" s="88">
        <v>-15000000</v>
      </c>
      <c r="CN11" s="88">
        <v>0</v>
      </c>
      <c r="CO11" s="88">
        <v>0</v>
      </c>
      <c r="CP11" s="309">
        <f t="shared" si="15"/>
        <v>-15000</v>
      </c>
      <c r="CQ11" s="309">
        <f t="shared" si="16"/>
        <v>0</v>
      </c>
      <c r="CR11" s="309">
        <f t="shared" si="17"/>
        <v>0</v>
      </c>
      <c r="CV11" s="89" t="s">
        <v>434</v>
      </c>
      <c r="CW11" s="89" t="s">
        <v>307</v>
      </c>
      <c r="CX11" s="89" t="s">
        <v>435</v>
      </c>
      <c r="CY11" s="89" t="s">
        <v>328</v>
      </c>
      <c r="CZ11" s="89">
        <v>0</v>
      </c>
      <c r="DA11" s="89">
        <v>27072720</v>
      </c>
      <c r="DB11" s="89">
        <v>70536800</v>
      </c>
      <c r="DC11" s="590">
        <f t="shared" si="18"/>
        <v>0</v>
      </c>
      <c r="DD11" s="590">
        <f t="shared" si="19"/>
        <v>27072.720000000001</v>
      </c>
      <c r="DE11" s="590">
        <f t="shared" si="20"/>
        <v>70536.800000000003</v>
      </c>
      <c r="DI11" s="316" t="s">
        <v>434</v>
      </c>
      <c r="DJ11" s="316" t="s">
        <v>307</v>
      </c>
      <c r="DK11" s="316" t="s">
        <v>435</v>
      </c>
      <c r="DL11" s="316" t="s">
        <v>328</v>
      </c>
      <c r="DM11" s="80">
        <v>1912129000</v>
      </c>
      <c r="DN11" s="80">
        <v>0</v>
      </c>
      <c r="DO11" s="80">
        <v>0</v>
      </c>
      <c r="DP11" s="593">
        <f t="shared" si="21"/>
        <v>1912129</v>
      </c>
      <c r="DQ11" s="593">
        <f t="shared" si="22"/>
        <v>0</v>
      </c>
      <c r="DR11" s="593">
        <f t="shared" si="23"/>
        <v>0</v>
      </c>
      <c r="DV11" s="565" t="s">
        <v>434</v>
      </c>
      <c r="DW11" s="565" t="s">
        <v>307</v>
      </c>
      <c r="DX11" s="565" t="s">
        <v>458</v>
      </c>
      <c r="DY11" s="567" t="s">
        <v>330</v>
      </c>
      <c r="DZ11" s="594" t="s">
        <v>433</v>
      </c>
      <c r="EA11" s="566">
        <v>0</v>
      </c>
      <c r="EB11" s="566">
        <v>90399</v>
      </c>
      <c r="EC11" s="566">
        <v>90399</v>
      </c>
      <c r="ED11" s="566">
        <f t="shared" si="24"/>
        <v>0</v>
      </c>
      <c r="EE11" s="566">
        <f t="shared" si="25"/>
        <v>90.399000000000001</v>
      </c>
      <c r="EF11" s="566">
        <f t="shared" si="26"/>
        <v>90.399000000000001</v>
      </c>
      <c r="EG11" s="96"/>
      <c r="EI11" s="89" t="s">
        <v>434</v>
      </c>
      <c r="EJ11" s="89" t="s">
        <v>307</v>
      </c>
      <c r="EK11" s="89" t="s">
        <v>435</v>
      </c>
      <c r="EL11" s="89" t="s">
        <v>328</v>
      </c>
      <c r="EM11" s="89" t="s">
        <v>433</v>
      </c>
      <c r="EN11" s="89">
        <v>1912129000</v>
      </c>
      <c r="EO11" s="89">
        <v>0</v>
      </c>
      <c r="EP11" s="89">
        <v>0</v>
      </c>
      <c r="EQ11" s="590">
        <f t="shared" si="27"/>
        <v>1912129</v>
      </c>
      <c r="ER11" s="590">
        <f t="shared" si="28"/>
        <v>0</v>
      </c>
      <c r="ES11" s="590">
        <f t="shared" si="29"/>
        <v>0</v>
      </c>
      <c r="EW11" s="565" t="s">
        <v>434</v>
      </c>
      <c r="EX11" s="565" t="s">
        <v>307</v>
      </c>
      <c r="EY11" s="565" t="s">
        <v>447</v>
      </c>
      <c r="EZ11" s="565" t="s">
        <v>447</v>
      </c>
      <c r="FA11" s="594" t="s">
        <v>433</v>
      </c>
      <c r="FB11" s="566">
        <v>0</v>
      </c>
      <c r="FC11" s="566">
        <v>0</v>
      </c>
      <c r="FD11" s="566">
        <v>0</v>
      </c>
      <c r="FE11" s="566">
        <f t="shared" si="30"/>
        <v>0</v>
      </c>
      <c r="FF11" s="566">
        <f t="shared" si="31"/>
        <v>0</v>
      </c>
      <c r="FG11" s="566">
        <f t="shared" si="32"/>
        <v>0</v>
      </c>
      <c r="FK11" s="89" t="s">
        <v>434</v>
      </c>
      <c r="FL11" s="89" t="s">
        <v>307</v>
      </c>
      <c r="FM11" s="89" t="s">
        <v>435</v>
      </c>
      <c r="FN11" s="89" t="s">
        <v>328</v>
      </c>
      <c r="FO11" s="366" t="s">
        <v>433</v>
      </c>
      <c r="FP11" s="80">
        <v>2220417000</v>
      </c>
      <c r="FQ11" s="80">
        <v>0</v>
      </c>
      <c r="FR11" s="80">
        <v>0</v>
      </c>
      <c r="FS11" s="566">
        <f t="shared" si="33"/>
        <v>2220417</v>
      </c>
      <c r="FT11" s="566">
        <f t="shared" si="34"/>
        <v>0</v>
      </c>
      <c r="FU11" s="566">
        <f t="shared" si="35"/>
        <v>0</v>
      </c>
      <c r="FY11" s="565" t="s">
        <v>438</v>
      </c>
      <c r="FZ11" s="567" t="s">
        <v>335</v>
      </c>
      <c r="GA11" s="567" t="s">
        <v>499</v>
      </c>
      <c r="GB11" s="567" t="s">
        <v>632</v>
      </c>
      <c r="GC11" s="594" t="s">
        <v>433</v>
      </c>
      <c r="GD11" s="566">
        <v>110000000</v>
      </c>
      <c r="GE11" s="706">
        <f t="shared" si="36"/>
        <v>110000</v>
      </c>
      <c r="GI11" s="679" t="s">
        <v>434</v>
      </c>
      <c r="GJ11" s="679" t="s">
        <v>307</v>
      </c>
      <c r="GK11" s="362" t="s">
        <v>435</v>
      </c>
      <c r="GL11" s="679" t="s">
        <v>328</v>
      </c>
      <c r="GM11" s="679" t="s">
        <v>433</v>
      </c>
      <c r="GN11" s="715">
        <v>2220417000</v>
      </c>
      <c r="GO11" s="715">
        <v>0</v>
      </c>
      <c r="GP11" s="715">
        <v>0</v>
      </c>
      <c r="GQ11" s="716">
        <f t="shared" si="37"/>
        <v>2220417</v>
      </c>
      <c r="GR11" s="716">
        <f t="shared" si="38"/>
        <v>0</v>
      </c>
      <c r="GS11" s="716">
        <f t="shared" si="39"/>
        <v>0</v>
      </c>
      <c r="GX11" s="664" t="s">
        <v>434</v>
      </c>
      <c r="GY11" s="567" t="s">
        <v>307</v>
      </c>
      <c r="GZ11" s="567" t="s">
        <v>459</v>
      </c>
      <c r="HA11" s="567" t="s">
        <v>331</v>
      </c>
      <c r="HB11" s="567" t="s">
        <v>433</v>
      </c>
      <c r="HC11" s="771">
        <v>7465471</v>
      </c>
      <c r="HD11" s="772">
        <f t="shared" si="40"/>
        <v>7465.4709999999995</v>
      </c>
      <c r="HE11" s="81"/>
      <c r="HF11" s="81"/>
      <c r="HH11" s="775" t="s">
        <v>434</v>
      </c>
      <c r="HI11" s="775" t="s">
        <v>307</v>
      </c>
      <c r="HJ11" s="775" t="s">
        <v>435</v>
      </c>
      <c r="HK11" s="776" t="s">
        <v>328</v>
      </c>
      <c r="HL11" s="776" t="s">
        <v>433</v>
      </c>
      <c r="HM11" s="367">
        <v>2220417000</v>
      </c>
      <c r="HN11" s="367">
        <v>0</v>
      </c>
      <c r="HO11" s="367">
        <v>0</v>
      </c>
      <c r="HP11" s="774">
        <f t="shared" si="41"/>
        <v>2220417</v>
      </c>
      <c r="HQ11" s="774">
        <f t="shared" si="42"/>
        <v>0</v>
      </c>
      <c r="HR11" s="774">
        <f t="shared" si="43"/>
        <v>0</v>
      </c>
      <c r="HW11" s="776" t="s">
        <v>430</v>
      </c>
      <c r="HX11" s="776" t="s">
        <v>454</v>
      </c>
      <c r="HY11" s="776" t="s">
        <v>431</v>
      </c>
      <c r="HZ11" s="776" t="s">
        <v>432</v>
      </c>
      <c r="IA11" s="776" t="s">
        <v>433</v>
      </c>
      <c r="IB11" s="813">
        <v>-9869293</v>
      </c>
      <c r="IC11" s="813">
        <v>0</v>
      </c>
      <c r="ID11" s="813">
        <v>0</v>
      </c>
      <c r="IE11" s="568">
        <f t="shared" si="44"/>
        <v>0</v>
      </c>
      <c r="II11" s="362" t="s">
        <v>430</v>
      </c>
      <c r="IJ11" s="362" t="s">
        <v>454</v>
      </c>
      <c r="IK11" s="362" t="s">
        <v>628</v>
      </c>
      <c r="IL11" s="362" t="s">
        <v>331</v>
      </c>
      <c r="IM11" s="679" t="s">
        <v>433</v>
      </c>
      <c r="IN11" s="248">
        <v>0</v>
      </c>
      <c r="IO11" s="248">
        <v>160293</v>
      </c>
      <c r="IP11" s="248">
        <v>160293</v>
      </c>
      <c r="IQ11" s="806">
        <f t="shared" si="45"/>
        <v>0</v>
      </c>
      <c r="IR11" s="806">
        <f t="shared" si="46"/>
        <v>160.29300000000001</v>
      </c>
      <c r="IS11" s="806">
        <f t="shared" si="47"/>
        <v>160.29300000000001</v>
      </c>
      <c r="IW11" s="567" t="s">
        <v>508</v>
      </c>
      <c r="IX11" s="567" t="s">
        <v>523</v>
      </c>
      <c r="IY11" s="567" t="s">
        <v>447</v>
      </c>
      <c r="IZ11" s="567" t="s">
        <v>447</v>
      </c>
      <c r="JA11" s="594" t="s">
        <v>433</v>
      </c>
      <c r="JB11" s="566">
        <v>5634160</v>
      </c>
      <c r="JC11" s="806">
        <f t="shared" si="48"/>
        <v>5634.16</v>
      </c>
      <c r="JG11" s="567" t="s">
        <v>430</v>
      </c>
      <c r="JH11" s="567" t="s">
        <v>454</v>
      </c>
      <c r="JI11" s="567" t="s">
        <v>447</v>
      </c>
      <c r="JJ11" s="567" t="s">
        <v>447</v>
      </c>
      <c r="JK11" s="567" t="s">
        <v>433</v>
      </c>
      <c r="JL11" s="80">
        <v>0</v>
      </c>
      <c r="JM11" s="80">
        <v>0</v>
      </c>
      <c r="JN11" s="80">
        <v>0</v>
      </c>
      <c r="JO11" s="169">
        <f t="shared" si="49"/>
        <v>0</v>
      </c>
      <c r="JP11" s="169">
        <f t="shared" si="50"/>
        <v>0</v>
      </c>
      <c r="JQ11" s="169">
        <f t="shared" si="51"/>
        <v>0</v>
      </c>
    </row>
    <row r="12" spans="1:279" ht="15" customHeight="1" x14ac:dyDescent="0.25">
      <c r="A12" s="92" t="s">
        <v>434</v>
      </c>
      <c r="B12" s="92" t="s">
        <v>307</v>
      </c>
      <c r="C12" s="92" t="s">
        <v>437</v>
      </c>
      <c r="D12" s="92" t="s">
        <v>329</v>
      </c>
      <c r="E12" s="93">
        <v>9692789</v>
      </c>
      <c r="F12" s="93">
        <f t="shared" si="7"/>
        <v>10303.434707</v>
      </c>
      <c r="G12" s="93">
        <v>0</v>
      </c>
      <c r="H12" s="93">
        <f t="shared" si="8"/>
        <v>0</v>
      </c>
      <c r="U12" s="90" t="s">
        <v>434</v>
      </c>
      <c r="V12" s="90" t="s">
        <v>307</v>
      </c>
      <c r="W12" s="90" t="s">
        <v>437</v>
      </c>
      <c r="X12" s="1420" t="s">
        <v>329</v>
      </c>
      <c r="Y12" s="91">
        <v>9692789</v>
      </c>
      <c r="Z12" s="91">
        <f t="shared" si="9"/>
        <v>10303.434707</v>
      </c>
      <c r="AD12" s="90" t="s">
        <v>434</v>
      </c>
      <c r="AE12" s="90" t="s">
        <v>307</v>
      </c>
      <c r="AF12" s="90" t="s">
        <v>436</v>
      </c>
      <c r="AG12" s="90" t="s">
        <v>339</v>
      </c>
      <c r="AH12" s="91">
        <v>508288000</v>
      </c>
      <c r="AI12" s="91">
        <f t="shared" si="10"/>
        <v>540310.14399999997</v>
      </c>
      <c r="AJ12" s="91">
        <v>0</v>
      </c>
      <c r="AM12" s="169"/>
      <c r="AN12" s="90" t="s">
        <v>463</v>
      </c>
      <c r="AO12" s="90" t="s">
        <v>464</v>
      </c>
      <c r="AP12" s="90" t="s">
        <v>447</v>
      </c>
      <c r="AQ12" s="90" t="s">
        <v>447</v>
      </c>
      <c r="AR12" s="91">
        <v>14000000</v>
      </c>
      <c r="AS12" s="91">
        <f t="shared" si="11"/>
        <v>14882</v>
      </c>
      <c r="AW12" s="90" t="s">
        <v>434</v>
      </c>
      <c r="AX12" s="90" t="s">
        <v>307</v>
      </c>
      <c r="AY12" s="90" t="s">
        <v>435</v>
      </c>
      <c r="AZ12" s="90" t="s">
        <v>328</v>
      </c>
      <c r="BA12" s="91">
        <v>0</v>
      </c>
      <c r="BB12" s="91">
        <v>414108825</v>
      </c>
      <c r="BC12" s="91">
        <v>170447400</v>
      </c>
      <c r="BD12" s="91">
        <f t="shared" si="1"/>
        <v>0</v>
      </c>
      <c r="BE12" s="91">
        <f t="shared" si="2"/>
        <v>440197.68097499997</v>
      </c>
      <c r="BF12" s="91">
        <f t="shared" si="3"/>
        <v>181185.58619999999</v>
      </c>
      <c r="BN12" s="75"/>
      <c r="BO12" s="75"/>
      <c r="BP12" s="75"/>
      <c r="BT12" s="87" t="s">
        <v>434</v>
      </c>
      <c r="BU12" s="87" t="s">
        <v>307</v>
      </c>
      <c r="BV12" s="87" t="s">
        <v>435</v>
      </c>
      <c r="BW12" s="87" t="s">
        <v>328</v>
      </c>
      <c r="BX12" s="304" t="s">
        <v>433</v>
      </c>
      <c r="BY12" s="88">
        <v>0</v>
      </c>
      <c r="BZ12" s="88">
        <v>752111753</v>
      </c>
      <c r="CA12" s="88">
        <v>196131289</v>
      </c>
      <c r="CB12" s="169">
        <f t="shared" si="12"/>
        <v>0</v>
      </c>
      <c r="CC12" s="169">
        <f t="shared" si="13"/>
        <v>752111.75300000003</v>
      </c>
      <c r="CD12" s="169">
        <f t="shared" si="14"/>
        <v>196131.28899999999</v>
      </c>
      <c r="CH12" s="87" t="s">
        <v>438</v>
      </c>
      <c r="CI12" s="87" t="s">
        <v>335</v>
      </c>
      <c r="CJ12" s="87">
        <v>42402006</v>
      </c>
      <c r="CK12" s="87" t="s">
        <v>630</v>
      </c>
      <c r="CL12" s="304" t="s">
        <v>433</v>
      </c>
      <c r="CM12" s="88">
        <v>0</v>
      </c>
      <c r="CN12" s="88">
        <v>93000000</v>
      </c>
      <c r="CO12" s="88">
        <v>0</v>
      </c>
      <c r="CP12" s="309">
        <f t="shared" si="15"/>
        <v>0</v>
      </c>
      <c r="CQ12" s="309">
        <f t="shared" si="16"/>
        <v>93000</v>
      </c>
      <c r="CR12" s="309">
        <f t="shared" si="17"/>
        <v>0</v>
      </c>
      <c r="CV12" s="89" t="s">
        <v>434</v>
      </c>
      <c r="CW12" s="89" t="s">
        <v>307</v>
      </c>
      <c r="CX12" s="89" t="s">
        <v>437</v>
      </c>
      <c r="CY12" s="89" t="s">
        <v>329</v>
      </c>
      <c r="CZ12" s="89">
        <v>0</v>
      </c>
      <c r="DA12" s="89">
        <v>17102092</v>
      </c>
      <c r="DB12" s="89">
        <v>6974505</v>
      </c>
      <c r="DC12" s="590">
        <f t="shared" si="18"/>
        <v>0</v>
      </c>
      <c r="DD12" s="590">
        <f t="shared" si="19"/>
        <v>17102.092000000001</v>
      </c>
      <c r="DE12" s="590">
        <f t="shared" si="20"/>
        <v>6974.5050000000001</v>
      </c>
      <c r="DI12" s="316" t="s">
        <v>434</v>
      </c>
      <c r="DJ12" s="316" t="s">
        <v>307</v>
      </c>
      <c r="DK12" s="316" t="s">
        <v>436</v>
      </c>
      <c r="DL12" s="316" t="s">
        <v>339</v>
      </c>
      <c r="DM12" s="80">
        <v>508288000</v>
      </c>
      <c r="DN12" s="80">
        <v>0</v>
      </c>
      <c r="DO12" s="80">
        <v>0</v>
      </c>
      <c r="DP12" s="593">
        <f t="shared" si="21"/>
        <v>508288</v>
      </c>
      <c r="DQ12" s="593">
        <f t="shared" si="22"/>
        <v>0</v>
      </c>
      <c r="DR12" s="593">
        <f t="shared" si="23"/>
        <v>0</v>
      </c>
      <c r="DV12" s="565" t="s">
        <v>434</v>
      </c>
      <c r="DW12" s="565" t="s">
        <v>307</v>
      </c>
      <c r="DX12" s="565" t="s">
        <v>436</v>
      </c>
      <c r="DY12" s="567" t="s">
        <v>339</v>
      </c>
      <c r="DZ12" s="594" t="s">
        <v>433</v>
      </c>
      <c r="EA12" s="566">
        <v>0</v>
      </c>
      <c r="EB12" s="566">
        <v>39795535</v>
      </c>
      <c r="EC12" s="566">
        <v>3262714</v>
      </c>
      <c r="ED12" s="566">
        <f t="shared" si="24"/>
        <v>0</v>
      </c>
      <c r="EE12" s="566">
        <f t="shared" si="25"/>
        <v>39795.535000000003</v>
      </c>
      <c r="EF12" s="566">
        <f t="shared" si="26"/>
        <v>3262.7139999999999</v>
      </c>
      <c r="EG12" s="96"/>
      <c r="EI12" s="89" t="s">
        <v>434</v>
      </c>
      <c r="EJ12" s="89" t="s">
        <v>307</v>
      </c>
      <c r="EK12" s="89" t="s">
        <v>436</v>
      </c>
      <c r="EL12" s="89" t="s">
        <v>339</v>
      </c>
      <c r="EM12" s="89" t="s">
        <v>433</v>
      </c>
      <c r="EN12" s="89">
        <v>508288000</v>
      </c>
      <c r="EO12" s="89">
        <v>0</v>
      </c>
      <c r="EP12" s="89">
        <v>0</v>
      </c>
      <c r="EQ12" s="590">
        <f t="shared" si="27"/>
        <v>508288</v>
      </c>
      <c r="ER12" s="590">
        <f t="shared" si="28"/>
        <v>0</v>
      </c>
      <c r="ES12" s="590">
        <f t="shared" si="29"/>
        <v>0</v>
      </c>
      <c r="EW12" s="565" t="s">
        <v>434</v>
      </c>
      <c r="EX12" s="565" t="s">
        <v>307</v>
      </c>
      <c r="EY12" s="565" t="s">
        <v>458</v>
      </c>
      <c r="EZ12" s="565" t="s">
        <v>330</v>
      </c>
      <c r="FA12" s="594" t="s">
        <v>433</v>
      </c>
      <c r="FB12" s="566">
        <v>0</v>
      </c>
      <c r="FC12" s="566">
        <v>20962</v>
      </c>
      <c r="FD12" s="566">
        <v>20962</v>
      </c>
      <c r="FE12" s="566">
        <f t="shared" si="30"/>
        <v>0</v>
      </c>
      <c r="FF12" s="566">
        <f t="shared" si="31"/>
        <v>20.962</v>
      </c>
      <c r="FG12" s="566">
        <f t="shared" si="32"/>
        <v>20.962</v>
      </c>
      <c r="FK12" s="89" t="s">
        <v>434</v>
      </c>
      <c r="FL12" s="89" t="s">
        <v>307</v>
      </c>
      <c r="FM12" s="89" t="s">
        <v>436</v>
      </c>
      <c r="FN12" s="89" t="s">
        <v>339</v>
      </c>
      <c r="FO12" s="366" t="s">
        <v>433</v>
      </c>
      <c r="FP12" s="80">
        <v>200000000</v>
      </c>
      <c r="FQ12" s="80">
        <v>0</v>
      </c>
      <c r="FR12" s="80">
        <v>0</v>
      </c>
      <c r="FS12" s="566">
        <f t="shared" si="33"/>
        <v>200000</v>
      </c>
      <c r="FT12" s="566">
        <f t="shared" si="34"/>
        <v>0</v>
      </c>
      <c r="FU12" s="566">
        <f t="shared" si="35"/>
        <v>0</v>
      </c>
      <c r="FY12" s="565" t="s">
        <v>463</v>
      </c>
      <c r="FZ12" s="567" t="s">
        <v>464</v>
      </c>
      <c r="GA12" s="567" t="s">
        <v>447</v>
      </c>
      <c r="GB12" s="567" t="s">
        <v>447</v>
      </c>
      <c r="GC12" s="594" t="s">
        <v>433</v>
      </c>
      <c r="GD12" s="566">
        <v>81961816</v>
      </c>
      <c r="GE12" s="706">
        <f t="shared" si="36"/>
        <v>81961.816000000006</v>
      </c>
      <c r="GI12" s="679" t="s">
        <v>434</v>
      </c>
      <c r="GJ12" s="679" t="s">
        <v>307</v>
      </c>
      <c r="GK12" s="362" t="s">
        <v>436</v>
      </c>
      <c r="GL12" s="679" t="s">
        <v>339</v>
      </c>
      <c r="GM12" s="679" t="s">
        <v>433</v>
      </c>
      <c r="GN12" s="715">
        <v>200000000</v>
      </c>
      <c r="GO12" s="715">
        <v>0</v>
      </c>
      <c r="GP12" s="715">
        <v>0</v>
      </c>
      <c r="GQ12" s="716">
        <f t="shared" si="37"/>
        <v>200000</v>
      </c>
      <c r="GR12" s="716">
        <f t="shared" si="38"/>
        <v>0</v>
      </c>
      <c r="GS12" s="716">
        <f t="shared" si="39"/>
        <v>0</v>
      </c>
      <c r="GX12" s="664" t="s">
        <v>434</v>
      </c>
      <c r="GY12" s="567" t="s">
        <v>307</v>
      </c>
      <c r="GZ12" s="567" t="s">
        <v>437</v>
      </c>
      <c r="HA12" s="567" t="s">
        <v>329</v>
      </c>
      <c r="HB12" s="567" t="s">
        <v>433</v>
      </c>
      <c r="HC12" s="771">
        <v>9551114</v>
      </c>
      <c r="HD12" s="772">
        <f t="shared" si="40"/>
        <v>9551.1139999999996</v>
      </c>
      <c r="HE12" s="81"/>
      <c r="HF12" s="81"/>
      <c r="HH12" s="775" t="s">
        <v>434</v>
      </c>
      <c r="HI12" s="775" t="s">
        <v>307</v>
      </c>
      <c r="HJ12" s="775" t="s">
        <v>436</v>
      </c>
      <c r="HK12" s="776" t="s">
        <v>339</v>
      </c>
      <c r="HL12" s="776" t="s">
        <v>433</v>
      </c>
      <c r="HM12" s="367">
        <v>200000000</v>
      </c>
      <c r="HN12" s="367">
        <v>0</v>
      </c>
      <c r="HO12" s="367">
        <v>0</v>
      </c>
      <c r="HP12" s="774">
        <f t="shared" si="41"/>
        <v>200000</v>
      </c>
      <c r="HQ12" s="774">
        <f t="shared" si="42"/>
        <v>0</v>
      </c>
      <c r="HR12" s="774">
        <f t="shared" si="43"/>
        <v>0</v>
      </c>
      <c r="HW12" s="776" t="s">
        <v>434</v>
      </c>
      <c r="HX12" s="776" t="s">
        <v>307</v>
      </c>
      <c r="HY12" s="776" t="s">
        <v>437</v>
      </c>
      <c r="HZ12" s="776" t="s">
        <v>329</v>
      </c>
      <c r="IA12" s="776" t="s">
        <v>433</v>
      </c>
      <c r="IB12" s="813">
        <v>2147000</v>
      </c>
      <c r="IC12" s="813">
        <v>0</v>
      </c>
      <c r="ID12" s="813">
        <v>0</v>
      </c>
      <c r="IE12" s="568">
        <f t="shared" si="44"/>
        <v>0</v>
      </c>
      <c r="II12" s="362" t="s">
        <v>430</v>
      </c>
      <c r="IJ12" s="362" t="s">
        <v>454</v>
      </c>
      <c r="IK12" s="362" t="s">
        <v>455</v>
      </c>
      <c r="IL12" s="362" t="s">
        <v>456</v>
      </c>
      <c r="IM12" s="679" t="s">
        <v>433</v>
      </c>
      <c r="IN12" s="248">
        <v>0</v>
      </c>
      <c r="IO12" s="248">
        <v>80000000</v>
      </c>
      <c r="IP12" s="248">
        <v>60000000</v>
      </c>
      <c r="IQ12" s="806">
        <f t="shared" si="45"/>
        <v>0</v>
      </c>
      <c r="IR12" s="806">
        <f t="shared" si="46"/>
        <v>80000</v>
      </c>
      <c r="IS12" s="806">
        <f t="shared" si="47"/>
        <v>60000</v>
      </c>
      <c r="IW12" s="567" t="s">
        <v>460</v>
      </c>
      <c r="IX12" s="567" t="s">
        <v>461</v>
      </c>
      <c r="IY12" s="567" t="s">
        <v>447</v>
      </c>
      <c r="IZ12" s="567" t="s">
        <v>447</v>
      </c>
      <c r="JA12" s="594" t="s">
        <v>433</v>
      </c>
      <c r="JB12" s="566">
        <v>181465585</v>
      </c>
      <c r="JC12" s="806">
        <f t="shared" si="48"/>
        <v>181465.58499999999</v>
      </c>
      <c r="JG12" s="567" t="s">
        <v>430</v>
      </c>
      <c r="JH12" s="567" t="s">
        <v>454</v>
      </c>
      <c r="JI12" s="567" t="s">
        <v>431</v>
      </c>
      <c r="JJ12" s="567" t="s">
        <v>432</v>
      </c>
      <c r="JK12" s="567" t="s">
        <v>433</v>
      </c>
      <c r="JL12" s="80">
        <v>0</v>
      </c>
      <c r="JM12" s="80">
        <v>2194241</v>
      </c>
      <c r="JN12" s="80">
        <v>2194241</v>
      </c>
      <c r="JO12" s="169">
        <f t="shared" si="49"/>
        <v>0</v>
      </c>
      <c r="JP12" s="169">
        <f t="shared" si="50"/>
        <v>2194.241</v>
      </c>
      <c r="JQ12" s="169">
        <f t="shared" si="51"/>
        <v>2194.241</v>
      </c>
    </row>
    <row r="13" spans="1:279" ht="15" customHeight="1" x14ac:dyDescent="0.25">
      <c r="A13" s="92" t="s">
        <v>434</v>
      </c>
      <c r="B13" s="92" t="s">
        <v>307</v>
      </c>
      <c r="C13" s="92" t="s">
        <v>447</v>
      </c>
      <c r="D13" s="92" t="s">
        <v>447</v>
      </c>
      <c r="E13" s="93">
        <v>0</v>
      </c>
      <c r="F13" s="93">
        <f t="shared" si="7"/>
        <v>0</v>
      </c>
      <c r="G13" s="93">
        <v>0</v>
      </c>
      <c r="H13" s="93">
        <f t="shared" si="8"/>
        <v>0</v>
      </c>
      <c r="U13" s="90" t="s">
        <v>508</v>
      </c>
      <c r="V13" s="90" t="s">
        <v>523</v>
      </c>
      <c r="W13" s="90" t="s">
        <v>447</v>
      </c>
      <c r="X13" s="1420" t="s">
        <v>447</v>
      </c>
      <c r="Y13" s="91">
        <v>90486000</v>
      </c>
      <c r="Z13" s="91">
        <f t="shared" si="9"/>
        <v>96186.618000000002</v>
      </c>
      <c r="AD13" s="90" t="s">
        <v>434</v>
      </c>
      <c r="AE13" s="90" t="s">
        <v>307</v>
      </c>
      <c r="AF13" s="90" t="s">
        <v>437</v>
      </c>
      <c r="AG13" s="90" t="s">
        <v>329</v>
      </c>
      <c r="AH13" s="91">
        <v>122164211</v>
      </c>
      <c r="AI13" s="91">
        <f t="shared" si="10"/>
        <v>129860.55629299999</v>
      </c>
      <c r="AJ13" s="91">
        <v>0</v>
      </c>
      <c r="AM13" s="169"/>
      <c r="AN13" s="90" t="s">
        <v>465</v>
      </c>
      <c r="AO13" s="90" t="s">
        <v>466</v>
      </c>
      <c r="AP13" s="90" t="s">
        <v>447</v>
      </c>
      <c r="AQ13" s="90" t="s">
        <v>447</v>
      </c>
      <c r="AR13" s="91">
        <v>23513075</v>
      </c>
      <c r="AS13" s="91">
        <f t="shared" si="11"/>
        <v>24994.398724999999</v>
      </c>
      <c r="AW13" s="90" t="s">
        <v>434</v>
      </c>
      <c r="AX13" s="90" t="s">
        <v>307</v>
      </c>
      <c r="AY13" s="90" t="s">
        <v>436</v>
      </c>
      <c r="AZ13" s="90" t="s">
        <v>339</v>
      </c>
      <c r="BA13" s="91">
        <v>508288000</v>
      </c>
      <c r="BB13" s="91">
        <v>0</v>
      </c>
      <c r="BC13" s="91">
        <v>0</v>
      </c>
      <c r="BD13" s="91">
        <f t="shared" si="1"/>
        <v>540310.14399999997</v>
      </c>
      <c r="BE13" s="91">
        <f t="shared" si="2"/>
        <v>0</v>
      </c>
      <c r="BF13" s="91">
        <f t="shared" si="3"/>
        <v>0</v>
      </c>
      <c r="BN13" s="75"/>
      <c r="BO13" s="75"/>
      <c r="BP13" s="75"/>
      <c r="BT13" s="87" t="s">
        <v>434</v>
      </c>
      <c r="BU13" s="87" t="s">
        <v>307</v>
      </c>
      <c r="BV13" s="87" t="s">
        <v>436</v>
      </c>
      <c r="BW13" s="87" t="s">
        <v>339</v>
      </c>
      <c r="BX13" s="304" t="s">
        <v>433</v>
      </c>
      <c r="BY13" s="88">
        <v>508288000</v>
      </c>
      <c r="BZ13" s="88">
        <v>0</v>
      </c>
      <c r="CA13" s="88">
        <v>0</v>
      </c>
      <c r="CB13" s="169">
        <f t="shared" si="12"/>
        <v>508288</v>
      </c>
      <c r="CC13" s="169">
        <f t="shared" si="13"/>
        <v>0</v>
      </c>
      <c r="CD13" s="169">
        <f t="shared" si="14"/>
        <v>0</v>
      </c>
      <c r="CH13" s="87" t="s">
        <v>438</v>
      </c>
      <c r="CI13" s="87" t="s">
        <v>335</v>
      </c>
      <c r="CJ13" s="87" t="s">
        <v>447</v>
      </c>
      <c r="CK13" s="87" t="s">
        <v>447</v>
      </c>
      <c r="CL13" s="304" t="s">
        <v>433</v>
      </c>
      <c r="CM13" s="88">
        <v>0</v>
      </c>
      <c r="CN13" s="88">
        <v>0</v>
      </c>
      <c r="CO13" s="88">
        <v>0</v>
      </c>
      <c r="CP13" s="309">
        <f t="shared" si="15"/>
        <v>0</v>
      </c>
      <c r="CQ13" s="309">
        <f t="shared" si="16"/>
        <v>0</v>
      </c>
      <c r="CR13" s="309">
        <f t="shared" si="17"/>
        <v>0</v>
      </c>
      <c r="CV13" s="89" t="s">
        <v>434</v>
      </c>
      <c r="CW13" s="89" t="s">
        <v>307</v>
      </c>
      <c r="CX13" s="89" t="s">
        <v>447</v>
      </c>
      <c r="CY13" s="89" t="s">
        <v>447</v>
      </c>
      <c r="CZ13" s="89">
        <v>0</v>
      </c>
      <c r="DA13" s="89">
        <v>0</v>
      </c>
      <c r="DB13" s="89">
        <v>0</v>
      </c>
      <c r="DC13" s="590">
        <f t="shared" si="18"/>
        <v>0</v>
      </c>
      <c r="DD13" s="590">
        <f t="shared" si="19"/>
        <v>0</v>
      </c>
      <c r="DE13" s="590">
        <f t="shared" si="20"/>
        <v>0</v>
      </c>
      <c r="DI13" s="316" t="s">
        <v>434</v>
      </c>
      <c r="DJ13" s="316" t="s">
        <v>307</v>
      </c>
      <c r="DK13" s="316" t="s">
        <v>437</v>
      </c>
      <c r="DL13" s="316" t="s">
        <v>329</v>
      </c>
      <c r="DM13" s="80">
        <v>118164211</v>
      </c>
      <c r="DN13" s="80">
        <v>0</v>
      </c>
      <c r="DO13" s="80">
        <v>0</v>
      </c>
      <c r="DP13" s="593">
        <f t="shared" si="21"/>
        <v>118164.211</v>
      </c>
      <c r="DQ13" s="593">
        <f t="shared" si="22"/>
        <v>0</v>
      </c>
      <c r="DR13" s="593">
        <f t="shared" si="23"/>
        <v>0</v>
      </c>
      <c r="DV13" s="565" t="s">
        <v>434</v>
      </c>
      <c r="DW13" s="565" t="s">
        <v>307</v>
      </c>
      <c r="DX13" s="565" t="s">
        <v>437</v>
      </c>
      <c r="DY13" s="567" t="s">
        <v>329</v>
      </c>
      <c r="DZ13" s="594" t="s">
        <v>433</v>
      </c>
      <c r="EA13" s="566">
        <v>0</v>
      </c>
      <c r="EB13" s="566">
        <v>19778322</v>
      </c>
      <c r="EC13" s="566">
        <v>10411718</v>
      </c>
      <c r="ED13" s="566">
        <f t="shared" si="24"/>
        <v>0</v>
      </c>
      <c r="EE13" s="566">
        <f t="shared" si="25"/>
        <v>19778.322</v>
      </c>
      <c r="EF13" s="566">
        <f t="shared" si="26"/>
        <v>10411.718000000001</v>
      </c>
      <c r="EG13" s="96"/>
      <c r="EI13" s="89" t="s">
        <v>434</v>
      </c>
      <c r="EJ13" s="89" t="s">
        <v>307</v>
      </c>
      <c r="EK13" s="89" t="s">
        <v>437</v>
      </c>
      <c r="EL13" s="89" t="s">
        <v>329</v>
      </c>
      <c r="EM13" s="89" t="s">
        <v>433</v>
      </c>
      <c r="EN13" s="89">
        <v>118164211</v>
      </c>
      <c r="EO13" s="89">
        <v>0</v>
      </c>
      <c r="EP13" s="89">
        <v>0</v>
      </c>
      <c r="EQ13" s="590">
        <f t="shared" si="27"/>
        <v>118164.211</v>
      </c>
      <c r="ER13" s="590">
        <f t="shared" si="28"/>
        <v>0</v>
      </c>
      <c r="ES13" s="590">
        <f t="shared" si="29"/>
        <v>0</v>
      </c>
      <c r="EW13" s="565" t="s">
        <v>434</v>
      </c>
      <c r="EX13" s="565" t="s">
        <v>307</v>
      </c>
      <c r="EY13" s="565" t="s">
        <v>436</v>
      </c>
      <c r="EZ13" s="565" t="s">
        <v>339</v>
      </c>
      <c r="FA13" s="594" t="s">
        <v>433</v>
      </c>
      <c r="FB13" s="566">
        <v>-308288000</v>
      </c>
      <c r="FC13" s="566">
        <v>0</v>
      </c>
      <c r="FD13" s="566">
        <v>0</v>
      </c>
      <c r="FE13" s="566">
        <f t="shared" si="30"/>
        <v>-308288</v>
      </c>
      <c r="FF13" s="566">
        <f t="shared" si="31"/>
        <v>0</v>
      </c>
      <c r="FG13" s="566">
        <f t="shared" si="32"/>
        <v>0</v>
      </c>
      <c r="FK13" s="89" t="s">
        <v>434</v>
      </c>
      <c r="FL13" s="89" t="s">
        <v>307</v>
      </c>
      <c r="FM13" s="89" t="s">
        <v>437</v>
      </c>
      <c r="FN13" s="89" t="s">
        <v>329</v>
      </c>
      <c r="FO13" s="366" t="s">
        <v>433</v>
      </c>
      <c r="FP13" s="80">
        <v>118164211</v>
      </c>
      <c r="FQ13" s="80">
        <v>0</v>
      </c>
      <c r="FR13" s="80">
        <v>0</v>
      </c>
      <c r="FS13" s="566">
        <f t="shared" si="33"/>
        <v>118164.211</v>
      </c>
      <c r="FT13" s="566">
        <f t="shared" si="34"/>
        <v>0</v>
      </c>
      <c r="FU13" s="566">
        <f t="shared" si="35"/>
        <v>0</v>
      </c>
      <c r="FY13" s="565" t="s">
        <v>465</v>
      </c>
      <c r="FZ13" s="567" t="s">
        <v>466</v>
      </c>
      <c r="GA13" s="567" t="s">
        <v>447</v>
      </c>
      <c r="GB13" s="567" t="s">
        <v>447</v>
      </c>
      <c r="GC13" s="594" t="s">
        <v>433</v>
      </c>
      <c r="GD13" s="566">
        <v>6523428</v>
      </c>
      <c r="GE13" s="706">
        <f t="shared" si="36"/>
        <v>6523.4279999999999</v>
      </c>
      <c r="GI13" s="679" t="s">
        <v>434</v>
      </c>
      <c r="GJ13" s="679" t="s">
        <v>307</v>
      </c>
      <c r="GK13" s="362" t="s">
        <v>437</v>
      </c>
      <c r="GL13" s="679" t="s">
        <v>329</v>
      </c>
      <c r="GM13" s="679" t="s">
        <v>433</v>
      </c>
      <c r="GN13" s="715">
        <v>118164211</v>
      </c>
      <c r="GO13" s="715">
        <v>0</v>
      </c>
      <c r="GP13" s="715">
        <v>0</v>
      </c>
      <c r="GQ13" s="716">
        <f t="shared" si="37"/>
        <v>118164.211</v>
      </c>
      <c r="GR13" s="716">
        <f t="shared" si="38"/>
        <v>0</v>
      </c>
      <c r="GS13" s="716">
        <f t="shared" si="39"/>
        <v>0</v>
      </c>
      <c r="GX13" s="664" t="s">
        <v>434</v>
      </c>
      <c r="GY13" s="567" t="s">
        <v>307</v>
      </c>
      <c r="GZ13" s="567" t="s">
        <v>435</v>
      </c>
      <c r="HA13" s="567" t="s">
        <v>328</v>
      </c>
      <c r="HB13" s="567" t="s">
        <v>433</v>
      </c>
      <c r="HC13" s="771">
        <v>166826794</v>
      </c>
      <c r="HD13" s="772">
        <f t="shared" si="40"/>
        <v>166826.79399999999</v>
      </c>
      <c r="HE13" s="81"/>
      <c r="HF13" s="81"/>
      <c r="HH13" s="775" t="s">
        <v>434</v>
      </c>
      <c r="HI13" s="775" t="s">
        <v>307</v>
      </c>
      <c r="HJ13" s="775" t="s">
        <v>437</v>
      </c>
      <c r="HK13" s="776" t="s">
        <v>329</v>
      </c>
      <c r="HL13" s="776" t="s">
        <v>433</v>
      </c>
      <c r="HM13" s="367">
        <v>118164211</v>
      </c>
      <c r="HN13" s="367">
        <v>0</v>
      </c>
      <c r="HO13" s="367">
        <v>0</v>
      </c>
      <c r="HP13" s="774">
        <f t="shared" si="41"/>
        <v>118164.211</v>
      </c>
      <c r="HQ13" s="774">
        <f t="shared" si="42"/>
        <v>0</v>
      </c>
      <c r="HR13" s="774">
        <f t="shared" si="43"/>
        <v>0</v>
      </c>
      <c r="HW13" s="776" t="s">
        <v>434</v>
      </c>
      <c r="HX13" s="776" t="s">
        <v>307</v>
      </c>
      <c r="HY13" s="776" t="s">
        <v>447</v>
      </c>
      <c r="HZ13" s="776" t="s">
        <v>447</v>
      </c>
      <c r="IA13" s="776" t="s">
        <v>433</v>
      </c>
      <c r="IB13" s="813">
        <v>0</v>
      </c>
      <c r="IC13" s="813">
        <v>0</v>
      </c>
      <c r="ID13" s="813">
        <v>0</v>
      </c>
      <c r="IE13" s="568">
        <f t="shared" si="44"/>
        <v>0</v>
      </c>
      <c r="II13" s="362" t="s">
        <v>434</v>
      </c>
      <c r="IJ13" s="362" t="s">
        <v>307</v>
      </c>
      <c r="IK13" s="362" t="s">
        <v>435</v>
      </c>
      <c r="IL13" s="362" t="s">
        <v>328</v>
      </c>
      <c r="IM13" s="679" t="s">
        <v>433</v>
      </c>
      <c r="IN13" s="248">
        <v>2220417000</v>
      </c>
      <c r="IO13" s="248">
        <v>0</v>
      </c>
      <c r="IP13" s="248">
        <v>0</v>
      </c>
      <c r="IQ13" s="806">
        <f t="shared" si="45"/>
        <v>2220417</v>
      </c>
      <c r="IR13" s="806">
        <f t="shared" si="46"/>
        <v>0</v>
      </c>
      <c r="IS13" s="806">
        <f t="shared" si="47"/>
        <v>0</v>
      </c>
      <c r="IW13" s="567" t="s">
        <v>438</v>
      </c>
      <c r="IX13" s="567" t="s">
        <v>335</v>
      </c>
      <c r="IY13" s="567" t="s">
        <v>629</v>
      </c>
      <c r="IZ13" s="567" t="s">
        <v>630</v>
      </c>
      <c r="JA13" s="594" t="s">
        <v>433</v>
      </c>
      <c r="JB13" s="566">
        <v>13280000</v>
      </c>
      <c r="JC13" s="806">
        <f t="shared" si="48"/>
        <v>13280</v>
      </c>
      <c r="JG13" s="567" t="s">
        <v>430</v>
      </c>
      <c r="JH13" s="567" t="s">
        <v>454</v>
      </c>
      <c r="JI13" s="567" t="s">
        <v>715</v>
      </c>
      <c r="JJ13" s="567" t="s">
        <v>716</v>
      </c>
      <c r="JK13" s="567" t="s">
        <v>433</v>
      </c>
      <c r="JL13" s="80">
        <v>0</v>
      </c>
      <c r="JM13" s="80">
        <v>8948512</v>
      </c>
      <c r="JN13" s="80">
        <v>8948512</v>
      </c>
      <c r="JO13" s="169">
        <f t="shared" si="49"/>
        <v>0</v>
      </c>
      <c r="JP13" s="169">
        <f t="shared" si="50"/>
        <v>8948.5120000000006</v>
      </c>
      <c r="JQ13" s="169">
        <f t="shared" si="51"/>
        <v>8948.5120000000006</v>
      </c>
    </row>
    <row r="14" spans="1:279" ht="15" customHeight="1" x14ac:dyDescent="0.25">
      <c r="A14" s="92" t="s">
        <v>434</v>
      </c>
      <c r="B14" s="92" t="s">
        <v>307</v>
      </c>
      <c r="C14" s="92" t="s">
        <v>435</v>
      </c>
      <c r="D14" s="92" t="s">
        <v>328</v>
      </c>
      <c r="E14" s="93">
        <v>0</v>
      </c>
      <c r="F14" s="93">
        <f t="shared" si="7"/>
        <v>0</v>
      </c>
      <c r="G14" s="93">
        <v>7240530</v>
      </c>
      <c r="H14" s="93">
        <f t="shared" si="8"/>
        <v>7696.6833899999992</v>
      </c>
      <c r="U14" s="90" t="s">
        <v>460</v>
      </c>
      <c r="V14" s="90" t="s">
        <v>461</v>
      </c>
      <c r="W14" s="90" t="s">
        <v>447</v>
      </c>
      <c r="X14" s="1420" t="s">
        <v>447</v>
      </c>
      <c r="Y14" s="91">
        <v>181473000</v>
      </c>
      <c r="Z14" s="91">
        <f t="shared" si="9"/>
        <v>192905.799</v>
      </c>
      <c r="AD14" s="90" t="s">
        <v>434</v>
      </c>
      <c r="AE14" s="90" t="s">
        <v>307</v>
      </c>
      <c r="AF14" s="90" t="s">
        <v>459</v>
      </c>
      <c r="AG14" s="90" t="s">
        <v>331</v>
      </c>
      <c r="AH14" s="91">
        <v>57186000</v>
      </c>
      <c r="AI14" s="91">
        <f t="shared" si="10"/>
        <v>60788.717999999993</v>
      </c>
      <c r="AJ14" s="91">
        <v>0</v>
      </c>
      <c r="AM14" s="169"/>
      <c r="AN14" s="90" t="s">
        <v>672</v>
      </c>
      <c r="AO14" s="90" t="s">
        <v>673</v>
      </c>
      <c r="AP14" s="90" t="s">
        <v>447</v>
      </c>
      <c r="AQ14" s="90" t="s">
        <v>447</v>
      </c>
      <c r="AR14" s="91">
        <v>1716000</v>
      </c>
      <c r="AS14" s="91">
        <f t="shared" si="11"/>
        <v>1824.1079999999999</v>
      </c>
      <c r="AW14" s="90" t="s">
        <v>434</v>
      </c>
      <c r="AX14" s="90" t="s">
        <v>307</v>
      </c>
      <c r="AY14" s="90" t="s">
        <v>436</v>
      </c>
      <c r="AZ14" s="90" t="s">
        <v>339</v>
      </c>
      <c r="BA14" s="91">
        <v>0</v>
      </c>
      <c r="BB14" s="91">
        <v>77015585</v>
      </c>
      <c r="BC14" s="91">
        <v>34591049</v>
      </c>
      <c r="BD14" s="91">
        <f t="shared" si="1"/>
        <v>0</v>
      </c>
      <c r="BE14" s="91">
        <f t="shared" si="2"/>
        <v>81867.566854999997</v>
      </c>
      <c r="BF14" s="91">
        <f t="shared" si="3"/>
        <v>36770.285086999997</v>
      </c>
      <c r="BN14" s="75"/>
      <c r="BO14" s="75"/>
      <c r="BP14" s="75"/>
      <c r="BT14" s="87" t="s">
        <v>434</v>
      </c>
      <c r="BU14" s="87" t="s">
        <v>307</v>
      </c>
      <c r="BV14" s="87" t="s">
        <v>436</v>
      </c>
      <c r="BW14" s="87" t="s">
        <v>339</v>
      </c>
      <c r="BX14" s="304" t="s">
        <v>433</v>
      </c>
      <c r="BY14" s="88">
        <v>0</v>
      </c>
      <c r="BZ14" s="88">
        <v>86577420</v>
      </c>
      <c r="CA14" s="88">
        <v>34591049</v>
      </c>
      <c r="CB14" s="169">
        <f t="shared" si="12"/>
        <v>0</v>
      </c>
      <c r="CC14" s="169">
        <f t="shared" si="13"/>
        <v>86577.42</v>
      </c>
      <c r="CD14" s="169">
        <f t="shared" si="14"/>
        <v>34591.048999999999</v>
      </c>
      <c r="CH14" s="87" t="s">
        <v>438</v>
      </c>
      <c r="CI14" s="87" t="s">
        <v>335</v>
      </c>
      <c r="CJ14" s="87" t="s">
        <v>447</v>
      </c>
      <c r="CK14" s="87" t="s">
        <v>447</v>
      </c>
      <c r="CL14" s="304" t="s">
        <v>433</v>
      </c>
      <c r="CM14" s="88">
        <v>0</v>
      </c>
      <c r="CN14" s="88">
        <v>0</v>
      </c>
      <c r="CO14" s="88">
        <v>0</v>
      </c>
      <c r="CP14" s="309">
        <f t="shared" si="15"/>
        <v>0</v>
      </c>
      <c r="CQ14" s="309">
        <f t="shared" si="16"/>
        <v>0</v>
      </c>
      <c r="CR14" s="309">
        <f t="shared" si="17"/>
        <v>0</v>
      </c>
      <c r="CV14" s="89" t="s">
        <v>434</v>
      </c>
      <c r="CW14" s="89" t="s">
        <v>307</v>
      </c>
      <c r="CX14" s="89" t="s">
        <v>437</v>
      </c>
      <c r="CY14" s="89" t="s">
        <v>329</v>
      </c>
      <c r="CZ14" s="89">
        <v>-4000000</v>
      </c>
      <c r="DA14" s="89">
        <v>0</v>
      </c>
      <c r="DB14" s="89">
        <v>0</v>
      </c>
      <c r="DC14" s="590">
        <f t="shared" si="18"/>
        <v>-4000</v>
      </c>
      <c r="DD14" s="590">
        <f t="shared" si="19"/>
        <v>0</v>
      </c>
      <c r="DE14" s="590">
        <f t="shared" si="20"/>
        <v>0</v>
      </c>
      <c r="DI14" s="316" t="s">
        <v>434</v>
      </c>
      <c r="DJ14" s="316" t="s">
        <v>307</v>
      </c>
      <c r="DK14" s="316" t="s">
        <v>459</v>
      </c>
      <c r="DL14" s="316" t="s">
        <v>331</v>
      </c>
      <c r="DM14" s="80">
        <v>57186000</v>
      </c>
      <c r="DN14" s="80">
        <v>0</v>
      </c>
      <c r="DO14" s="80">
        <v>0</v>
      </c>
      <c r="DP14" s="593">
        <f t="shared" si="21"/>
        <v>57186</v>
      </c>
      <c r="DQ14" s="593">
        <f t="shared" si="22"/>
        <v>0</v>
      </c>
      <c r="DR14" s="593">
        <f t="shared" si="23"/>
        <v>0</v>
      </c>
      <c r="DV14" s="565" t="s">
        <v>434</v>
      </c>
      <c r="DW14" s="565" t="s">
        <v>307</v>
      </c>
      <c r="DX14" s="565" t="s">
        <v>447</v>
      </c>
      <c r="DY14" s="567" t="s">
        <v>447</v>
      </c>
      <c r="DZ14" s="594" t="s">
        <v>433</v>
      </c>
      <c r="EA14" s="566">
        <v>0</v>
      </c>
      <c r="EB14" s="566">
        <v>0</v>
      </c>
      <c r="EC14" s="566">
        <v>0</v>
      </c>
      <c r="ED14" s="566">
        <f t="shared" si="24"/>
        <v>0</v>
      </c>
      <c r="EE14" s="566">
        <f t="shared" si="25"/>
        <v>0</v>
      </c>
      <c r="EF14" s="566">
        <f t="shared" si="26"/>
        <v>0</v>
      </c>
      <c r="EG14" s="96"/>
      <c r="EI14" s="89" t="s">
        <v>434</v>
      </c>
      <c r="EJ14" s="89" t="s">
        <v>307</v>
      </c>
      <c r="EK14" s="89" t="s">
        <v>459</v>
      </c>
      <c r="EL14" s="89" t="s">
        <v>331</v>
      </c>
      <c r="EM14" s="89" t="s">
        <v>433</v>
      </c>
      <c r="EN14" s="89">
        <v>57186000</v>
      </c>
      <c r="EO14" s="89">
        <v>0</v>
      </c>
      <c r="EP14" s="89">
        <v>0</v>
      </c>
      <c r="EQ14" s="590">
        <f t="shared" si="27"/>
        <v>57186</v>
      </c>
      <c r="ER14" s="590">
        <f t="shared" si="28"/>
        <v>0</v>
      </c>
      <c r="ES14" s="590">
        <f t="shared" si="29"/>
        <v>0</v>
      </c>
      <c r="EW14" s="565" t="s">
        <v>438</v>
      </c>
      <c r="EX14" s="565" t="s">
        <v>335</v>
      </c>
      <c r="EY14" s="565" t="s">
        <v>499</v>
      </c>
      <c r="EZ14" s="565" t="s">
        <v>632</v>
      </c>
      <c r="FA14" s="594" t="s">
        <v>433</v>
      </c>
      <c r="FB14" s="566">
        <v>540000000</v>
      </c>
      <c r="FC14" s="566">
        <v>0</v>
      </c>
      <c r="FD14" s="566">
        <v>0</v>
      </c>
      <c r="FE14" s="566">
        <f t="shared" si="30"/>
        <v>540000</v>
      </c>
      <c r="FF14" s="566">
        <f t="shared" si="31"/>
        <v>0</v>
      </c>
      <c r="FG14" s="566">
        <f t="shared" si="32"/>
        <v>0</v>
      </c>
      <c r="FK14" s="89" t="s">
        <v>434</v>
      </c>
      <c r="FL14" s="89" t="s">
        <v>307</v>
      </c>
      <c r="FM14" s="89" t="s">
        <v>459</v>
      </c>
      <c r="FN14" s="89" t="s">
        <v>331</v>
      </c>
      <c r="FO14" s="366" t="s">
        <v>433</v>
      </c>
      <c r="FP14" s="80">
        <v>57186000</v>
      </c>
      <c r="FQ14" s="80">
        <v>0</v>
      </c>
      <c r="FR14" s="80">
        <v>0</v>
      </c>
      <c r="FS14" s="566">
        <f t="shared" si="33"/>
        <v>57186</v>
      </c>
      <c r="FT14" s="566">
        <f t="shared" si="34"/>
        <v>0</v>
      </c>
      <c r="FU14" s="566">
        <f t="shared" si="35"/>
        <v>0</v>
      </c>
      <c r="FY14" s="565" t="s">
        <v>534</v>
      </c>
      <c r="FZ14" s="567" t="s">
        <v>537</v>
      </c>
      <c r="GA14" s="567" t="s">
        <v>447</v>
      </c>
      <c r="GB14" s="567" t="s">
        <v>447</v>
      </c>
      <c r="GC14" s="594" t="s">
        <v>433</v>
      </c>
      <c r="GD14" s="566">
        <v>0</v>
      </c>
      <c r="GE14" s="706">
        <f t="shared" si="36"/>
        <v>0</v>
      </c>
      <c r="GI14" s="679" t="s">
        <v>434</v>
      </c>
      <c r="GJ14" s="679" t="s">
        <v>307</v>
      </c>
      <c r="GK14" s="362" t="s">
        <v>459</v>
      </c>
      <c r="GL14" s="679" t="s">
        <v>331</v>
      </c>
      <c r="GM14" s="679" t="s">
        <v>433</v>
      </c>
      <c r="GN14" s="715">
        <v>57186000</v>
      </c>
      <c r="GO14" s="715">
        <v>0</v>
      </c>
      <c r="GP14" s="715">
        <v>0</v>
      </c>
      <c r="GQ14" s="716">
        <f t="shared" si="37"/>
        <v>57186</v>
      </c>
      <c r="GR14" s="716">
        <f t="shared" si="38"/>
        <v>0</v>
      </c>
      <c r="GS14" s="716">
        <f t="shared" si="39"/>
        <v>0</v>
      </c>
      <c r="GX14" s="664" t="s">
        <v>434</v>
      </c>
      <c r="GY14" s="567" t="s">
        <v>307</v>
      </c>
      <c r="GZ14" s="567" t="s">
        <v>447</v>
      </c>
      <c r="HA14" s="567" t="s">
        <v>447</v>
      </c>
      <c r="HB14" s="567" t="s">
        <v>433</v>
      </c>
      <c r="HC14" s="771">
        <v>0</v>
      </c>
      <c r="HD14" s="772">
        <f t="shared" si="40"/>
        <v>0</v>
      </c>
      <c r="HE14" s="81"/>
      <c r="HF14" s="81"/>
      <c r="HH14" s="775" t="s">
        <v>434</v>
      </c>
      <c r="HI14" s="775" t="s">
        <v>307</v>
      </c>
      <c r="HJ14" s="775" t="s">
        <v>459</v>
      </c>
      <c r="HK14" s="776" t="s">
        <v>331</v>
      </c>
      <c r="HL14" s="776" t="s">
        <v>433</v>
      </c>
      <c r="HM14" s="367">
        <v>57186000</v>
      </c>
      <c r="HN14" s="367">
        <v>0</v>
      </c>
      <c r="HO14" s="367">
        <v>0</v>
      </c>
      <c r="HP14" s="774">
        <f t="shared" si="41"/>
        <v>57186</v>
      </c>
      <c r="HQ14" s="774">
        <f t="shared" si="42"/>
        <v>0</v>
      </c>
      <c r="HR14" s="774">
        <f t="shared" si="43"/>
        <v>0</v>
      </c>
      <c r="HW14" s="776" t="s">
        <v>434</v>
      </c>
      <c r="HX14" s="776" t="s">
        <v>307</v>
      </c>
      <c r="HY14" s="776" t="s">
        <v>436</v>
      </c>
      <c r="HZ14" s="776" t="s">
        <v>339</v>
      </c>
      <c r="IA14" s="776" t="s">
        <v>433</v>
      </c>
      <c r="IB14" s="813">
        <v>0</v>
      </c>
      <c r="IC14" s="813">
        <v>12524970</v>
      </c>
      <c r="ID14" s="813">
        <v>12780000</v>
      </c>
      <c r="IE14" s="568">
        <f t="shared" si="44"/>
        <v>12780</v>
      </c>
      <c r="II14" s="362" t="s">
        <v>434</v>
      </c>
      <c r="IJ14" s="362" t="s">
        <v>307</v>
      </c>
      <c r="IK14" s="362" t="s">
        <v>436</v>
      </c>
      <c r="IL14" s="362" t="s">
        <v>339</v>
      </c>
      <c r="IM14" s="679" t="s">
        <v>433</v>
      </c>
      <c r="IN14" s="248">
        <v>200000000</v>
      </c>
      <c r="IO14" s="248">
        <v>0</v>
      </c>
      <c r="IP14" s="248">
        <v>0</v>
      </c>
      <c r="IQ14" s="806">
        <f t="shared" si="45"/>
        <v>200000</v>
      </c>
      <c r="IR14" s="806">
        <f t="shared" si="46"/>
        <v>0</v>
      </c>
      <c r="IS14" s="806">
        <f t="shared" si="47"/>
        <v>0</v>
      </c>
      <c r="IW14" s="567" t="s">
        <v>438</v>
      </c>
      <c r="IX14" s="567" t="s">
        <v>335</v>
      </c>
      <c r="IY14" s="567" t="s">
        <v>499</v>
      </c>
      <c r="IZ14" s="567" t="s">
        <v>632</v>
      </c>
      <c r="JA14" s="594" t="s">
        <v>433</v>
      </c>
      <c r="JB14" s="566">
        <v>1349400000</v>
      </c>
      <c r="JC14" s="806">
        <f t="shared" si="48"/>
        <v>1349400</v>
      </c>
      <c r="JG14" s="567" t="s">
        <v>434</v>
      </c>
      <c r="JH14" s="567" t="s">
        <v>307</v>
      </c>
      <c r="JI14" s="567" t="s">
        <v>435</v>
      </c>
      <c r="JJ14" s="567" t="s">
        <v>328</v>
      </c>
      <c r="JK14" s="567" t="s">
        <v>433</v>
      </c>
      <c r="JL14" s="80">
        <v>1750151642</v>
      </c>
      <c r="JM14" s="80">
        <v>0</v>
      </c>
      <c r="JN14" s="80">
        <v>0</v>
      </c>
      <c r="JO14" s="169">
        <f t="shared" si="49"/>
        <v>1750151.642</v>
      </c>
      <c r="JP14" s="169">
        <f t="shared" si="50"/>
        <v>0</v>
      </c>
      <c r="JQ14" s="169">
        <f t="shared" si="51"/>
        <v>0</v>
      </c>
    </row>
    <row r="15" spans="1:279" ht="15" customHeight="1" x14ac:dyDescent="0.25">
      <c r="A15" s="92" t="s">
        <v>434</v>
      </c>
      <c r="B15" s="92" t="s">
        <v>307</v>
      </c>
      <c r="C15" s="92" t="s">
        <v>459</v>
      </c>
      <c r="D15" s="92" t="s">
        <v>331</v>
      </c>
      <c r="E15" s="93">
        <v>0</v>
      </c>
      <c r="F15" s="93">
        <f t="shared" si="7"/>
        <v>0</v>
      </c>
      <c r="G15" s="93">
        <v>732921</v>
      </c>
      <c r="H15" s="93">
        <f t="shared" si="8"/>
        <v>779.09502299999997</v>
      </c>
      <c r="U15" s="90" t="s">
        <v>438</v>
      </c>
      <c r="V15" s="90" t="s">
        <v>335</v>
      </c>
      <c r="W15" s="90" t="s">
        <v>499</v>
      </c>
      <c r="X15" s="1420" t="s">
        <v>632</v>
      </c>
      <c r="Y15" s="91">
        <v>1000906000</v>
      </c>
      <c r="Z15" s="91">
        <f t="shared" si="9"/>
        <v>1063963.078</v>
      </c>
      <c r="AD15" s="90" t="s">
        <v>434</v>
      </c>
      <c r="AE15" s="90" t="s">
        <v>307</v>
      </c>
      <c r="AF15" s="90" t="s">
        <v>437</v>
      </c>
      <c r="AG15" s="90" t="s">
        <v>329</v>
      </c>
      <c r="AH15" s="91">
        <v>9692789</v>
      </c>
      <c r="AI15" s="91">
        <f t="shared" si="10"/>
        <v>10303.434707</v>
      </c>
      <c r="AJ15" s="91">
        <v>0</v>
      </c>
      <c r="AM15" s="169"/>
      <c r="AS15" s="79"/>
      <c r="AW15" s="90" t="s">
        <v>434</v>
      </c>
      <c r="AX15" s="90" t="s">
        <v>307</v>
      </c>
      <c r="AY15" s="90" t="s">
        <v>437</v>
      </c>
      <c r="AZ15" s="90" t="s">
        <v>329</v>
      </c>
      <c r="BA15" s="91">
        <v>122164211</v>
      </c>
      <c r="BB15" s="91">
        <v>0</v>
      </c>
      <c r="BC15" s="91">
        <v>0</v>
      </c>
      <c r="BD15" s="91">
        <f t="shared" si="1"/>
        <v>129860.55629299999</v>
      </c>
      <c r="BE15" s="91">
        <f t="shared" si="2"/>
        <v>0</v>
      </c>
      <c r="BF15" s="91">
        <f t="shared" si="3"/>
        <v>0</v>
      </c>
      <c r="BN15" s="75"/>
      <c r="BO15" s="75"/>
      <c r="BP15" s="75"/>
      <c r="BT15" s="87" t="s">
        <v>434</v>
      </c>
      <c r="BU15" s="87" t="s">
        <v>307</v>
      </c>
      <c r="BV15" s="87" t="s">
        <v>437</v>
      </c>
      <c r="BW15" s="87" t="s">
        <v>329</v>
      </c>
      <c r="BX15" s="304" t="s">
        <v>433</v>
      </c>
      <c r="BY15" s="88">
        <v>122164211</v>
      </c>
      <c r="BZ15" s="88">
        <v>0</v>
      </c>
      <c r="CA15" s="88">
        <v>0</v>
      </c>
      <c r="CB15" s="169">
        <f t="shared" si="12"/>
        <v>122164.211</v>
      </c>
      <c r="CC15" s="169">
        <f t="shared" si="13"/>
        <v>0</v>
      </c>
      <c r="CD15" s="169">
        <f t="shared" si="14"/>
        <v>0</v>
      </c>
      <c r="CH15" s="87" t="s">
        <v>465</v>
      </c>
      <c r="CI15" s="87" t="s">
        <v>466</v>
      </c>
      <c r="CJ15" s="87" t="s">
        <v>447</v>
      </c>
      <c r="CK15" s="87" t="s">
        <v>447</v>
      </c>
      <c r="CL15" s="304" t="s">
        <v>433</v>
      </c>
      <c r="CM15" s="88">
        <v>0</v>
      </c>
      <c r="CN15" s="88">
        <v>0</v>
      </c>
      <c r="CO15" s="88">
        <v>3416431</v>
      </c>
      <c r="CP15" s="309">
        <f t="shared" si="15"/>
        <v>0</v>
      </c>
      <c r="CQ15" s="309">
        <f t="shared" si="16"/>
        <v>0</v>
      </c>
      <c r="CR15" s="309">
        <f t="shared" si="17"/>
        <v>3416.431</v>
      </c>
      <c r="CV15" s="89" t="s">
        <v>508</v>
      </c>
      <c r="CW15" s="89" t="s">
        <v>523</v>
      </c>
      <c r="CX15" s="89" t="s">
        <v>447</v>
      </c>
      <c r="CY15" s="89" t="s">
        <v>447</v>
      </c>
      <c r="CZ15" s="89">
        <v>0</v>
      </c>
      <c r="DA15" s="89">
        <v>0</v>
      </c>
      <c r="DB15" s="89">
        <v>0</v>
      </c>
      <c r="DC15" s="590">
        <f t="shared" si="18"/>
        <v>0</v>
      </c>
      <c r="DD15" s="590">
        <f t="shared" si="19"/>
        <v>0</v>
      </c>
      <c r="DE15" s="590">
        <f t="shared" si="20"/>
        <v>0</v>
      </c>
      <c r="DI15" s="316" t="s">
        <v>434</v>
      </c>
      <c r="DJ15" s="316" t="s">
        <v>307</v>
      </c>
      <c r="DK15" s="316" t="s">
        <v>437</v>
      </c>
      <c r="DL15" s="316" t="s">
        <v>329</v>
      </c>
      <c r="DM15" s="80">
        <v>9692789</v>
      </c>
      <c r="DN15" s="80">
        <v>0</v>
      </c>
      <c r="DO15" s="80">
        <v>0</v>
      </c>
      <c r="DP15" s="593">
        <f t="shared" si="21"/>
        <v>9692.7890000000007</v>
      </c>
      <c r="DQ15" s="593">
        <f t="shared" si="22"/>
        <v>0</v>
      </c>
      <c r="DR15" s="593">
        <f t="shared" si="23"/>
        <v>0</v>
      </c>
      <c r="DV15" s="565" t="s">
        <v>438</v>
      </c>
      <c r="DW15" s="565" t="s">
        <v>335</v>
      </c>
      <c r="DX15" s="565" t="s">
        <v>447</v>
      </c>
      <c r="DY15" s="567" t="s">
        <v>447</v>
      </c>
      <c r="DZ15" s="594" t="s">
        <v>433</v>
      </c>
      <c r="EA15" s="566">
        <v>0</v>
      </c>
      <c r="EB15" s="566">
        <v>0</v>
      </c>
      <c r="EC15" s="566">
        <v>0</v>
      </c>
      <c r="ED15" s="566">
        <f t="shared" si="24"/>
        <v>0</v>
      </c>
      <c r="EE15" s="566">
        <f t="shared" si="25"/>
        <v>0</v>
      </c>
      <c r="EF15" s="566">
        <f t="shared" si="26"/>
        <v>0</v>
      </c>
      <c r="EG15" s="96"/>
      <c r="EI15" s="89" t="s">
        <v>434</v>
      </c>
      <c r="EJ15" s="89" t="s">
        <v>307</v>
      </c>
      <c r="EK15" s="89" t="s">
        <v>437</v>
      </c>
      <c r="EL15" s="89" t="s">
        <v>329</v>
      </c>
      <c r="EM15" s="89" t="s">
        <v>433</v>
      </c>
      <c r="EN15" s="89">
        <v>9692789</v>
      </c>
      <c r="EO15" s="89">
        <v>0</v>
      </c>
      <c r="EP15" s="89">
        <v>0</v>
      </c>
      <c r="EQ15" s="590">
        <f t="shared" si="27"/>
        <v>9692.7890000000007</v>
      </c>
      <c r="ER15" s="590">
        <f t="shared" si="28"/>
        <v>0</v>
      </c>
      <c r="ES15" s="590">
        <f t="shared" si="29"/>
        <v>0</v>
      </c>
      <c r="EW15" s="565" t="s">
        <v>438</v>
      </c>
      <c r="EX15" s="565" t="s">
        <v>335</v>
      </c>
      <c r="EY15" s="565" t="s">
        <v>462</v>
      </c>
      <c r="EZ15" s="664" t="s">
        <v>633</v>
      </c>
      <c r="FA15" s="594" t="s">
        <v>433</v>
      </c>
      <c r="FB15" s="566">
        <v>110000000</v>
      </c>
      <c r="FC15" s="566">
        <v>0</v>
      </c>
      <c r="FD15" s="566">
        <v>0</v>
      </c>
      <c r="FE15" s="566">
        <f t="shared" si="30"/>
        <v>110000</v>
      </c>
      <c r="FF15" s="566">
        <f t="shared" si="31"/>
        <v>0</v>
      </c>
      <c r="FG15" s="566">
        <f t="shared" si="32"/>
        <v>0</v>
      </c>
      <c r="FK15" s="89" t="s">
        <v>434</v>
      </c>
      <c r="FL15" s="89" t="s">
        <v>307</v>
      </c>
      <c r="FM15" s="89" t="s">
        <v>437</v>
      </c>
      <c r="FN15" s="89" t="s">
        <v>329</v>
      </c>
      <c r="FO15" s="366" t="s">
        <v>433</v>
      </c>
      <c r="FP15" s="80">
        <v>9692789</v>
      </c>
      <c r="FQ15" s="80">
        <v>0</v>
      </c>
      <c r="FR15" s="80">
        <v>0</v>
      </c>
      <c r="FS15" s="566">
        <f t="shared" si="33"/>
        <v>9692.7890000000007</v>
      </c>
      <c r="FT15" s="566">
        <f t="shared" si="34"/>
        <v>0</v>
      </c>
      <c r="FU15" s="566">
        <f t="shared" si="35"/>
        <v>0</v>
      </c>
      <c r="FY15" s="565" t="s">
        <v>672</v>
      </c>
      <c r="FZ15" s="567" t="s">
        <v>673</v>
      </c>
      <c r="GA15" s="567" t="s">
        <v>447</v>
      </c>
      <c r="GB15" s="567" t="s">
        <v>447</v>
      </c>
      <c r="GC15" s="594" t="s">
        <v>433</v>
      </c>
      <c r="GD15" s="566">
        <v>0</v>
      </c>
      <c r="GE15" s="706">
        <f t="shared" si="36"/>
        <v>0</v>
      </c>
      <c r="GI15" s="679" t="s">
        <v>434</v>
      </c>
      <c r="GJ15" s="679" t="s">
        <v>307</v>
      </c>
      <c r="GK15" s="362" t="s">
        <v>437</v>
      </c>
      <c r="GL15" s="679" t="s">
        <v>329</v>
      </c>
      <c r="GM15" s="679" t="s">
        <v>433</v>
      </c>
      <c r="GN15" s="715">
        <v>9692789</v>
      </c>
      <c r="GO15" s="715">
        <v>0</v>
      </c>
      <c r="GP15" s="715">
        <v>0</v>
      </c>
      <c r="GQ15" s="716">
        <f t="shared" si="37"/>
        <v>9692.7890000000007</v>
      </c>
      <c r="GR15" s="716">
        <f t="shared" si="38"/>
        <v>0</v>
      </c>
      <c r="GS15" s="716">
        <f t="shared" si="39"/>
        <v>0</v>
      </c>
      <c r="GX15" s="664" t="s">
        <v>508</v>
      </c>
      <c r="GY15" s="567" t="s">
        <v>523</v>
      </c>
      <c r="GZ15" s="567" t="s">
        <v>447</v>
      </c>
      <c r="HA15" s="567" t="s">
        <v>447</v>
      </c>
      <c r="HB15" s="567" t="s">
        <v>433</v>
      </c>
      <c r="HC15" s="771">
        <v>0</v>
      </c>
      <c r="HD15" s="772">
        <f t="shared" si="40"/>
        <v>0</v>
      </c>
      <c r="HE15" s="81"/>
      <c r="HF15" s="81"/>
      <c r="HH15" s="775" t="s">
        <v>434</v>
      </c>
      <c r="HI15" s="775" t="s">
        <v>307</v>
      </c>
      <c r="HJ15" s="775" t="s">
        <v>437</v>
      </c>
      <c r="HK15" s="776" t="s">
        <v>329</v>
      </c>
      <c r="HL15" s="776" t="s">
        <v>433</v>
      </c>
      <c r="HM15" s="367">
        <v>9692789</v>
      </c>
      <c r="HN15" s="367">
        <v>0</v>
      </c>
      <c r="HO15" s="367">
        <v>0</v>
      </c>
      <c r="HP15" s="774">
        <f t="shared" si="41"/>
        <v>9692.7890000000007</v>
      </c>
      <c r="HQ15" s="774">
        <f t="shared" si="42"/>
        <v>0</v>
      </c>
      <c r="HR15" s="774">
        <f t="shared" si="43"/>
        <v>0</v>
      </c>
      <c r="HW15" s="776" t="s">
        <v>434</v>
      </c>
      <c r="HX15" s="776" t="s">
        <v>307</v>
      </c>
      <c r="HY15" s="776" t="s">
        <v>459</v>
      </c>
      <c r="HZ15" s="776" t="s">
        <v>331</v>
      </c>
      <c r="IA15" s="776" t="s">
        <v>433</v>
      </c>
      <c r="IB15" s="813">
        <v>0</v>
      </c>
      <c r="IC15" s="813">
        <v>544806</v>
      </c>
      <c r="ID15" s="813">
        <v>0</v>
      </c>
      <c r="IE15" s="568">
        <f t="shared" si="44"/>
        <v>0</v>
      </c>
      <c r="II15" s="362" t="s">
        <v>434</v>
      </c>
      <c r="IJ15" s="362" t="s">
        <v>307</v>
      </c>
      <c r="IK15" s="362" t="s">
        <v>437</v>
      </c>
      <c r="IL15" s="362" t="s">
        <v>329</v>
      </c>
      <c r="IM15" s="679" t="s">
        <v>433</v>
      </c>
      <c r="IN15" s="248">
        <v>120311211</v>
      </c>
      <c r="IO15" s="248">
        <v>0</v>
      </c>
      <c r="IP15" s="248">
        <v>0</v>
      </c>
      <c r="IQ15" s="806">
        <f t="shared" si="45"/>
        <v>120311.211</v>
      </c>
      <c r="IR15" s="806">
        <f t="shared" si="46"/>
        <v>0</v>
      </c>
      <c r="IS15" s="806">
        <f t="shared" si="47"/>
        <v>0</v>
      </c>
      <c r="IW15" s="567" t="s">
        <v>438</v>
      </c>
      <c r="IX15" s="567" t="s">
        <v>335</v>
      </c>
      <c r="IY15" s="567" t="s">
        <v>462</v>
      </c>
      <c r="IZ15" s="567" t="s">
        <v>633</v>
      </c>
      <c r="JA15" s="594" t="s">
        <v>433</v>
      </c>
      <c r="JB15" s="566">
        <v>15000000</v>
      </c>
      <c r="JC15" s="806">
        <f t="shared" si="48"/>
        <v>15000</v>
      </c>
      <c r="JG15" s="567" t="s">
        <v>434</v>
      </c>
      <c r="JH15" s="567" t="s">
        <v>307</v>
      </c>
      <c r="JI15" s="567" t="s">
        <v>436</v>
      </c>
      <c r="JJ15" s="567" t="s">
        <v>339</v>
      </c>
      <c r="JK15" s="567" t="s">
        <v>433</v>
      </c>
      <c r="JL15" s="80">
        <v>170265358</v>
      </c>
      <c r="JM15" s="80">
        <v>0</v>
      </c>
      <c r="JN15" s="80">
        <v>0</v>
      </c>
      <c r="JO15" s="169">
        <f t="shared" si="49"/>
        <v>170265.35800000001</v>
      </c>
      <c r="JP15" s="169">
        <f t="shared" si="50"/>
        <v>0</v>
      </c>
      <c r="JQ15" s="169">
        <f t="shared" si="51"/>
        <v>0</v>
      </c>
    </row>
    <row r="16" spans="1:279" ht="15" customHeight="1" x14ac:dyDescent="0.25">
      <c r="A16" s="92" t="s">
        <v>434</v>
      </c>
      <c r="B16" s="92" t="s">
        <v>307</v>
      </c>
      <c r="C16" s="92" t="s">
        <v>437</v>
      </c>
      <c r="D16" s="92" t="s">
        <v>329</v>
      </c>
      <c r="E16" s="93">
        <v>0</v>
      </c>
      <c r="F16" s="93">
        <f t="shared" si="7"/>
        <v>0</v>
      </c>
      <c r="G16" s="93">
        <v>0</v>
      </c>
      <c r="H16" s="93">
        <f t="shared" si="8"/>
        <v>0</v>
      </c>
      <c r="U16" s="90" t="s">
        <v>438</v>
      </c>
      <c r="V16" s="90" t="s">
        <v>335</v>
      </c>
      <c r="W16" s="90" t="s">
        <v>629</v>
      </c>
      <c r="X16" s="1420" t="s">
        <v>630</v>
      </c>
      <c r="Y16" s="91">
        <v>793000000</v>
      </c>
      <c r="Z16" s="91">
        <f t="shared" si="9"/>
        <v>842959</v>
      </c>
      <c r="AD16" s="90" t="s">
        <v>434</v>
      </c>
      <c r="AE16" s="90" t="s">
        <v>307</v>
      </c>
      <c r="AF16" s="90" t="s">
        <v>436</v>
      </c>
      <c r="AG16" s="90" t="s">
        <v>339</v>
      </c>
      <c r="AH16" s="91">
        <v>0</v>
      </c>
      <c r="AI16" s="91">
        <f t="shared" si="10"/>
        <v>0</v>
      </c>
      <c r="AJ16" s="91">
        <v>10474662</v>
      </c>
      <c r="AM16" s="169"/>
      <c r="AW16" s="90" t="s">
        <v>434</v>
      </c>
      <c r="AX16" s="90" t="s">
        <v>307</v>
      </c>
      <c r="AY16" s="90" t="s">
        <v>437</v>
      </c>
      <c r="AZ16" s="90" t="s">
        <v>329</v>
      </c>
      <c r="BA16" s="91">
        <v>9692789</v>
      </c>
      <c r="BB16" s="91">
        <v>0</v>
      </c>
      <c r="BC16" s="91">
        <v>0</v>
      </c>
      <c r="BD16" s="91">
        <f t="shared" si="1"/>
        <v>10303.434707</v>
      </c>
      <c r="BE16" s="91">
        <f t="shared" si="2"/>
        <v>0</v>
      </c>
      <c r="BF16" s="91">
        <f t="shared" si="3"/>
        <v>0</v>
      </c>
      <c r="BN16" s="75"/>
      <c r="BO16" s="75"/>
      <c r="BP16" s="75"/>
      <c r="BT16" s="87" t="s">
        <v>434</v>
      </c>
      <c r="BU16" s="87" t="s">
        <v>307</v>
      </c>
      <c r="BV16" s="87" t="s">
        <v>437</v>
      </c>
      <c r="BW16" s="87" t="s">
        <v>329</v>
      </c>
      <c r="BX16" s="304" t="s">
        <v>433</v>
      </c>
      <c r="BY16" s="88">
        <v>9692789</v>
      </c>
      <c r="BZ16" s="88">
        <v>0</v>
      </c>
      <c r="CA16" s="88">
        <v>0</v>
      </c>
      <c r="CB16" s="169">
        <f t="shared" si="12"/>
        <v>9692.7890000000007</v>
      </c>
      <c r="CC16" s="169">
        <f t="shared" si="13"/>
        <v>0</v>
      </c>
      <c r="CD16" s="169">
        <f t="shared" si="14"/>
        <v>0</v>
      </c>
      <c r="CH16" s="87" t="s">
        <v>672</v>
      </c>
      <c r="CI16" s="87" t="s">
        <v>673</v>
      </c>
      <c r="CJ16" s="87" t="s">
        <v>447</v>
      </c>
      <c r="CK16" s="87" t="s">
        <v>447</v>
      </c>
      <c r="CL16" s="304" t="s">
        <v>433</v>
      </c>
      <c r="CM16" s="88">
        <v>0</v>
      </c>
      <c r="CN16" s="88">
        <v>0</v>
      </c>
      <c r="CO16" s="88">
        <v>3432000</v>
      </c>
      <c r="CP16" s="309">
        <f t="shared" si="15"/>
        <v>0</v>
      </c>
      <c r="CQ16" s="309">
        <f t="shared" si="16"/>
        <v>0</v>
      </c>
      <c r="CR16" s="309">
        <f t="shared" si="17"/>
        <v>3432</v>
      </c>
      <c r="CV16" s="89" t="s">
        <v>438</v>
      </c>
      <c r="CW16" s="89" t="s">
        <v>335</v>
      </c>
      <c r="CX16" s="89" t="s">
        <v>499</v>
      </c>
      <c r="CY16" s="89" t="s">
        <v>632</v>
      </c>
      <c r="CZ16" s="89">
        <v>773400000</v>
      </c>
      <c r="DA16" s="89">
        <v>0</v>
      </c>
      <c r="DB16" s="89">
        <v>0</v>
      </c>
      <c r="DC16" s="590">
        <f t="shared" si="18"/>
        <v>773400</v>
      </c>
      <c r="DD16" s="590">
        <f t="shared" si="19"/>
        <v>0</v>
      </c>
      <c r="DE16" s="590">
        <f t="shared" si="20"/>
        <v>0</v>
      </c>
      <c r="DI16" s="316" t="s">
        <v>434</v>
      </c>
      <c r="DJ16" s="316" t="s">
        <v>307</v>
      </c>
      <c r="DK16" s="316" t="s">
        <v>458</v>
      </c>
      <c r="DL16" s="316" t="s">
        <v>330</v>
      </c>
      <c r="DM16" s="80">
        <v>4000000</v>
      </c>
      <c r="DN16" s="80">
        <v>0</v>
      </c>
      <c r="DO16" s="80">
        <v>0</v>
      </c>
      <c r="DP16" s="593">
        <f t="shared" si="21"/>
        <v>4000</v>
      </c>
      <c r="DQ16" s="593">
        <f t="shared" si="22"/>
        <v>0</v>
      </c>
      <c r="DR16" s="593">
        <f t="shared" si="23"/>
        <v>0</v>
      </c>
      <c r="DV16" s="565" t="s">
        <v>438</v>
      </c>
      <c r="DW16" s="565" t="s">
        <v>335</v>
      </c>
      <c r="DX16" s="565" t="s">
        <v>629</v>
      </c>
      <c r="DY16" s="567" t="s">
        <v>630</v>
      </c>
      <c r="DZ16" s="594" t="s">
        <v>433</v>
      </c>
      <c r="EA16" s="566">
        <v>0</v>
      </c>
      <c r="EB16" s="566">
        <v>0</v>
      </c>
      <c r="EC16" s="566">
        <v>75150000</v>
      </c>
      <c r="ED16" s="566">
        <f t="shared" si="24"/>
        <v>0</v>
      </c>
      <c r="EE16" s="566">
        <f t="shared" si="25"/>
        <v>0</v>
      </c>
      <c r="EF16" s="566">
        <f t="shared" si="26"/>
        <v>75150</v>
      </c>
      <c r="EG16" s="96"/>
      <c r="EI16" s="89" t="s">
        <v>434</v>
      </c>
      <c r="EJ16" s="89" t="s">
        <v>307</v>
      </c>
      <c r="EK16" s="89" t="s">
        <v>458</v>
      </c>
      <c r="EL16" s="89" t="s">
        <v>330</v>
      </c>
      <c r="EM16" s="89" t="s">
        <v>433</v>
      </c>
      <c r="EN16" s="89">
        <v>4000000</v>
      </c>
      <c r="EO16" s="89">
        <v>0</v>
      </c>
      <c r="EP16" s="89">
        <v>0</v>
      </c>
      <c r="EQ16" s="590">
        <f t="shared" si="27"/>
        <v>4000</v>
      </c>
      <c r="ER16" s="590">
        <f t="shared" si="28"/>
        <v>0</v>
      </c>
      <c r="ES16" s="590">
        <f t="shared" si="29"/>
        <v>0</v>
      </c>
      <c r="EW16" s="565" t="s">
        <v>438</v>
      </c>
      <c r="EX16" s="565" t="s">
        <v>335</v>
      </c>
      <c r="EY16" s="565" t="s">
        <v>447</v>
      </c>
      <c r="EZ16" s="565" t="s">
        <v>447</v>
      </c>
      <c r="FA16" s="594" t="s">
        <v>433</v>
      </c>
      <c r="FB16" s="566">
        <v>0</v>
      </c>
      <c r="FC16" s="566">
        <v>0</v>
      </c>
      <c r="FD16" s="566">
        <v>0</v>
      </c>
      <c r="FE16" s="566">
        <f t="shared" si="30"/>
        <v>0</v>
      </c>
      <c r="FF16" s="566">
        <f t="shared" si="31"/>
        <v>0</v>
      </c>
      <c r="FG16" s="566">
        <f t="shared" si="32"/>
        <v>0</v>
      </c>
      <c r="FK16" s="89" t="s">
        <v>434</v>
      </c>
      <c r="FL16" s="89" t="s">
        <v>307</v>
      </c>
      <c r="FM16" s="89" t="s">
        <v>458</v>
      </c>
      <c r="FN16" s="89" t="s">
        <v>330</v>
      </c>
      <c r="FO16" s="366" t="s">
        <v>433</v>
      </c>
      <c r="FP16" s="80">
        <v>4000000</v>
      </c>
      <c r="FQ16" s="80">
        <v>0</v>
      </c>
      <c r="FR16" s="80">
        <v>0</v>
      </c>
      <c r="FS16" s="566">
        <f t="shared" si="33"/>
        <v>4000</v>
      </c>
      <c r="FT16" s="566">
        <f t="shared" si="34"/>
        <v>0</v>
      </c>
      <c r="FU16" s="566">
        <f t="shared" si="35"/>
        <v>0</v>
      </c>
      <c r="FY16" s="565" t="s">
        <v>674</v>
      </c>
      <c r="FZ16" s="567" t="s">
        <v>675</v>
      </c>
      <c r="GA16" s="567" t="s">
        <v>447</v>
      </c>
      <c r="GB16" s="567" t="s">
        <v>447</v>
      </c>
      <c r="GC16" s="594" t="s">
        <v>433</v>
      </c>
      <c r="GD16" s="566">
        <v>0</v>
      </c>
      <c r="GE16" s="706">
        <f t="shared" si="36"/>
        <v>0</v>
      </c>
      <c r="GI16" s="679" t="s">
        <v>434</v>
      </c>
      <c r="GJ16" s="679" t="s">
        <v>307</v>
      </c>
      <c r="GK16" s="362" t="s">
        <v>458</v>
      </c>
      <c r="GL16" s="679" t="s">
        <v>330</v>
      </c>
      <c r="GM16" s="679" t="s">
        <v>433</v>
      </c>
      <c r="GN16" s="715">
        <v>4000000</v>
      </c>
      <c r="GO16" s="715">
        <v>0</v>
      </c>
      <c r="GP16" s="715">
        <v>0</v>
      </c>
      <c r="GQ16" s="716">
        <f t="shared" si="37"/>
        <v>4000</v>
      </c>
      <c r="GR16" s="716">
        <f t="shared" si="38"/>
        <v>0</v>
      </c>
      <c r="GS16" s="716">
        <f t="shared" si="39"/>
        <v>0</v>
      </c>
      <c r="GX16" s="664" t="s">
        <v>460</v>
      </c>
      <c r="GY16" s="567" t="s">
        <v>461</v>
      </c>
      <c r="GZ16" s="567" t="s">
        <v>447</v>
      </c>
      <c r="HA16" s="567" t="s">
        <v>447</v>
      </c>
      <c r="HB16" s="567" t="s">
        <v>433</v>
      </c>
      <c r="HC16" s="771">
        <v>0</v>
      </c>
      <c r="HD16" s="772">
        <f t="shared" si="40"/>
        <v>0</v>
      </c>
      <c r="HE16" s="81"/>
      <c r="HF16" s="81"/>
      <c r="HH16" s="775" t="s">
        <v>434</v>
      </c>
      <c r="HI16" s="775" t="s">
        <v>307</v>
      </c>
      <c r="HJ16" s="775" t="s">
        <v>458</v>
      </c>
      <c r="HK16" s="776" t="s">
        <v>330</v>
      </c>
      <c r="HL16" s="776" t="s">
        <v>433</v>
      </c>
      <c r="HM16" s="367">
        <v>4000000</v>
      </c>
      <c r="HN16" s="367">
        <v>0</v>
      </c>
      <c r="HO16" s="367">
        <v>0</v>
      </c>
      <c r="HP16" s="774">
        <f t="shared" si="41"/>
        <v>4000</v>
      </c>
      <c r="HQ16" s="774">
        <f t="shared" si="42"/>
        <v>0</v>
      </c>
      <c r="HR16" s="774">
        <f t="shared" si="43"/>
        <v>0</v>
      </c>
      <c r="HW16" s="776" t="s">
        <v>434</v>
      </c>
      <c r="HX16" s="776" t="s">
        <v>307</v>
      </c>
      <c r="HY16" s="776" t="s">
        <v>435</v>
      </c>
      <c r="HZ16" s="776" t="s">
        <v>328</v>
      </c>
      <c r="IA16" s="776" t="s">
        <v>433</v>
      </c>
      <c r="IB16" s="813">
        <v>0</v>
      </c>
      <c r="IC16" s="813">
        <v>31019360</v>
      </c>
      <c r="ID16" s="813">
        <v>280280678</v>
      </c>
      <c r="IE16" s="568">
        <f t="shared" si="44"/>
        <v>280280.67800000001</v>
      </c>
      <c r="II16" s="362" t="s">
        <v>434</v>
      </c>
      <c r="IJ16" s="362" t="s">
        <v>307</v>
      </c>
      <c r="IK16" s="362" t="s">
        <v>459</v>
      </c>
      <c r="IL16" s="362" t="s">
        <v>331</v>
      </c>
      <c r="IM16" s="679" t="s">
        <v>433</v>
      </c>
      <c r="IN16" s="248">
        <v>57186000</v>
      </c>
      <c r="IO16" s="248">
        <v>0</v>
      </c>
      <c r="IP16" s="248">
        <v>0</v>
      </c>
      <c r="IQ16" s="806">
        <f t="shared" si="45"/>
        <v>57186</v>
      </c>
      <c r="IR16" s="806">
        <f t="shared" si="46"/>
        <v>0</v>
      </c>
      <c r="IS16" s="806">
        <f t="shared" si="47"/>
        <v>0</v>
      </c>
      <c r="IW16" s="567" t="s">
        <v>463</v>
      </c>
      <c r="IX16" s="567" t="s">
        <v>464</v>
      </c>
      <c r="IY16" s="567" t="s">
        <v>447</v>
      </c>
      <c r="IZ16" s="567" t="s">
        <v>447</v>
      </c>
      <c r="JA16" s="594" t="s">
        <v>433</v>
      </c>
      <c r="JB16" s="566">
        <v>239870686</v>
      </c>
      <c r="JC16" s="806">
        <f t="shared" si="48"/>
        <v>239870.68599999999</v>
      </c>
      <c r="JG16" s="567" t="s">
        <v>434</v>
      </c>
      <c r="JH16" s="567" t="s">
        <v>307</v>
      </c>
      <c r="JI16" s="567" t="s">
        <v>437</v>
      </c>
      <c r="JJ16" s="567" t="s">
        <v>329</v>
      </c>
      <c r="JK16" s="567" t="s">
        <v>433</v>
      </c>
      <c r="JL16" s="80">
        <v>120311211</v>
      </c>
      <c r="JM16" s="80">
        <v>0</v>
      </c>
      <c r="JN16" s="80">
        <v>0</v>
      </c>
      <c r="JO16" s="169">
        <f t="shared" si="49"/>
        <v>120311.211</v>
      </c>
      <c r="JP16" s="169">
        <f t="shared" si="50"/>
        <v>0</v>
      </c>
      <c r="JQ16" s="169">
        <f t="shared" si="51"/>
        <v>0</v>
      </c>
    </row>
    <row r="17" spans="1:277" ht="15" customHeight="1" x14ac:dyDescent="0.25">
      <c r="A17" s="92" t="s">
        <v>434</v>
      </c>
      <c r="B17" s="92" t="s">
        <v>307</v>
      </c>
      <c r="C17" s="92" t="s">
        <v>437</v>
      </c>
      <c r="D17" s="92" t="s">
        <v>329</v>
      </c>
      <c r="E17" s="93">
        <v>0</v>
      </c>
      <c r="F17" s="93">
        <f t="shared" si="7"/>
        <v>0</v>
      </c>
      <c r="G17" s="93">
        <v>9692789</v>
      </c>
      <c r="H17" s="93">
        <f t="shared" si="8"/>
        <v>10303.434707</v>
      </c>
      <c r="U17" s="90" t="s">
        <v>438</v>
      </c>
      <c r="V17" s="90" t="s">
        <v>335</v>
      </c>
      <c r="W17" s="90" t="s">
        <v>488</v>
      </c>
      <c r="X17" s="1420" t="s">
        <v>631</v>
      </c>
      <c r="Y17" s="91">
        <v>310000000</v>
      </c>
      <c r="Z17" s="91">
        <f t="shared" si="9"/>
        <v>329530</v>
      </c>
      <c r="AD17" s="90" t="s">
        <v>434</v>
      </c>
      <c r="AE17" s="90" t="s">
        <v>307</v>
      </c>
      <c r="AF17" s="90" t="s">
        <v>459</v>
      </c>
      <c r="AG17" s="90" t="s">
        <v>331</v>
      </c>
      <c r="AH17" s="91">
        <v>0</v>
      </c>
      <c r="AI17" s="91">
        <f t="shared" si="10"/>
        <v>0</v>
      </c>
      <c r="AJ17" s="91">
        <v>2982921</v>
      </c>
      <c r="AM17" s="169"/>
      <c r="AW17" s="90" t="s">
        <v>434</v>
      </c>
      <c r="AX17" s="90" t="s">
        <v>307</v>
      </c>
      <c r="AY17" s="90" t="s">
        <v>437</v>
      </c>
      <c r="AZ17" s="90" t="s">
        <v>329</v>
      </c>
      <c r="BA17" s="91">
        <v>0</v>
      </c>
      <c r="BB17" s="91">
        <v>107184329</v>
      </c>
      <c r="BC17" s="91">
        <v>29078367</v>
      </c>
      <c r="BD17" s="91">
        <f t="shared" si="1"/>
        <v>0</v>
      </c>
      <c r="BE17" s="91">
        <f t="shared" si="2"/>
        <v>113936.941727</v>
      </c>
      <c r="BF17" s="91">
        <f t="shared" si="3"/>
        <v>30910.304120999997</v>
      </c>
      <c r="BN17" s="75"/>
      <c r="BO17" s="75"/>
      <c r="BP17" s="75"/>
      <c r="BT17" s="87" t="s">
        <v>434</v>
      </c>
      <c r="BU17" s="87" t="s">
        <v>307</v>
      </c>
      <c r="BV17" s="87" t="s">
        <v>437</v>
      </c>
      <c r="BW17" s="87" t="s">
        <v>329</v>
      </c>
      <c r="BX17" s="304" t="s">
        <v>433</v>
      </c>
      <c r="BY17" s="88">
        <v>0</v>
      </c>
      <c r="BZ17" s="88">
        <v>67715191</v>
      </c>
      <c r="CA17" s="88">
        <v>37875321</v>
      </c>
      <c r="CB17" s="169">
        <f t="shared" si="12"/>
        <v>0</v>
      </c>
      <c r="CC17" s="169">
        <f t="shared" si="13"/>
        <v>67715.191000000006</v>
      </c>
      <c r="CD17" s="169">
        <f t="shared" si="14"/>
        <v>37875.321000000004</v>
      </c>
      <c r="CV17" s="89" t="s">
        <v>438</v>
      </c>
      <c r="CW17" s="89" t="s">
        <v>335</v>
      </c>
      <c r="CX17" s="89" t="s">
        <v>499</v>
      </c>
      <c r="CY17" s="89" t="s">
        <v>632</v>
      </c>
      <c r="CZ17" s="89">
        <v>0</v>
      </c>
      <c r="DA17" s="89">
        <v>48600000</v>
      </c>
      <c r="DB17" s="89">
        <v>0</v>
      </c>
      <c r="DC17" s="590">
        <f t="shared" si="18"/>
        <v>0</v>
      </c>
      <c r="DD17" s="590">
        <f t="shared" si="19"/>
        <v>48600</v>
      </c>
      <c r="DE17" s="590">
        <f t="shared" si="20"/>
        <v>0</v>
      </c>
      <c r="DI17" s="316" t="s">
        <v>434</v>
      </c>
      <c r="DJ17" s="316" t="s">
        <v>307</v>
      </c>
      <c r="DK17" s="316" t="s">
        <v>437</v>
      </c>
      <c r="DL17" s="316" t="s">
        <v>329</v>
      </c>
      <c r="DM17" s="80">
        <v>0</v>
      </c>
      <c r="DN17" s="80">
        <v>9692789</v>
      </c>
      <c r="DO17" s="80">
        <v>9692789</v>
      </c>
      <c r="DP17" s="593">
        <f t="shared" si="21"/>
        <v>0</v>
      </c>
      <c r="DQ17" s="593">
        <f t="shared" si="22"/>
        <v>9692.7890000000007</v>
      </c>
      <c r="DR17" s="593">
        <f t="shared" si="23"/>
        <v>9692.7890000000007</v>
      </c>
      <c r="DV17" s="565" t="s">
        <v>438</v>
      </c>
      <c r="DW17" s="565" t="s">
        <v>335</v>
      </c>
      <c r="DX17" s="565" t="s">
        <v>447</v>
      </c>
      <c r="DY17" s="567" t="s">
        <v>447</v>
      </c>
      <c r="DZ17" s="594" t="s">
        <v>433</v>
      </c>
      <c r="EA17" s="566">
        <v>0</v>
      </c>
      <c r="EB17" s="566">
        <v>0</v>
      </c>
      <c r="EC17" s="566">
        <v>0</v>
      </c>
      <c r="ED17" s="566">
        <f t="shared" si="24"/>
        <v>0</v>
      </c>
      <c r="EE17" s="566">
        <f t="shared" si="25"/>
        <v>0</v>
      </c>
      <c r="EF17" s="566">
        <f t="shared" si="26"/>
        <v>0</v>
      </c>
      <c r="EG17" s="96"/>
      <c r="EI17" s="89" t="s">
        <v>434</v>
      </c>
      <c r="EJ17" s="89" t="s">
        <v>307</v>
      </c>
      <c r="EK17" s="89" t="s">
        <v>447</v>
      </c>
      <c r="EL17" s="89" t="s">
        <v>447</v>
      </c>
      <c r="EM17" s="89" t="s">
        <v>433</v>
      </c>
      <c r="EN17" s="89">
        <v>0</v>
      </c>
      <c r="EO17" s="89">
        <v>0</v>
      </c>
      <c r="EP17" s="89">
        <v>0</v>
      </c>
      <c r="EQ17" s="590">
        <f t="shared" si="27"/>
        <v>0</v>
      </c>
      <c r="ER17" s="590">
        <f t="shared" si="28"/>
        <v>0</v>
      </c>
      <c r="ES17" s="590">
        <f t="shared" si="29"/>
        <v>0</v>
      </c>
      <c r="EW17" s="565" t="s">
        <v>438</v>
      </c>
      <c r="EX17" s="565" t="s">
        <v>335</v>
      </c>
      <c r="EY17" s="565" t="s">
        <v>447</v>
      </c>
      <c r="EZ17" s="565" t="s">
        <v>447</v>
      </c>
      <c r="FA17" s="594" t="s">
        <v>433</v>
      </c>
      <c r="FB17" s="566">
        <v>0</v>
      </c>
      <c r="FC17" s="566">
        <v>0</v>
      </c>
      <c r="FD17" s="566">
        <v>0</v>
      </c>
      <c r="FE17" s="566">
        <f t="shared" si="30"/>
        <v>0</v>
      </c>
      <c r="FF17" s="566">
        <f t="shared" si="31"/>
        <v>0</v>
      </c>
      <c r="FG17" s="566">
        <f t="shared" si="32"/>
        <v>0</v>
      </c>
      <c r="FK17" s="89" t="s">
        <v>434</v>
      </c>
      <c r="FL17" s="89" t="s">
        <v>307</v>
      </c>
      <c r="FM17" s="89" t="s">
        <v>459</v>
      </c>
      <c r="FN17" s="89" t="s">
        <v>331</v>
      </c>
      <c r="FO17" s="366" t="s">
        <v>433</v>
      </c>
      <c r="FP17" s="80">
        <v>0</v>
      </c>
      <c r="FQ17" s="80">
        <v>23232921</v>
      </c>
      <c r="FR17" s="80">
        <v>11982921</v>
      </c>
      <c r="FS17" s="566">
        <f t="shared" si="33"/>
        <v>0</v>
      </c>
      <c r="FT17" s="566">
        <f t="shared" si="34"/>
        <v>23232.920999999998</v>
      </c>
      <c r="FU17" s="566">
        <f t="shared" si="35"/>
        <v>11982.921</v>
      </c>
      <c r="GE17" s="291">
        <f>SUM(GE3:GE16)</f>
        <v>481043.73200000002</v>
      </c>
      <c r="GI17" s="679" t="s">
        <v>434</v>
      </c>
      <c r="GJ17" s="679" t="s">
        <v>307</v>
      </c>
      <c r="GK17" s="362" t="s">
        <v>447</v>
      </c>
      <c r="GL17" s="679" t="s">
        <v>447</v>
      </c>
      <c r="GM17" s="679" t="s">
        <v>433</v>
      </c>
      <c r="GN17" s="715">
        <v>0</v>
      </c>
      <c r="GO17" s="715">
        <v>0</v>
      </c>
      <c r="GP17" s="715">
        <v>0</v>
      </c>
      <c r="GQ17" s="716">
        <f t="shared" si="37"/>
        <v>0</v>
      </c>
      <c r="GR17" s="716">
        <f t="shared" si="38"/>
        <v>0</v>
      </c>
      <c r="GS17" s="716">
        <f t="shared" si="39"/>
        <v>0</v>
      </c>
      <c r="GX17" s="664" t="s">
        <v>438</v>
      </c>
      <c r="GY17" s="567" t="s">
        <v>335</v>
      </c>
      <c r="GZ17" s="567" t="s">
        <v>629</v>
      </c>
      <c r="HA17" s="567" t="s">
        <v>630</v>
      </c>
      <c r="HB17" s="567" t="s">
        <v>433</v>
      </c>
      <c r="HC17" s="771">
        <v>0</v>
      </c>
      <c r="HD17" s="772">
        <f t="shared" si="40"/>
        <v>0</v>
      </c>
      <c r="HE17" s="81"/>
      <c r="HF17" s="81"/>
      <c r="HH17" s="775" t="s">
        <v>434</v>
      </c>
      <c r="HI17" s="775" t="s">
        <v>307</v>
      </c>
      <c r="HJ17" s="775" t="s">
        <v>437</v>
      </c>
      <c r="HK17" s="776" t="s">
        <v>329</v>
      </c>
      <c r="HL17" s="776" t="s">
        <v>433</v>
      </c>
      <c r="HM17" s="367">
        <v>0</v>
      </c>
      <c r="HN17" s="367">
        <v>9692789</v>
      </c>
      <c r="HO17" s="367">
        <v>9692789</v>
      </c>
      <c r="HP17" s="774">
        <f t="shared" si="41"/>
        <v>0</v>
      </c>
      <c r="HQ17" s="774">
        <f t="shared" si="42"/>
        <v>9692.7890000000007</v>
      </c>
      <c r="HR17" s="774">
        <f t="shared" si="43"/>
        <v>9692.7890000000007</v>
      </c>
      <c r="HW17" s="776" t="s">
        <v>434</v>
      </c>
      <c r="HX17" s="776" t="s">
        <v>307</v>
      </c>
      <c r="HY17" s="776" t="s">
        <v>437</v>
      </c>
      <c r="HZ17" s="776" t="s">
        <v>329</v>
      </c>
      <c r="IA17" s="776" t="s">
        <v>433</v>
      </c>
      <c r="IB17" s="813">
        <v>0</v>
      </c>
      <c r="IC17" s="813">
        <v>0</v>
      </c>
      <c r="ID17" s="813">
        <v>9663844</v>
      </c>
      <c r="IE17" s="568">
        <f t="shared" si="44"/>
        <v>9663.8439999999991</v>
      </c>
      <c r="II17" s="362" t="s">
        <v>434</v>
      </c>
      <c r="IJ17" s="362" t="s">
        <v>307</v>
      </c>
      <c r="IK17" s="362" t="s">
        <v>437</v>
      </c>
      <c r="IL17" s="362" t="s">
        <v>329</v>
      </c>
      <c r="IM17" s="679" t="s">
        <v>433</v>
      </c>
      <c r="IN17" s="248">
        <v>9692789</v>
      </c>
      <c r="IO17" s="248">
        <v>0</v>
      </c>
      <c r="IP17" s="248">
        <v>0</v>
      </c>
      <c r="IQ17" s="806">
        <f t="shared" si="45"/>
        <v>9692.7890000000007</v>
      </c>
      <c r="IR17" s="806">
        <f t="shared" si="46"/>
        <v>0</v>
      </c>
      <c r="IS17" s="806">
        <f t="shared" si="47"/>
        <v>0</v>
      </c>
      <c r="IW17" s="567" t="s">
        <v>465</v>
      </c>
      <c r="IX17" s="567" t="s">
        <v>466</v>
      </c>
      <c r="IY17" s="567" t="s">
        <v>447</v>
      </c>
      <c r="IZ17" s="567" t="s">
        <v>447</v>
      </c>
      <c r="JA17" s="594" t="s">
        <v>433</v>
      </c>
      <c r="JB17" s="566">
        <v>9937316</v>
      </c>
      <c r="JC17" s="806">
        <f t="shared" si="48"/>
        <v>9937.3160000000007</v>
      </c>
      <c r="JG17" s="567" t="s">
        <v>434</v>
      </c>
      <c r="JH17" s="567" t="s">
        <v>307</v>
      </c>
      <c r="JI17" s="567" t="s">
        <v>459</v>
      </c>
      <c r="JJ17" s="567" t="s">
        <v>331</v>
      </c>
      <c r="JK17" s="567" t="s">
        <v>433</v>
      </c>
      <c r="JL17" s="80">
        <v>57186000</v>
      </c>
      <c r="JM17" s="80">
        <v>0</v>
      </c>
      <c r="JN17" s="80">
        <v>0</v>
      </c>
      <c r="JO17" s="169">
        <f t="shared" si="49"/>
        <v>57186</v>
      </c>
      <c r="JP17" s="169">
        <f t="shared" si="50"/>
        <v>0</v>
      </c>
      <c r="JQ17" s="169">
        <f t="shared" si="51"/>
        <v>0</v>
      </c>
    </row>
    <row r="18" spans="1:277" ht="15" customHeight="1" x14ac:dyDescent="0.25">
      <c r="A18" s="92" t="s">
        <v>508</v>
      </c>
      <c r="B18" s="92" t="s">
        <v>523</v>
      </c>
      <c r="C18" s="92" t="s">
        <v>447</v>
      </c>
      <c r="D18" s="92" t="s">
        <v>447</v>
      </c>
      <c r="E18" s="93">
        <v>90486000</v>
      </c>
      <c r="F18" s="93">
        <f t="shared" si="7"/>
        <v>96186.618000000002</v>
      </c>
      <c r="G18" s="93">
        <v>0</v>
      </c>
      <c r="H18" s="93">
        <f t="shared" si="8"/>
        <v>0</v>
      </c>
      <c r="U18" s="90" t="s">
        <v>438</v>
      </c>
      <c r="V18" s="90" t="s">
        <v>335</v>
      </c>
      <c r="W18" s="90" t="s">
        <v>462</v>
      </c>
      <c r="X18" s="1420" t="s">
        <v>633</v>
      </c>
      <c r="Y18" s="91">
        <v>160000000</v>
      </c>
      <c r="Z18" s="91">
        <f t="shared" si="9"/>
        <v>170080</v>
      </c>
      <c r="AD18" s="90" t="s">
        <v>434</v>
      </c>
      <c r="AE18" s="90" t="s">
        <v>307</v>
      </c>
      <c r="AF18" s="90" t="s">
        <v>437</v>
      </c>
      <c r="AG18" s="90" t="s">
        <v>329</v>
      </c>
      <c r="AH18" s="91">
        <v>0</v>
      </c>
      <c r="AI18" s="91">
        <f t="shared" si="10"/>
        <v>0</v>
      </c>
      <c r="AJ18" s="91">
        <v>19385578</v>
      </c>
      <c r="AM18" s="169"/>
      <c r="AW18" s="90" t="s">
        <v>434</v>
      </c>
      <c r="AX18" s="90" t="s">
        <v>307</v>
      </c>
      <c r="AY18" s="90" t="s">
        <v>437</v>
      </c>
      <c r="AZ18" s="90" t="s">
        <v>329</v>
      </c>
      <c r="BA18" s="91">
        <v>0</v>
      </c>
      <c r="BB18" s="91">
        <v>9692789</v>
      </c>
      <c r="BC18" s="91">
        <v>9692789</v>
      </c>
      <c r="BD18" s="91">
        <f t="shared" si="1"/>
        <v>0</v>
      </c>
      <c r="BE18" s="91">
        <f t="shared" si="2"/>
        <v>10303.434707</v>
      </c>
      <c r="BF18" s="91">
        <f t="shared" si="3"/>
        <v>10303.434707</v>
      </c>
      <c r="BN18" s="75"/>
      <c r="BO18" s="75"/>
      <c r="BP18" s="75"/>
      <c r="BT18" s="87" t="s">
        <v>434</v>
      </c>
      <c r="BU18" s="87" t="s">
        <v>307</v>
      </c>
      <c r="BV18" s="87" t="s">
        <v>437</v>
      </c>
      <c r="BW18" s="87" t="s">
        <v>329</v>
      </c>
      <c r="BX18" s="304" t="s">
        <v>433</v>
      </c>
      <c r="BY18" s="88">
        <v>0</v>
      </c>
      <c r="BZ18" s="88">
        <v>9692789</v>
      </c>
      <c r="CA18" s="88">
        <v>9692789</v>
      </c>
      <c r="CB18" s="169">
        <f t="shared" si="12"/>
        <v>0</v>
      </c>
      <c r="CC18" s="169">
        <f t="shared" si="13"/>
        <v>9692.7890000000007</v>
      </c>
      <c r="CD18" s="169">
        <f t="shared" si="14"/>
        <v>9692.7890000000007</v>
      </c>
      <c r="CV18" s="89" t="s">
        <v>438</v>
      </c>
      <c r="CW18" s="89" t="s">
        <v>335</v>
      </c>
      <c r="CX18" s="89" t="s">
        <v>439</v>
      </c>
      <c r="CY18" s="89" t="s">
        <v>492</v>
      </c>
      <c r="CZ18" s="89">
        <v>0</v>
      </c>
      <c r="DA18" s="89">
        <v>120000000</v>
      </c>
      <c r="DB18" s="89">
        <v>96000000</v>
      </c>
      <c r="DC18" s="590">
        <f t="shared" si="18"/>
        <v>0</v>
      </c>
      <c r="DD18" s="590">
        <f t="shared" si="19"/>
        <v>120000</v>
      </c>
      <c r="DE18" s="590">
        <f t="shared" si="20"/>
        <v>96000</v>
      </c>
      <c r="DI18" s="316" t="s">
        <v>434</v>
      </c>
      <c r="DJ18" s="316" t="s">
        <v>307</v>
      </c>
      <c r="DK18" s="316" t="s">
        <v>447</v>
      </c>
      <c r="DL18" s="316" t="s">
        <v>447</v>
      </c>
      <c r="DM18" s="80">
        <v>0</v>
      </c>
      <c r="DN18" s="80">
        <v>0</v>
      </c>
      <c r="DO18" s="80">
        <v>0</v>
      </c>
      <c r="DP18" s="593">
        <f t="shared" si="21"/>
        <v>0</v>
      </c>
      <c r="DQ18" s="593">
        <f t="shared" si="22"/>
        <v>0</v>
      </c>
      <c r="DR18" s="593">
        <f t="shared" si="23"/>
        <v>0</v>
      </c>
      <c r="DV18" s="565" t="s">
        <v>438</v>
      </c>
      <c r="DW18" s="565" t="s">
        <v>335</v>
      </c>
      <c r="DX18" s="565" t="s">
        <v>439</v>
      </c>
      <c r="DY18" s="567" t="s">
        <v>492</v>
      </c>
      <c r="DZ18" s="594" t="s">
        <v>433</v>
      </c>
      <c r="EA18" s="566">
        <v>0</v>
      </c>
      <c r="EB18" s="566">
        <v>0</v>
      </c>
      <c r="EC18" s="566">
        <v>24000000</v>
      </c>
      <c r="ED18" s="566">
        <f t="shared" si="24"/>
        <v>0</v>
      </c>
      <c r="EE18" s="566">
        <f t="shared" si="25"/>
        <v>0</v>
      </c>
      <c r="EF18" s="566">
        <f t="shared" si="26"/>
        <v>24000</v>
      </c>
      <c r="EG18" s="96"/>
      <c r="EI18" s="89" t="s">
        <v>434</v>
      </c>
      <c r="EJ18" s="89" t="s">
        <v>307</v>
      </c>
      <c r="EK18" s="89" t="s">
        <v>437</v>
      </c>
      <c r="EL18" s="89" t="s">
        <v>329</v>
      </c>
      <c r="EM18" s="89" t="s">
        <v>433</v>
      </c>
      <c r="EN18" s="89">
        <v>0</v>
      </c>
      <c r="EO18" s="89">
        <v>9692789</v>
      </c>
      <c r="EP18" s="89">
        <v>9692789</v>
      </c>
      <c r="EQ18" s="590">
        <f t="shared" si="27"/>
        <v>0</v>
      </c>
      <c r="ER18" s="590">
        <f t="shared" si="28"/>
        <v>9692.7890000000007</v>
      </c>
      <c r="ES18" s="590">
        <f t="shared" si="29"/>
        <v>9692.7890000000007</v>
      </c>
      <c r="EW18" s="565" t="s">
        <v>438</v>
      </c>
      <c r="EX18" s="565" t="s">
        <v>335</v>
      </c>
      <c r="EY18" s="565" t="s">
        <v>499</v>
      </c>
      <c r="EZ18" s="565" t="s">
        <v>632</v>
      </c>
      <c r="FA18" s="594" t="s">
        <v>433</v>
      </c>
      <c r="FB18" s="566">
        <v>0</v>
      </c>
      <c r="FC18" s="566">
        <v>110000000</v>
      </c>
      <c r="FD18" s="566">
        <v>16200000</v>
      </c>
      <c r="FE18" s="566">
        <f t="shared" si="30"/>
        <v>0</v>
      </c>
      <c r="FF18" s="566">
        <f t="shared" si="31"/>
        <v>110000</v>
      </c>
      <c r="FG18" s="566">
        <f t="shared" si="32"/>
        <v>16200</v>
      </c>
      <c r="FK18" s="89" t="s">
        <v>434</v>
      </c>
      <c r="FL18" s="89" t="s">
        <v>307</v>
      </c>
      <c r="FM18" s="89" t="s">
        <v>437</v>
      </c>
      <c r="FN18" s="89" t="s">
        <v>329</v>
      </c>
      <c r="FO18" s="366" t="s">
        <v>433</v>
      </c>
      <c r="FP18" s="80">
        <v>0</v>
      </c>
      <c r="FQ18" s="80">
        <v>104595605</v>
      </c>
      <c r="FR18" s="80">
        <v>64716543</v>
      </c>
      <c r="FS18" s="566">
        <f t="shared" si="33"/>
        <v>0</v>
      </c>
      <c r="FT18" s="566">
        <f t="shared" si="34"/>
        <v>104595.605</v>
      </c>
      <c r="FU18" s="566">
        <f t="shared" si="35"/>
        <v>64716.542999999998</v>
      </c>
      <c r="GI18" s="679" t="s">
        <v>434</v>
      </c>
      <c r="GJ18" s="679" t="s">
        <v>307</v>
      </c>
      <c r="GK18" s="362" t="s">
        <v>447</v>
      </c>
      <c r="GL18" s="679" t="s">
        <v>447</v>
      </c>
      <c r="GM18" s="679" t="s">
        <v>433</v>
      </c>
      <c r="GN18" s="715">
        <v>0</v>
      </c>
      <c r="GO18" s="715">
        <v>0</v>
      </c>
      <c r="GP18" s="715">
        <v>0</v>
      </c>
      <c r="GQ18" s="716">
        <f t="shared" si="37"/>
        <v>0</v>
      </c>
      <c r="GR18" s="716">
        <f t="shared" si="38"/>
        <v>0</v>
      </c>
      <c r="GS18" s="716">
        <f t="shared" si="39"/>
        <v>0</v>
      </c>
      <c r="GX18" s="664" t="s">
        <v>438</v>
      </c>
      <c r="GY18" s="567" t="s">
        <v>335</v>
      </c>
      <c r="GZ18" s="567" t="s">
        <v>488</v>
      </c>
      <c r="HA18" s="567" t="s">
        <v>631</v>
      </c>
      <c r="HB18" s="567" t="s">
        <v>433</v>
      </c>
      <c r="HC18" s="771">
        <v>63000000</v>
      </c>
      <c r="HD18" s="772">
        <f t="shared" si="40"/>
        <v>63000</v>
      </c>
      <c r="HE18" s="81"/>
      <c r="HF18" s="81"/>
      <c r="HH18" s="775" t="s">
        <v>434</v>
      </c>
      <c r="HI18" s="775" t="s">
        <v>307</v>
      </c>
      <c r="HJ18" s="775" t="s">
        <v>458</v>
      </c>
      <c r="HK18" s="776" t="s">
        <v>330</v>
      </c>
      <c r="HL18" s="776" t="s">
        <v>433</v>
      </c>
      <c r="HM18" s="367">
        <v>0</v>
      </c>
      <c r="HN18" s="367">
        <v>111361</v>
      </c>
      <c r="HO18" s="367">
        <v>111361</v>
      </c>
      <c r="HP18" s="774">
        <f t="shared" si="41"/>
        <v>0</v>
      </c>
      <c r="HQ18" s="774">
        <f t="shared" si="42"/>
        <v>111.361</v>
      </c>
      <c r="HR18" s="774">
        <f t="shared" si="43"/>
        <v>111.361</v>
      </c>
      <c r="HW18" s="776" t="s">
        <v>508</v>
      </c>
      <c r="HX18" s="776" t="s">
        <v>523</v>
      </c>
      <c r="HY18" s="776" t="s">
        <v>447</v>
      </c>
      <c r="HZ18" s="776" t="s">
        <v>447</v>
      </c>
      <c r="IA18" s="776" t="s">
        <v>433</v>
      </c>
      <c r="IB18" s="813">
        <v>0</v>
      </c>
      <c r="IC18" s="813">
        <v>8221160</v>
      </c>
      <c r="ID18" s="813">
        <v>19289900</v>
      </c>
      <c r="IE18" s="568">
        <f t="shared" si="44"/>
        <v>19289.900000000001</v>
      </c>
      <c r="II18" s="362" t="s">
        <v>434</v>
      </c>
      <c r="IJ18" s="362" t="s">
        <v>307</v>
      </c>
      <c r="IK18" s="362" t="s">
        <v>458</v>
      </c>
      <c r="IL18" s="362" t="s">
        <v>330</v>
      </c>
      <c r="IM18" s="679" t="s">
        <v>433</v>
      </c>
      <c r="IN18" s="248">
        <v>4000000</v>
      </c>
      <c r="IO18" s="248">
        <v>0</v>
      </c>
      <c r="IP18" s="248">
        <v>0</v>
      </c>
      <c r="IQ18" s="806">
        <f t="shared" si="45"/>
        <v>4000</v>
      </c>
      <c r="IR18" s="806">
        <f t="shared" si="46"/>
        <v>0</v>
      </c>
      <c r="IS18" s="806">
        <f t="shared" si="47"/>
        <v>0</v>
      </c>
      <c r="IW18" s="567" t="s">
        <v>534</v>
      </c>
      <c r="IX18" s="567" t="s">
        <v>537</v>
      </c>
      <c r="IY18" s="567" t="s">
        <v>447</v>
      </c>
      <c r="IZ18" s="567" t="s">
        <v>447</v>
      </c>
      <c r="JA18" s="594" t="s">
        <v>433</v>
      </c>
      <c r="JB18" s="566">
        <v>150089633</v>
      </c>
      <c r="JC18" s="806">
        <f t="shared" si="48"/>
        <v>150089.633</v>
      </c>
      <c r="JG18" s="567" t="s">
        <v>434</v>
      </c>
      <c r="JH18" s="567" t="s">
        <v>307</v>
      </c>
      <c r="JI18" s="567" t="s">
        <v>437</v>
      </c>
      <c r="JJ18" s="567" t="s">
        <v>329</v>
      </c>
      <c r="JK18" s="567" t="s">
        <v>433</v>
      </c>
      <c r="JL18" s="80">
        <v>9692789</v>
      </c>
      <c r="JM18" s="80">
        <v>0</v>
      </c>
      <c r="JN18" s="80">
        <v>0</v>
      </c>
      <c r="JO18" s="169">
        <f t="shared" si="49"/>
        <v>9692.7890000000007</v>
      </c>
      <c r="JP18" s="169">
        <f t="shared" si="50"/>
        <v>0</v>
      </c>
      <c r="JQ18" s="169">
        <f t="shared" si="51"/>
        <v>0</v>
      </c>
    </row>
    <row r="19" spans="1:277" ht="15" customHeight="1" x14ac:dyDescent="0.25">
      <c r="A19" s="92" t="s">
        <v>508</v>
      </c>
      <c r="B19" s="92" t="s">
        <v>523</v>
      </c>
      <c r="C19" s="92" t="s">
        <v>447</v>
      </c>
      <c r="D19" s="92" t="s">
        <v>447</v>
      </c>
      <c r="E19" s="93">
        <v>0</v>
      </c>
      <c r="F19" s="93">
        <f t="shared" si="7"/>
        <v>0</v>
      </c>
      <c r="G19" s="93">
        <v>0</v>
      </c>
      <c r="H19" s="93">
        <f t="shared" si="8"/>
        <v>0</v>
      </c>
      <c r="U19" s="90" t="s">
        <v>438</v>
      </c>
      <c r="V19" s="90" t="s">
        <v>335</v>
      </c>
      <c r="W19" s="90" t="s">
        <v>439</v>
      </c>
      <c r="X19" s="1420" t="s">
        <v>492</v>
      </c>
      <c r="Y19" s="91">
        <v>120000000</v>
      </c>
      <c r="Z19" s="91">
        <f t="shared" si="9"/>
        <v>127560</v>
      </c>
      <c r="AD19" s="90" t="s">
        <v>434</v>
      </c>
      <c r="AE19" s="90" t="s">
        <v>307</v>
      </c>
      <c r="AF19" s="90" t="s">
        <v>447</v>
      </c>
      <c r="AG19" s="90" t="s">
        <v>447</v>
      </c>
      <c r="AH19" s="91">
        <v>0</v>
      </c>
      <c r="AI19" s="91">
        <f t="shared" si="10"/>
        <v>0</v>
      </c>
      <c r="AJ19" s="91">
        <v>0</v>
      </c>
      <c r="AM19" s="169"/>
      <c r="AW19" s="90" t="s">
        <v>434</v>
      </c>
      <c r="AX19" s="90" t="s">
        <v>307</v>
      </c>
      <c r="AY19" s="90" t="s">
        <v>459</v>
      </c>
      <c r="AZ19" s="90" t="s">
        <v>331</v>
      </c>
      <c r="BA19" s="91">
        <v>57186000</v>
      </c>
      <c r="BB19" s="91">
        <v>0</v>
      </c>
      <c r="BC19" s="91">
        <v>0</v>
      </c>
      <c r="BD19" s="91">
        <f t="shared" si="1"/>
        <v>60788.717999999993</v>
      </c>
      <c r="BE19" s="91">
        <f t="shared" si="2"/>
        <v>0</v>
      </c>
      <c r="BF19" s="91">
        <f t="shared" si="3"/>
        <v>0</v>
      </c>
      <c r="BT19" s="87" t="s">
        <v>434</v>
      </c>
      <c r="BU19" s="87" t="s">
        <v>307</v>
      </c>
      <c r="BV19" s="87" t="s">
        <v>459</v>
      </c>
      <c r="BW19" s="87" t="s">
        <v>331</v>
      </c>
      <c r="BX19" s="304" t="s">
        <v>433</v>
      </c>
      <c r="BY19" s="88">
        <v>57186000</v>
      </c>
      <c r="BZ19" s="88">
        <v>0</v>
      </c>
      <c r="CA19" s="88">
        <v>0</v>
      </c>
      <c r="CB19" s="169">
        <f t="shared" si="12"/>
        <v>57186</v>
      </c>
      <c r="CC19" s="169">
        <f t="shared" si="13"/>
        <v>0</v>
      </c>
      <c r="CD19" s="169">
        <f t="shared" si="14"/>
        <v>0</v>
      </c>
      <c r="CV19" s="89" t="s">
        <v>438</v>
      </c>
      <c r="CW19" s="89" t="s">
        <v>335</v>
      </c>
      <c r="CX19" s="89" t="s">
        <v>447</v>
      </c>
      <c r="CY19" s="89" t="s">
        <v>447</v>
      </c>
      <c r="CZ19" s="89">
        <v>0</v>
      </c>
      <c r="DA19" s="89">
        <v>0</v>
      </c>
      <c r="DB19" s="89">
        <v>0</v>
      </c>
      <c r="DC19" s="590">
        <f t="shared" si="18"/>
        <v>0</v>
      </c>
      <c r="DD19" s="590">
        <f t="shared" si="19"/>
        <v>0</v>
      </c>
      <c r="DE19" s="590">
        <f t="shared" si="20"/>
        <v>0</v>
      </c>
      <c r="DI19" s="316" t="s">
        <v>434</v>
      </c>
      <c r="DJ19" s="316" t="s">
        <v>307</v>
      </c>
      <c r="DK19" s="316" t="s">
        <v>447</v>
      </c>
      <c r="DL19" s="316" t="s">
        <v>447</v>
      </c>
      <c r="DM19" s="80">
        <v>0</v>
      </c>
      <c r="DN19" s="80">
        <v>0</v>
      </c>
      <c r="DO19" s="80">
        <v>0</v>
      </c>
      <c r="DP19" s="593">
        <f t="shared" si="21"/>
        <v>0</v>
      </c>
      <c r="DQ19" s="593">
        <f t="shared" si="22"/>
        <v>0</v>
      </c>
      <c r="DR19" s="593">
        <f t="shared" si="23"/>
        <v>0</v>
      </c>
      <c r="DV19" s="565" t="s">
        <v>438</v>
      </c>
      <c r="DW19" s="565" t="s">
        <v>335</v>
      </c>
      <c r="DX19" s="565" t="s">
        <v>499</v>
      </c>
      <c r="DY19" s="567" t="s">
        <v>632</v>
      </c>
      <c r="DZ19" s="594" t="s">
        <v>433</v>
      </c>
      <c r="EA19" s="566">
        <v>0</v>
      </c>
      <c r="EB19" s="566">
        <v>0</v>
      </c>
      <c r="EC19" s="566">
        <v>32400000</v>
      </c>
      <c r="ED19" s="566">
        <f t="shared" si="24"/>
        <v>0</v>
      </c>
      <c r="EE19" s="566">
        <f t="shared" si="25"/>
        <v>0</v>
      </c>
      <c r="EF19" s="566">
        <f t="shared" si="26"/>
        <v>32400</v>
      </c>
      <c r="EG19" s="96"/>
      <c r="EI19" s="89" t="s">
        <v>434</v>
      </c>
      <c r="EJ19" s="89" t="s">
        <v>307</v>
      </c>
      <c r="EK19" s="89" t="s">
        <v>437</v>
      </c>
      <c r="EL19" s="89" t="s">
        <v>329</v>
      </c>
      <c r="EM19" s="89" t="s">
        <v>433</v>
      </c>
      <c r="EN19" s="89">
        <v>0</v>
      </c>
      <c r="EO19" s="89">
        <v>104595605</v>
      </c>
      <c r="EP19" s="89">
        <v>55261544</v>
      </c>
      <c r="EQ19" s="590">
        <f t="shared" si="27"/>
        <v>0</v>
      </c>
      <c r="ER19" s="590">
        <f t="shared" si="28"/>
        <v>104595.605</v>
      </c>
      <c r="ES19" s="590">
        <f t="shared" si="29"/>
        <v>55261.544000000002</v>
      </c>
      <c r="EW19" s="565" t="s">
        <v>438</v>
      </c>
      <c r="EX19" s="565" t="s">
        <v>335</v>
      </c>
      <c r="EY19" s="565" t="s">
        <v>629</v>
      </c>
      <c r="EZ19" s="565" t="s">
        <v>630</v>
      </c>
      <c r="FA19" s="594" t="s">
        <v>433</v>
      </c>
      <c r="FB19" s="566">
        <v>-650000000</v>
      </c>
      <c r="FC19" s="566">
        <v>0</v>
      </c>
      <c r="FD19" s="566">
        <v>0</v>
      </c>
      <c r="FE19" s="566">
        <f t="shared" si="30"/>
        <v>-650000</v>
      </c>
      <c r="FF19" s="566">
        <f t="shared" si="31"/>
        <v>0</v>
      </c>
      <c r="FG19" s="566">
        <f t="shared" si="32"/>
        <v>0</v>
      </c>
      <c r="FK19" s="89" t="s">
        <v>434</v>
      </c>
      <c r="FL19" s="89" t="s">
        <v>307</v>
      </c>
      <c r="FM19" s="89" t="s">
        <v>436</v>
      </c>
      <c r="FN19" s="89" t="s">
        <v>339</v>
      </c>
      <c r="FO19" s="366" t="s">
        <v>433</v>
      </c>
      <c r="FP19" s="80">
        <v>0</v>
      </c>
      <c r="FQ19" s="80">
        <v>128048145</v>
      </c>
      <c r="FR19" s="80">
        <v>82158918</v>
      </c>
      <c r="FS19" s="566">
        <f t="shared" si="33"/>
        <v>0</v>
      </c>
      <c r="FT19" s="566">
        <f t="shared" si="34"/>
        <v>128048.145</v>
      </c>
      <c r="FU19" s="566">
        <f t="shared" si="35"/>
        <v>82158.918000000005</v>
      </c>
      <c r="GI19" s="679" t="s">
        <v>434</v>
      </c>
      <c r="GJ19" s="679" t="s">
        <v>307</v>
      </c>
      <c r="GK19" s="362" t="s">
        <v>459</v>
      </c>
      <c r="GL19" s="679" t="s">
        <v>331</v>
      </c>
      <c r="GM19" s="679" t="s">
        <v>433</v>
      </c>
      <c r="GN19" s="715">
        <v>0</v>
      </c>
      <c r="GO19" s="715">
        <v>24070630</v>
      </c>
      <c r="GP19" s="715">
        <v>12081901</v>
      </c>
      <c r="GQ19" s="716">
        <f t="shared" si="37"/>
        <v>0</v>
      </c>
      <c r="GR19" s="716">
        <f t="shared" si="38"/>
        <v>24070.63</v>
      </c>
      <c r="GS19" s="716">
        <f t="shared" si="39"/>
        <v>12081.901</v>
      </c>
      <c r="GX19" s="664" t="s">
        <v>438</v>
      </c>
      <c r="GY19" s="567" t="s">
        <v>335</v>
      </c>
      <c r="GZ19" s="567" t="s">
        <v>499</v>
      </c>
      <c r="HA19" s="567" t="s">
        <v>632</v>
      </c>
      <c r="HB19" s="567" t="s">
        <v>433</v>
      </c>
      <c r="HC19" s="771">
        <v>0</v>
      </c>
      <c r="HD19" s="772">
        <f t="shared" si="40"/>
        <v>0</v>
      </c>
      <c r="HE19" s="81"/>
      <c r="HF19" s="81"/>
      <c r="HH19" s="775" t="s">
        <v>434</v>
      </c>
      <c r="HI19" s="775" t="s">
        <v>307</v>
      </c>
      <c r="HJ19" s="775" t="s">
        <v>435</v>
      </c>
      <c r="HK19" s="776" t="s">
        <v>328</v>
      </c>
      <c r="HL19" s="776" t="s">
        <v>433</v>
      </c>
      <c r="HM19" s="367">
        <v>0</v>
      </c>
      <c r="HN19" s="367">
        <v>1619069781</v>
      </c>
      <c r="HO19" s="367">
        <v>815735324</v>
      </c>
      <c r="HP19" s="774">
        <f t="shared" si="41"/>
        <v>0</v>
      </c>
      <c r="HQ19" s="774">
        <f t="shared" si="42"/>
        <v>1619069.781</v>
      </c>
      <c r="HR19" s="774">
        <f t="shared" si="43"/>
        <v>815735.32400000002</v>
      </c>
      <c r="HW19" s="776" t="s">
        <v>460</v>
      </c>
      <c r="HX19" s="776" t="s">
        <v>461</v>
      </c>
      <c r="HY19" s="776" t="s">
        <v>447</v>
      </c>
      <c r="HZ19" s="776" t="s">
        <v>447</v>
      </c>
      <c r="IA19" s="776" t="s">
        <v>433</v>
      </c>
      <c r="IB19" s="813">
        <v>0</v>
      </c>
      <c r="IC19" s="813">
        <v>20250000</v>
      </c>
      <c r="ID19" s="813">
        <v>0</v>
      </c>
      <c r="IE19" s="568">
        <f t="shared" si="44"/>
        <v>0</v>
      </c>
      <c r="II19" s="362" t="s">
        <v>434</v>
      </c>
      <c r="IJ19" s="362" t="s">
        <v>307</v>
      </c>
      <c r="IK19" s="362" t="s">
        <v>437</v>
      </c>
      <c r="IL19" s="362" t="s">
        <v>329</v>
      </c>
      <c r="IM19" s="679" t="s">
        <v>433</v>
      </c>
      <c r="IN19" s="248">
        <v>0</v>
      </c>
      <c r="IO19" s="248">
        <v>9692789</v>
      </c>
      <c r="IP19" s="248">
        <v>9692789</v>
      </c>
      <c r="IQ19" s="806">
        <f t="shared" si="45"/>
        <v>0</v>
      </c>
      <c r="IR19" s="806">
        <f t="shared" si="46"/>
        <v>9692.7890000000007</v>
      </c>
      <c r="IS19" s="806">
        <f t="shared" si="47"/>
        <v>9692.7890000000007</v>
      </c>
      <c r="IW19" s="567" t="s">
        <v>674</v>
      </c>
      <c r="IX19" s="567" t="s">
        <v>675</v>
      </c>
      <c r="IY19" s="567" t="s">
        <v>447</v>
      </c>
      <c r="IZ19" s="567" t="s">
        <v>447</v>
      </c>
      <c r="JA19" s="594" t="s">
        <v>433</v>
      </c>
      <c r="JB19" s="566">
        <v>22039500</v>
      </c>
      <c r="JC19" s="806">
        <f t="shared" si="48"/>
        <v>22039.5</v>
      </c>
      <c r="JG19" s="567" t="s">
        <v>434</v>
      </c>
      <c r="JH19" s="567" t="s">
        <v>307</v>
      </c>
      <c r="JI19" s="567" t="s">
        <v>458</v>
      </c>
      <c r="JJ19" s="567" t="s">
        <v>330</v>
      </c>
      <c r="JK19" s="567" t="s">
        <v>433</v>
      </c>
      <c r="JL19" s="80">
        <v>4000000</v>
      </c>
      <c r="JM19" s="80">
        <v>0</v>
      </c>
      <c r="JN19" s="80">
        <v>0</v>
      </c>
      <c r="JO19" s="169">
        <f t="shared" si="49"/>
        <v>4000</v>
      </c>
      <c r="JP19" s="169">
        <f t="shared" si="50"/>
        <v>0</v>
      </c>
      <c r="JQ19" s="169">
        <f t="shared" si="51"/>
        <v>0</v>
      </c>
    </row>
    <row r="20" spans="1:277" ht="15" customHeight="1" x14ac:dyDescent="0.25">
      <c r="A20" s="92" t="s">
        <v>460</v>
      </c>
      <c r="B20" s="92" t="s">
        <v>461</v>
      </c>
      <c r="C20" s="92" t="s">
        <v>447</v>
      </c>
      <c r="D20" s="92" t="s">
        <v>447</v>
      </c>
      <c r="E20" s="93">
        <v>181473000</v>
      </c>
      <c r="F20" s="93">
        <f t="shared" si="7"/>
        <v>192905.799</v>
      </c>
      <c r="G20" s="93">
        <v>0</v>
      </c>
      <c r="H20" s="93">
        <f t="shared" si="8"/>
        <v>0</v>
      </c>
      <c r="U20" s="90" t="s">
        <v>463</v>
      </c>
      <c r="V20" s="90" t="s">
        <v>464</v>
      </c>
      <c r="W20" s="90" t="s">
        <v>447</v>
      </c>
      <c r="X20" s="1420" t="s">
        <v>447</v>
      </c>
      <c r="Y20" s="91">
        <v>520000000</v>
      </c>
      <c r="Z20" s="91">
        <f t="shared" si="9"/>
        <v>552760</v>
      </c>
      <c r="AD20" s="90" t="s">
        <v>434</v>
      </c>
      <c r="AE20" s="90" t="s">
        <v>307</v>
      </c>
      <c r="AF20" s="90" t="s">
        <v>437</v>
      </c>
      <c r="AG20" s="90" t="s">
        <v>329</v>
      </c>
      <c r="AH20" s="91">
        <v>0</v>
      </c>
      <c r="AI20" s="91">
        <f t="shared" si="10"/>
        <v>0</v>
      </c>
      <c r="AJ20" s="91">
        <v>9692789</v>
      </c>
      <c r="AM20" s="169"/>
      <c r="AW20" s="90" t="s">
        <v>434</v>
      </c>
      <c r="AX20" s="90" t="s">
        <v>307</v>
      </c>
      <c r="AY20" s="90" t="s">
        <v>459</v>
      </c>
      <c r="AZ20" s="90" t="s">
        <v>331</v>
      </c>
      <c r="BA20" s="91">
        <v>0</v>
      </c>
      <c r="BB20" s="91">
        <v>11982921</v>
      </c>
      <c r="BC20" s="91">
        <v>5232921</v>
      </c>
      <c r="BD20" s="91">
        <f t="shared" si="1"/>
        <v>0</v>
      </c>
      <c r="BE20" s="91">
        <f t="shared" si="2"/>
        <v>12737.845023</v>
      </c>
      <c r="BF20" s="91">
        <f t="shared" si="3"/>
        <v>5562.5950229999999</v>
      </c>
      <c r="BT20" s="87" t="s">
        <v>434</v>
      </c>
      <c r="BU20" s="87" t="s">
        <v>307</v>
      </c>
      <c r="BV20" s="87" t="s">
        <v>459</v>
      </c>
      <c r="BW20" s="87" t="s">
        <v>331</v>
      </c>
      <c r="BX20" s="304" t="s">
        <v>433</v>
      </c>
      <c r="BY20" s="88">
        <v>0</v>
      </c>
      <c r="BZ20" s="88">
        <v>11982921</v>
      </c>
      <c r="CA20" s="88">
        <v>9732921</v>
      </c>
      <c r="CB20" s="169">
        <f t="shared" si="12"/>
        <v>0</v>
      </c>
      <c r="CC20" s="169">
        <f t="shared" si="13"/>
        <v>11982.921</v>
      </c>
      <c r="CD20" s="169">
        <f t="shared" si="14"/>
        <v>9732.9210000000003</v>
      </c>
      <c r="CV20" s="89" t="s">
        <v>544</v>
      </c>
      <c r="CW20" s="89" t="s">
        <v>545</v>
      </c>
      <c r="CX20" s="89" t="s">
        <v>447</v>
      </c>
      <c r="CY20" s="89" t="s">
        <v>447</v>
      </c>
      <c r="CZ20" s="89">
        <v>10</v>
      </c>
      <c r="DA20" s="89">
        <v>0</v>
      </c>
      <c r="DB20" s="89">
        <v>0</v>
      </c>
      <c r="DC20" s="590">
        <f t="shared" si="18"/>
        <v>0.01</v>
      </c>
      <c r="DD20" s="590">
        <f t="shared" si="19"/>
        <v>0</v>
      </c>
      <c r="DE20" s="590">
        <f t="shared" si="20"/>
        <v>0</v>
      </c>
      <c r="DI20" s="316" t="s">
        <v>434</v>
      </c>
      <c r="DJ20" s="316" t="s">
        <v>307</v>
      </c>
      <c r="DK20" s="316" t="s">
        <v>436</v>
      </c>
      <c r="DL20" s="316" t="s">
        <v>339</v>
      </c>
      <c r="DM20" s="80">
        <v>0</v>
      </c>
      <c r="DN20" s="80">
        <v>86577420</v>
      </c>
      <c r="DO20" s="80">
        <v>44761550</v>
      </c>
      <c r="DP20" s="593">
        <f t="shared" si="21"/>
        <v>0</v>
      </c>
      <c r="DQ20" s="593">
        <f t="shared" si="22"/>
        <v>86577.42</v>
      </c>
      <c r="DR20" s="593">
        <f t="shared" si="23"/>
        <v>44761.55</v>
      </c>
      <c r="DV20" s="565" t="s">
        <v>438</v>
      </c>
      <c r="DW20" s="565" t="s">
        <v>335</v>
      </c>
      <c r="DX20" s="565" t="s">
        <v>462</v>
      </c>
      <c r="DY20" s="567" t="s">
        <v>633</v>
      </c>
      <c r="DZ20" s="594" t="s">
        <v>433</v>
      </c>
      <c r="EA20" s="566">
        <v>0</v>
      </c>
      <c r="EB20" s="566">
        <v>15000000</v>
      </c>
      <c r="EC20" s="566">
        <v>15000000</v>
      </c>
      <c r="ED20" s="566">
        <f t="shared" si="24"/>
        <v>0</v>
      </c>
      <c r="EE20" s="566">
        <f t="shared" si="25"/>
        <v>15000</v>
      </c>
      <c r="EF20" s="566">
        <f t="shared" si="26"/>
        <v>15000</v>
      </c>
      <c r="EG20" s="96"/>
      <c r="EI20" s="89" t="s">
        <v>434</v>
      </c>
      <c r="EJ20" s="89" t="s">
        <v>307</v>
      </c>
      <c r="EK20" s="89" t="s">
        <v>459</v>
      </c>
      <c r="EL20" s="89" t="s">
        <v>331</v>
      </c>
      <c r="EM20" s="89" t="s">
        <v>433</v>
      </c>
      <c r="EN20" s="89">
        <v>0</v>
      </c>
      <c r="EO20" s="89">
        <v>11982921</v>
      </c>
      <c r="EP20" s="89">
        <v>9732921</v>
      </c>
      <c r="EQ20" s="590">
        <f t="shared" si="27"/>
        <v>0</v>
      </c>
      <c r="ER20" s="590">
        <f t="shared" si="28"/>
        <v>11982.921</v>
      </c>
      <c r="ES20" s="590">
        <f t="shared" si="29"/>
        <v>9732.9210000000003</v>
      </c>
      <c r="EW20" s="565" t="s">
        <v>463</v>
      </c>
      <c r="EX20" s="565" t="s">
        <v>464</v>
      </c>
      <c r="EY20" s="565" t="s">
        <v>447</v>
      </c>
      <c r="EZ20" s="565" t="s">
        <v>447</v>
      </c>
      <c r="FA20" s="594" t="s">
        <v>433</v>
      </c>
      <c r="FB20" s="566">
        <v>0</v>
      </c>
      <c r="FC20" s="566">
        <v>139961816</v>
      </c>
      <c r="FD20" s="566">
        <v>34000000</v>
      </c>
      <c r="FE20" s="566">
        <f t="shared" si="30"/>
        <v>0</v>
      </c>
      <c r="FF20" s="566">
        <f t="shared" si="31"/>
        <v>139961.81599999999</v>
      </c>
      <c r="FG20" s="566">
        <f t="shared" si="32"/>
        <v>34000</v>
      </c>
      <c r="FK20" s="89" t="s">
        <v>434</v>
      </c>
      <c r="FL20" s="89" t="s">
        <v>307</v>
      </c>
      <c r="FM20" s="89" t="s">
        <v>458</v>
      </c>
      <c r="FN20" s="89" t="s">
        <v>330</v>
      </c>
      <c r="FO20" s="366" t="s">
        <v>433</v>
      </c>
      <c r="FP20" s="80">
        <v>0</v>
      </c>
      <c r="FQ20" s="80">
        <v>111361</v>
      </c>
      <c r="FR20" s="80">
        <v>111361</v>
      </c>
      <c r="FS20" s="566">
        <f t="shared" si="33"/>
        <v>0</v>
      </c>
      <c r="FT20" s="566">
        <f t="shared" si="34"/>
        <v>111.361</v>
      </c>
      <c r="FU20" s="566">
        <f t="shared" si="35"/>
        <v>111.361</v>
      </c>
      <c r="GE20" s="49">
        <f>+GE17-'Prog 02'!AE9</f>
        <v>0</v>
      </c>
      <c r="GI20" s="679" t="s">
        <v>434</v>
      </c>
      <c r="GJ20" s="679" t="s">
        <v>307</v>
      </c>
      <c r="GK20" s="362" t="s">
        <v>437</v>
      </c>
      <c r="GL20" s="679" t="s">
        <v>329</v>
      </c>
      <c r="GM20" s="679" t="s">
        <v>433</v>
      </c>
      <c r="GN20" s="715">
        <v>0</v>
      </c>
      <c r="GO20" s="715">
        <v>104595605</v>
      </c>
      <c r="GP20" s="715">
        <v>75833926</v>
      </c>
      <c r="GQ20" s="716">
        <f t="shared" si="37"/>
        <v>0</v>
      </c>
      <c r="GR20" s="716">
        <f t="shared" si="38"/>
        <v>104595.605</v>
      </c>
      <c r="GS20" s="716">
        <f t="shared" si="39"/>
        <v>75833.926000000007</v>
      </c>
      <c r="GX20" s="664" t="s">
        <v>438</v>
      </c>
      <c r="GY20" s="567" t="s">
        <v>335</v>
      </c>
      <c r="GZ20" s="567" t="s">
        <v>447</v>
      </c>
      <c r="HA20" s="567" t="s">
        <v>447</v>
      </c>
      <c r="HB20" s="567" t="s">
        <v>433</v>
      </c>
      <c r="HC20" s="771">
        <v>0</v>
      </c>
      <c r="HD20" s="772">
        <f t="shared" si="40"/>
        <v>0</v>
      </c>
      <c r="HE20" s="81"/>
      <c r="HF20" s="81"/>
      <c r="HH20" s="775" t="s">
        <v>434</v>
      </c>
      <c r="HI20" s="775" t="s">
        <v>307</v>
      </c>
      <c r="HJ20" s="775" t="s">
        <v>447</v>
      </c>
      <c r="HK20" s="776" t="s">
        <v>447</v>
      </c>
      <c r="HL20" s="776" t="s">
        <v>433</v>
      </c>
      <c r="HM20" s="367">
        <v>0</v>
      </c>
      <c r="HN20" s="367">
        <v>0</v>
      </c>
      <c r="HO20" s="367">
        <v>0</v>
      </c>
      <c r="HP20" s="774">
        <f t="shared" si="41"/>
        <v>0</v>
      </c>
      <c r="HQ20" s="774">
        <f t="shared" si="42"/>
        <v>0</v>
      </c>
      <c r="HR20" s="774">
        <f t="shared" si="43"/>
        <v>0</v>
      </c>
      <c r="HW20" s="776" t="s">
        <v>438</v>
      </c>
      <c r="HX20" s="776" t="s">
        <v>335</v>
      </c>
      <c r="HY20" s="776" t="s">
        <v>629</v>
      </c>
      <c r="HZ20" s="776" t="s">
        <v>630</v>
      </c>
      <c r="IA20" s="776" t="s">
        <v>433</v>
      </c>
      <c r="IB20" s="813">
        <v>0</v>
      </c>
      <c r="IC20" s="813">
        <v>10000000</v>
      </c>
      <c r="ID20" s="813">
        <v>38600000</v>
      </c>
      <c r="IE20" s="568">
        <f t="shared" si="44"/>
        <v>38600</v>
      </c>
      <c r="II20" s="362" t="s">
        <v>434</v>
      </c>
      <c r="IJ20" s="362" t="s">
        <v>307</v>
      </c>
      <c r="IK20" s="362" t="s">
        <v>458</v>
      </c>
      <c r="IL20" s="362" t="s">
        <v>330</v>
      </c>
      <c r="IM20" s="679" t="s">
        <v>433</v>
      </c>
      <c r="IN20" s="248">
        <v>0</v>
      </c>
      <c r="IO20" s="248">
        <v>111361</v>
      </c>
      <c r="IP20" s="248">
        <v>111361</v>
      </c>
      <c r="IQ20" s="806">
        <f t="shared" si="45"/>
        <v>0</v>
      </c>
      <c r="IR20" s="806">
        <f t="shared" si="46"/>
        <v>111.361</v>
      </c>
      <c r="IS20" s="806">
        <f t="shared" si="47"/>
        <v>111.361</v>
      </c>
      <c r="JC20" s="839">
        <f>SUM(JC3:JC19)</f>
        <v>2747806.2589999996</v>
      </c>
      <c r="JG20" s="567" t="s">
        <v>434</v>
      </c>
      <c r="JH20" s="567" t="s">
        <v>307</v>
      </c>
      <c r="JI20" s="567" t="s">
        <v>436</v>
      </c>
      <c r="JJ20" s="567" t="s">
        <v>339</v>
      </c>
      <c r="JK20" s="567" t="s">
        <v>433</v>
      </c>
      <c r="JL20" s="80">
        <v>0</v>
      </c>
      <c r="JM20" s="80">
        <v>120817376</v>
      </c>
      <c r="JN20" s="80">
        <v>120817376</v>
      </c>
      <c r="JO20" s="169">
        <f t="shared" si="49"/>
        <v>0</v>
      </c>
      <c r="JP20" s="169">
        <f t="shared" si="50"/>
        <v>120817.376</v>
      </c>
      <c r="JQ20" s="169">
        <f t="shared" si="51"/>
        <v>120817.376</v>
      </c>
    </row>
    <row r="21" spans="1:277" ht="15" customHeight="1" x14ac:dyDescent="0.25">
      <c r="A21" s="92" t="s">
        <v>438</v>
      </c>
      <c r="B21" s="92" t="s">
        <v>335</v>
      </c>
      <c r="C21" s="92" t="s">
        <v>629</v>
      </c>
      <c r="D21" s="92" t="s">
        <v>630</v>
      </c>
      <c r="E21" s="93">
        <v>1093000000</v>
      </c>
      <c r="F21" s="93">
        <f t="shared" si="7"/>
        <v>1161859</v>
      </c>
      <c r="G21" s="93">
        <v>0</v>
      </c>
      <c r="H21" s="93">
        <f t="shared" si="8"/>
        <v>0</v>
      </c>
      <c r="U21" s="90" t="s">
        <v>465</v>
      </c>
      <c r="V21" s="90" t="s">
        <v>466</v>
      </c>
      <c r="W21" s="90" t="s">
        <v>447</v>
      </c>
      <c r="X21" s="1420" t="s">
        <v>447</v>
      </c>
      <c r="Y21" s="91">
        <v>280000000</v>
      </c>
      <c r="Z21" s="91">
        <f t="shared" si="9"/>
        <v>297640</v>
      </c>
      <c r="AD21" s="90" t="s">
        <v>434</v>
      </c>
      <c r="AE21" s="90" t="s">
        <v>307</v>
      </c>
      <c r="AF21" s="90" t="s">
        <v>447</v>
      </c>
      <c r="AG21" s="90" t="s">
        <v>447</v>
      </c>
      <c r="AH21" s="91">
        <v>0</v>
      </c>
      <c r="AI21" s="91">
        <f t="shared" si="10"/>
        <v>0</v>
      </c>
      <c r="AJ21" s="91">
        <v>0</v>
      </c>
      <c r="AM21" s="169"/>
      <c r="AW21" s="90" t="s">
        <v>434</v>
      </c>
      <c r="AX21" s="90" t="s">
        <v>307</v>
      </c>
      <c r="AY21" s="90" t="s">
        <v>447</v>
      </c>
      <c r="AZ21" s="90" t="s">
        <v>447</v>
      </c>
      <c r="BA21" s="91">
        <v>0</v>
      </c>
      <c r="BB21" s="91">
        <v>0</v>
      </c>
      <c r="BC21" s="91">
        <v>0</v>
      </c>
      <c r="BD21" s="91">
        <f t="shared" si="1"/>
        <v>0</v>
      </c>
      <c r="BE21" s="91">
        <f t="shared" si="2"/>
        <v>0</v>
      </c>
      <c r="BF21" s="91">
        <f t="shared" si="3"/>
        <v>0</v>
      </c>
      <c r="BT21" s="87" t="s">
        <v>434</v>
      </c>
      <c r="BU21" s="87" t="s">
        <v>307</v>
      </c>
      <c r="BV21" s="87" t="s">
        <v>447</v>
      </c>
      <c r="BW21" s="87" t="s">
        <v>447</v>
      </c>
      <c r="BX21" s="304" t="s">
        <v>433</v>
      </c>
      <c r="BY21" s="88">
        <v>0</v>
      </c>
      <c r="BZ21" s="88">
        <v>0</v>
      </c>
      <c r="CA21" s="88">
        <v>0</v>
      </c>
      <c r="CB21" s="169">
        <f t="shared" si="12"/>
        <v>0</v>
      </c>
      <c r="CC21" s="169">
        <f t="shared" si="13"/>
        <v>0</v>
      </c>
      <c r="CD21" s="169">
        <f t="shared" si="14"/>
        <v>0</v>
      </c>
      <c r="CV21" s="89" t="s">
        <v>465</v>
      </c>
      <c r="CW21" s="89" t="s">
        <v>466</v>
      </c>
      <c r="CX21" s="89" t="s">
        <v>447</v>
      </c>
      <c r="CY21" s="89" t="s">
        <v>447</v>
      </c>
      <c r="CZ21" s="89">
        <v>0</v>
      </c>
      <c r="DA21" s="89">
        <v>3416431</v>
      </c>
      <c r="DB21" s="89">
        <v>14911368</v>
      </c>
      <c r="DC21" s="590">
        <f t="shared" si="18"/>
        <v>0</v>
      </c>
      <c r="DD21" s="590">
        <f t="shared" si="19"/>
        <v>3416.431</v>
      </c>
      <c r="DE21" s="590">
        <f t="shared" si="20"/>
        <v>14911.368</v>
      </c>
      <c r="DI21" s="316" t="s">
        <v>434</v>
      </c>
      <c r="DJ21" s="316" t="s">
        <v>307</v>
      </c>
      <c r="DK21" s="316" t="s">
        <v>435</v>
      </c>
      <c r="DL21" s="316" t="s">
        <v>328</v>
      </c>
      <c r="DM21" s="80">
        <v>0</v>
      </c>
      <c r="DN21" s="80">
        <v>779184473</v>
      </c>
      <c r="DO21" s="80">
        <v>266668089</v>
      </c>
      <c r="DP21" s="593">
        <f t="shared" si="21"/>
        <v>0</v>
      </c>
      <c r="DQ21" s="593">
        <f t="shared" si="22"/>
        <v>779184.473</v>
      </c>
      <c r="DR21" s="593">
        <f t="shared" si="23"/>
        <v>266668.08899999998</v>
      </c>
      <c r="DV21" s="565" t="s">
        <v>438</v>
      </c>
      <c r="DW21" s="565" t="s">
        <v>335</v>
      </c>
      <c r="DX21" s="565" t="s">
        <v>499</v>
      </c>
      <c r="DY21" s="567" t="s">
        <v>632</v>
      </c>
      <c r="DZ21" s="594" t="s">
        <v>433</v>
      </c>
      <c r="EA21" s="566">
        <v>-157708000</v>
      </c>
      <c r="EB21" s="566">
        <v>0</v>
      </c>
      <c r="EC21" s="566">
        <v>0</v>
      </c>
      <c r="ED21" s="566">
        <f t="shared" si="24"/>
        <v>-157708</v>
      </c>
      <c r="EE21" s="566">
        <f t="shared" si="25"/>
        <v>0</v>
      </c>
      <c r="EF21" s="566">
        <f t="shared" si="26"/>
        <v>0</v>
      </c>
      <c r="EG21" s="96"/>
      <c r="EI21" s="89" t="s">
        <v>434</v>
      </c>
      <c r="EJ21" s="89" t="s">
        <v>307</v>
      </c>
      <c r="EK21" s="89" t="s">
        <v>435</v>
      </c>
      <c r="EL21" s="89" t="s">
        <v>328</v>
      </c>
      <c r="EM21" s="89" t="s">
        <v>433</v>
      </c>
      <c r="EN21" s="89">
        <v>0</v>
      </c>
      <c r="EO21" s="89">
        <v>1066766859</v>
      </c>
      <c r="EP21" s="89">
        <v>293208716</v>
      </c>
      <c r="EQ21" s="590">
        <f t="shared" si="27"/>
        <v>0</v>
      </c>
      <c r="ER21" s="590">
        <f t="shared" si="28"/>
        <v>1066766.8589999999</v>
      </c>
      <c r="ES21" s="590">
        <f t="shared" si="29"/>
        <v>293208.71600000001</v>
      </c>
      <c r="EW21" s="565" t="s">
        <v>465</v>
      </c>
      <c r="EX21" s="565" t="s">
        <v>466</v>
      </c>
      <c r="EY21" s="565" t="s">
        <v>447</v>
      </c>
      <c r="EZ21" s="565" t="s">
        <v>447</v>
      </c>
      <c r="FA21" s="594" t="s">
        <v>433</v>
      </c>
      <c r="FB21" s="566">
        <v>0</v>
      </c>
      <c r="FC21" s="566">
        <v>0</v>
      </c>
      <c r="FD21" s="566">
        <v>36475901</v>
      </c>
      <c r="FE21" s="566">
        <f t="shared" si="30"/>
        <v>0</v>
      </c>
      <c r="FF21" s="566">
        <f t="shared" si="31"/>
        <v>0</v>
      </c>
      <c r="FG21" s="566">
        <f t="shared" si="32"/>
        <v>36475.900999999998</v>
      </c>
      <c r="FK21" s="89" t="s">
        <v>434</v>
      </c>
      <c r="FL21" s="89" t="s">
        <v>307</v>
      </c>
      <c r="FM21" s="89" t="s">
        <v>437</v>
      </c>
      <c r="FN21" s="89" t="s">
        <v>329</v>
      </c>
      <c r="FO21" s="366" t="s">
        <v>433</v>
      </c>
      <c r="FP21" s="80">
        <v>0</v>
      </c>
      <c r="FQ21" s="80">
        <v>9692789</v>
      </c>
      <c r="FR21" s="80">
        <v>9692789</v>
      </c>
      <c r="FS21" s="566">
        <f t="shared" si="33"/>
        <v>0</v>
      </c>
      <c r="FT21" s="566">
        <f t="shared" si="34"/>
        <v>9692.7890000000007</v>
      </c>
      <c r="FU21" s="566">
        <f t="shared" si="35"/>
        <v>9692.7890000000007</v>
      </c>
      <c r="GI21" s="679" t="s">
        <v>434</v>
      </c>
      <c r="GJ21" s="679" t="s">
        <v>307</v>
      </c>
      <c r="GK21" s="362" t="s">
        <v>436</v>
      </c>
      <c r="GL21" s="679" t="s">
        <v>339</v>
      </c>
      <c r="GM21" s="679" t="s">
        <v>433</v>
      </c>
      <c r="GN21" s="715">
        <v>0</v>
      </c>
      <c r="GO21" s="715">
        <v>133735255</v>
      </c>
      <c r="GP21" s="715">
        <v>87587340</v>
      </c>
      <c r="GQ21" s="716">
        <f t="shared" si="37"/>
        <v>0</v>
      </c>
      <c r="GR21" s="716">
        <f t="shared" si="38"/>
        <v>133735.255</v>
      </c>
      <c r="GS21" s="716">
        <f t="shared" si="39"/>
        <v>87587.34</v>
      </c>
      <c r="GX21" s="664" t="s">
        <v>438</v>
      </c>
      <c r="GY21" s="567" t="s">
        <v>335</v>
      </c>
      <c r="GZ21" s="567" t="s">
        <v>462</v>
      </c>
      <c r="HA21" s="567" t="s">
        <v>633</v>
      </c>
      <c r="HB21" s="567" t="s">
        <v>433</v>
      </c>
      <c r="HC21" s="771">
        <v>0</v>
      </c>
      <c r="HD21" s="772">
        <f t="shared" si="40"/>
        <v>0</v>
      </c>
      <c r="HE21" s="81"/>
      <c r="HF21" s="81"/>
      <c r="HH21" s="775" t="s">
        <v>434</v>
      </c>
      <c r="HI21" s="775" t="s">
        <v>307</v>
      </c>
      <c r="HJ21" s="775" t="s">
        <v>447</v>
      </c>
      <c r="HK21" s="776" t="s">
        <v>447</v>
      </c>
      <c r="HL21" s="776" t="s">
        <v>433</v>
      </c>
      <c r="HM21" s="367">
        <v>0</v>
      </c>
      <c r="HN21" s="367">
        <v>0</v>
      </c>
      <c r="HO21" s="367">
        <v>0</v>
      </c>
      <c r="HP21" s="774">
        <f t="shared" si="41"/>
        <v>0</v>
      </c>
      <c r="HQ21" s="774">
        <f t="shared" si="42"/>
        <v>0</v>
      </c>
      <c r="HR21" s="774">
        <f t="shared" si="43"/>
        <v>0</v>
      </c>
      <c r="HW21" s="776" t="s">
        <v>438</v>
      </c>
      <c r="HX21" s="776" t="s">
        <v>335</v>
      </c>
      <c r="HY21" s="776" t="s">
        <v>447</v>
      </c>
      <c r="HZ21" s="776" t="s">
        <v>447</v>
      </c>
      <c r="IA21" s="776" t="s">
        <v>433</v>
      </c>
      <c r="IB21" s="813">
        <v>0</v>
      </c>
      <c r="IC21" s="813">
        <v>0</v>
      </c>
      <c r="ID21" s="813">
        <v>0</v>
      </c>
      <c r="IE21" s="568">
        <f t="shared" si="44"/>
        <v>0</v>
      </c>
      <c r="II21" s="362" t="s">
        <v>434</v>
      </c>
      <c r="IJ21" s="362" t="s">
        <v>307</v>
      </c>
      <c r="IK21" s="362" t="s">
        <v>436</v>
      </c>
      <c r="IL21" s="362" t="s">
        <v>339</v>
      </c>
      <c r="IM21" s="679" t="s">
        <v>433</v>
      </c>
      <c r="IN21" s="248">
        <v>0</v>
      </c>
      <c r="IO21" s="248">
        <v>146260225</v>
      </c>
      <c r="IP21" s="248">
        <v>105795762</v>
      </c>
      <c r="IQ21" s="806">
        <f t="shared" si="45"/>
        <v>0</v>
      </c>
      <c r="IR21" s="806">
        <f t="shared" si="46"/>
        <v>146260.22500000001</v>
      </c>
      <c r="IS21" s="806">
        <f t="shared" si="47"/>
        <v>105795.762</v>
      </c>
      <c r="JG21" s="567" t="s">
        <v>434</v>
      </c>
      <c r="JH21" s="567" t="s">
        <v>307</v>
      </c>
      <c r="JI21" s="567" t="s">
        <v>447</v>
      </c>
      <c r="JJ21" s="567" t="s">
        <v>447</v>
      </c>
      <c r="JK21" s="567" t="s">
        <v>433</v>
      </c>
      <c r="JL21" s="80">
        <v>0</v>
      </c>
      <c r="JM21" s="80">
        <v>0</v>
      </c>
      <c r="JN21" s="80">
        <v>0</v>
      </c>
      <c r="JO21" s="169">
        <f t="shared" si="49"/>
        <v>0</v>
      </c>
      <c r="JP21" s="169">
        <f t="shared" si="50"/>
        <v>0</v>
      </c>
      <c r="JQ21" s="169">
        <f t="shared" si="51"/>
        <v>0</v>
      </c>
    </row>
    <row r="22" spans="1:277" ht="15" customHeight="1" x14ac:dyDescent="0.25">
      <c r="A22" s="92" t="s">
        <v>438</v>
      </c>
      <c r="B22" s="92" t="s">
        <v>335</v>
      </c>
      <c r="C22" s="92" t="s">
        <v>499</v>
      </c>
      <c r="D22" s="92" t="s">
        <v>632</v>
      </c>
      <c r="E22" s="93">
        <v>700906000</v>
      </c>
      <c r="F22" s="93">
        <f t="shared" si="7"/>
        <v>745063.07799999998</v>
      </c>
      <c r="G22" s="93">
        <v>0</v>
      </c>
      <c r="H22" s="93">
        <f t="shared" si="8"/>
        <v>0</v>
      </c>
      <c r="U22" s="90" t="s">
        <v>534</v>
      </c>
      <c r="V22" s="90" t="s">
        <v>537</v>
      </c>
      <c r="W22" s="90" t="s">
        <v>447</v>
      </c>
      <c r="X22" s="1420" t="s">
        <v>447</v>
      </c>
      <c r="Y22" s="91">
        <v>278933000</v>
      </c>
      <c r="Z22" s="91">
        <f t="shared" si="9"/>
        <v>296505.77899999998</v>
      </c>
      <c r="AD22" s="90" t="s">
        <v>434</v>
      </c>
      <c r="AE22" s="90" t="s">
        <v>307</v>
      </c>
      <c r="AF22" s="90" t="s">
        <v>435</v>
      </c>
      <c r="AG22" s="90" t="s">
        <v>328</v>
      </c>
      <c r="AH22" s="91">
        <v>0</v>
      </c>
      <c r="AI22" s="91">
        <f t="shared" si="10"/>
        <v>0</v>
      </c>
      <c r="AJ22" s="91">
        <v>85648300</v>
      </c>
      <c r="AM22" s="169"/>
      <c r="AW22" s="90" t="s">
        <v>434</v>
      </c>
      <c r="AX22" s="90" t="s">
        <v>307</v>
      </c>
      <c r="AY22" s="90" t="s">
        <v>447</v>
      </c>
      <c r="AZ22" s="90" t="s">
        <v>447</v>
      </c>
      <c r="BA22" s="91">
        <v>0</v>
      </c>
      <c r="BB22" s="91">
        <v>0</v>
      </c>
      <c r="BC22" s="91">
        <v>0</v>
      </c>
      <c r="BD22" s="91">
        <f t="shared" si="1"/>
        <v>0</v>
      </c>
      <c r="BE22" s="91">
        <f t="shared" si="2"/>
        <v>0</v>
      </c>
      <c r="BF22" s="91">
        <f t="shared" si="3"/>
        <v>0</v>
      </c>
      <c r="BT22" s="87" t="s">
        <v>434</v>
      </c>
      <c r="BU22" s="87" t="s">
        <v>307</v>
      </c>
      <c r="BV22" s="87" t="s">
        <v>447</v>
      </c>
      <c r="BW22" s="87" t="s">
        <v>447</v>
      </c>
      <c r="BX22" s="304" t="s">
        <v>433</v>
      </c>
      <c r="BY22" s="88">
        <v>0</v>
      </c>
      <c r="BZ22" s="88">
        <v>0</v>
      </c>
      <c r="CA22" s="88">
        <v>0</v>
      </c>
      <c r="CB22" s="169">
        <f t="shared" si="12"/>
        <v>0</v>
      </c>
      <c r="CC22" s="169">
        <f t="shared" si="13"/>
        <v>0</v>
      </c>
      <c r="CD22" s="169">
        <f t="shared" si="14"/>
        <v>0</v>
      </c>
      <c r="CV22" s="89" t="s">
        <v>672</v>
      </c>
      <c r="CW22" s="89" t="s">
        <v>673</v>
      </c>
      <c r="CX22" s="89" t="s">
        <v>447</v>
      </c>
      <c r="CY22" s="89" t="s">
        <v>447</v>
      </c>
      <c r="CZ22" s="89">
        <v>0</v>
      </c>
      <c r="DA22" s="89">
        <v>0</v>
      </c>
      <c r="DB22" s="89">
        <v>0</v>
      </c>
      <c r="DC22" s="590">
        <f t="shared" si="18"/>
        <v>0</v>
      </c>
      <c r="DD22" s="590">
        <f t="shared" si="19"/>
        <v>0</v>
      </c>
      <c r="DE22" s="590">
        <f t="shared" si="20"/>
        <v>0</v>
      </c>
      <c r="DI22" s="316" t="s">
        <v>434</v>
      </c>
      <c r="DJ22" s="316" t="s">
        <v>307</v>
      </c>
      <c r="DK22" s="316" t="s">
        <v>459</v>
      </c>
      <c r="DL22" s="316" t="s">
        <v>331</v>
      </c>
      <c r="DM22" s="80">
        <v>0</v>
      </c>
      <c r="DN22" s="80">
        <v>11982921</v>
      </c>
      <c r="DO22" s="80">
        <v>9732921</v>
      </c>
      <c r="DP22" s="593">
        <f t="shared" si="21"/>
        <v>0</v>
      </c>
      <c r="DQ22" s="593">
        <f t="shared" si="22"/>
        <v>11982.921</v>
      </c>
      <c r="DR22" s="593">
        <f t="shared" si="23"/>
        <v>9732.9210000000003</v>
      </c>
      <c r="DV22" s="565" t="s">
        <v>465</v>
      </c>
      <c r="DW22" s="565" t="s">
        <v>466</v>
      </c>
      <c r="DX22" s="565" t="s">
        <v>447</v>
      </c>
      <c r="DY22" s="567" t="s">
        <v>447</v>
      </c>
      <c r="DZ22" s="594" t="s">
        <v>433</v>
      </c>
      <c r="EA22" s="566">
        <v>0</v>
      </c>
      <c r="EB22" s="566">
        <v>0</v>
      </c>
      <c r="EC22" s="566">
        <v>23126945</v>
      </c>
      <c r="ED22" s="566">
        <f t="shared" si="24"/>
        <v>0</v>
      </c>
      <c r="EE22" s="566">
        <f t="shared" si="25"/>
        <v>0</v>
      </c>
      <c r="EF22" s="566">
        <f t="shared" si="26"/>
        <v>23126.945</v>
      </c>
      <c r="EG22" s="96"/>
      <c r="EI22" s="89" t="s">
        <v>434</v>
      </c>
      <c r="EJ22" s="89" t="s">
        <v>307</v>
      </c>
      <c r="EK22" s="89" t="s">
        <v>458</v>
      </c>
      <c r="EL22" s="89" t="s">
        <v>330</v>
      </c>
      <c r="EM22" s="89" t="s">
        <v>433</v>
      </c>
      <c r="EN22" s="89">
        <v>0</v>
      </c>
      <c r="EO22" s="89">
        <v>90399</v>
      </c>
      <c r="EP22" s="89">
        <v>90399</v>
      </c>
      <c r="EQ22" s="590">
        <f t="shared" si="27"/>
        <v>0</v>
      </c>
      <c r="ER22" s="590">
        <f t="shared" si="28"/>
        <v>90.399000000000001</v>
      </c>
      <c r="ES22" s="590">
        <f t="shared" si="29"/>
        <v>90.399000000000001</v>
      </c>
      <c r="EW22" s="565" t="s">
        <v>534</v>
      </c>
      <c r="EX22" s="565" t="s">
        <v>537</v>
      </c>
      <c r="EY22" s="565" t="s">
        <v>447</v>
      </c>
      <c r="EZ22" s="565" t="s">
        <v>447</v>
      </c>
      <c r="FA22" s="594" t="s">
        <v>433</v>
      </c>
      <c r="FB22" s="566">
        <v>0</v>
      </c>
      <c r="FC22" s="566">
        <v>0</v>
      </c>
      <c r="FD22" s="566">
        <v>39200000</v>
      </c>
      <c r="FE22" s="566">
        <f t="shared" si="30"/>
        <v>0</v>
      </c>
      <c r="FF22" s="566">
        <f t="shared" si="31"/>
        <v>0</v>
      </c>
      <c r="FG22" s="566">
        <f t="shared" si="32"/>
        <v>39200</v>
      </c>
      <c r="FK22" s="89" t="s">
        <v>434</v>
      </c>
      <c r="FL22" s="89" t="s">
        <v>307</v>
      </c>
      <c r="FM22" s="89" t="s">
        <v>447</v>
      </c>
      <c r="FN22" s="89" t="s">
        <v>447</v>
      </c>
      <c r="FO22" s="366" t="s">
        <v>433</v>
      </c>
      <c r="FP22" s="80">
        <v>0</v>
      </c>
      <c r="FQ22" s="80">
        <v>0</v>
      </c>
      <c r="FR22" s="80">
        <v>0</v>
      </c>
      <c r="FS22" s="566">
        <f t="shared" si="33"/>
        <v>0</v>
      </c>
      <c r="FT22" s="566">
        <f t="shared" si="34"/>
        <v>0</v>
      </c>
      <c r="FU22" s="566">
        <f t="shared" si="35"/>
        <v>0</v>
      </c>
      <c r="GI22" s="679" t="s">
        <v>434</v>
      </c>
      <c r="GJ22" s="679" t="s">
        <v>307</v>
      </c>
      <c r="GK22" s="362" t="s">
        <v>458</v>
      </c>
      <c r="GL22" s="679" t="s">
        <v>330</v>
      </c>
      <c r="GM22" s="679" t="s">
        <v>433</v>
      </c>
      <c r="GN22" s="715">
        <v>0</v>
      </c>
      <c r="GO22" s="715">
        <v>111361</v>
      </c>
      <c r="GP22" s="715">
        <v>111361</v>
      </c>
      <c r="GQ22" s="716">
        <f t="shared" si="37"/>
        <v>0</v>
      </c>
      <c r="GR22" s="716">
        <f t="shared" si="38"/>
        <v>111.361</v>
      </c>
      <c r="GS22" s="716">
        <f t="shared" si="39"/>
        <v>111.361</v>
      </c>
      <c r="GX22" s="664" t="s">
        <v>463</v>
      </c>
      <c r="GY22" s="567" t="s">
        <v>464</v>
      </c>
      <c r="GZ22" s="567" t="s">
        <v>447</v>
      </c>
      <c r="HA22" s="567" t="s">
        <v>447</v>
      </c>
      <c r="HB22" s="567" t="s">
        <v>433</v>
      </c>
      <c r="HC22" s="771">
        <v>18776705</v>
      </c>
      <c r="HD22" s="772">
        <f t="shared" si="40"/>
        <v>18776.705000000002</v>
      </c>
      <c r="HE22" s="81"/>
      <c r="HF22" s="81"/>
      <c r="HH22" s="775" t="s">
        <v>434</v>
      </c>
      <c r="HI22" s="775" t="s">
        <v>307</v>
      </c>
      <c r="HJ22" s="775" t="s">
        <v>459</v>
      </c>
      <c r="HK22" s="776" t="s">
        <v>331</v>
      </c>
      <c r="HL22" s="776" t="s">
        <v>433</v>
      </c>
      <c r="HM22" s="367">
        <v>0</v>
      </c>
      <c r="HN22" s="367">
        <v>28922372</v>
      </c>
      <c r="HO22" s="367">
        <v>19547372</v>
      </c>
      <c r="HP22" s="774">
        <f t="shared" si="41"/>
        <v>0</v>
      </c>
      <c r="HQ22" s="774">
        <f t="shared" si="42"/>
        <v>28922.371999999999</v>
      </c>
      <c r="HR22" s="774">
        <f t="shared" si="43"/>
        <v>19547.371999999999</v>
      </c>
      <c r="HW22" s="776" t="s">
        <v>438</v>
      </c>
      <c r="HX22" s="776" t="s">
        <v>335</v>
      </c>
      <c r="HY22" s="776" t="s">
        <v>488</v>
      </c>
      <c r="HZ22" s="776" t="s">
        <v>631</v>
      </c>
      <c r="IA22" s="776" t="s">
        <v>433</v>
      </c>
      <c r="IB22" s="813">
        <v>0</v>
      </c>
      <c r="IC22" s="813">
        <v>0</v>
      </c>
      <c r="ID22" s="813">
        <v>245990000</v>
      </c>
      <c r="IE22" s="568">
        <f t="shared" si="44"/>
        <v>245990</v>
      </c>
      <c r="II22" s="362" t="s">
        <v>434</v>
      </c>
      <c r="IJ22" s="362" t="s">
        <v>307</v>
      </c>
      <c r="IK22" s="362" t="s">
        <v>447</v>
      </c>
      <c r="IL22" s="362" t="s">
        <v>447</v>
      </c>
      <c r="IM22" s="679" t="s">
        <v>433</v>
      </c>
      <c r="IN22" s="248">
        <v>0</v>
      </c>
      <c r="IO22" s="248">
        <v>0</v>
      </c>
      <c r="IP22" s="248">
        <v>0</v>
      </c>
      <c r="IQ22" s="806">
        <f t="shared" si="45"/>
        <v>0</v>
      </c>
      <c r="IR22" s="806">
        <f t="shared" si="46"/>
        <v>0</v>
      </c>
      <c r="IS22" s="806">
        <f t="shared" si="47"/>
        <v>0</v>
      </c>
      <c r="JG22" s="567" t="s">
        <v>434</v>
      </c>
      <c r="JH22" s="567" t="s">
        <v>307</v>
      </c>
      <c r="JI22" s="567" t="s">
        <v>437</v>
      </c>
      <c r="JJ22" s="567" t="s">
        <v>329</v>
      </c>
      <c r="JK22" s="567" t="s">
        <v>433</v>
      </c>
      <c r="JL22" s="80">
        <v>0</v>
      </c>
      <c r="JM22" s="80">
        <v>105750692</v>
      </c>
      <c r="JN22" s="80">
        <v>105750692</v>
      </c>
      <c r="JO22" s="169">
        <f t="shared" si="49"/>
        <v>0</v>
      </c>
      <c r="JP22" s="169">
        <f t="shared" si="50"/>
        <v>105750.692</v>
      </c>
      <c r="JQ22" s="169">
        <f t="shared" si="51"/>
        <v>105750.692</v>
      </c>
    </row>
    <row r="23" spans="1:277" ht="15" customHeight="1" x14ac:dyDescent="0.25">
      <c r="A23" s="92" t="s">
        <v>438</v>
      </c>
      <c r="B23" s="92" t="s">
        <v>335</v>
      </c>
      <c r="C23" s="92" t="s">
        <v>488</v>
      </c>
      <c r="D23" s="92" t="s">
        <v>631</v>
      </c>
      <c r="E23" s="93">
        <v>310000000</v>
      </c>
      <c r="F23" s="93">
        <f t="shared" si="7"/>
        <v>329530</v>
      </c>
      <c r="G23" s="93">
        <v>0</v>
      </c>
      <c r="H23" s="93">
        <f t="shared" si="8"/>
        <v>0</v>
      </c>
      <c r="U23" s="90" t="s">
        <v>672</v>
      </c>
      <c r="V23" s="90" t="s">
        <v>673</v>
      </c>
      <c r="W23" s="90" t="s">
        <v>447</v>
      </c>
      <c r="X23" s="1420" t="s">
        <v>447</v>
      </c>
      <c r="Y23" s="91">
        <v>35000000</v>
      </c>
      <c r="Z23" s="91">
        <f t="shared" si="9"/>
        <v>37205</v>
      </c>
      <c r="AD23" s="90" t="s">
        <v>508</v>
      </c>
      <c r="AE23" s="90" t="s">
        <v>523</v>
      </c>
      <c r="AF23" s="90" t="s">
        <v>447</v>
      </c>
      <c r="AG23" s="90" t="s">
        <v>447</v>
      </c>
      <c r="AH23" s="91">
        <v>90486000</v>
      </c>
      <c r="AI23" s="91">
        <f t="shared" si="10"/>
        <v>96186.618000000002</v>
      </c>
      <c r="AJ23" s="91">
        <v>0</v>
      </c>
      <c r="AM23" s="169"/>
      <c r="AW23" s="90" t="s">
        <v>508</v>
      </c>
      <c r="AX23" s="90" t="s">
        <v>523</v>
      </c>
      <c r="AY23" s="90" t="s">
        <v>447</v>
      </c>
      <c r="AZ23" s="90" t="s">
        <v>447</v>
      </c>
      <c r="BA23" s="91">
        <v>90486000</v>
      </c>
      <c r="BB23" s="91">
        <v>0</v>
      </c>
      <c r="BC23" s="91">
        <v>0</v>
      </c>
      <c r="BD23" s="91">
        <f t="shared" si="1"/>
        <v>96186.618000000002</v>
      </c>
      <c r="BE23" s="91">
        <f t="shared" si="2"/>
        <v>0</v>
      </c>
      <c r="BF23" s="91">
        <f t="shared" si="3"/>
        <v>0</v>
      </c>
      <c r="BT23" s="87" t="s">
        <v>508</v>
      </c>
      <c r="BU23" s="87" t="s">
        <v>523</v>
      </c>
      <c r="BV23" s="87" t="s">
        <v>447</v>
      </c>
      <c r="BW23" s="87" t="s">
        <v>447</v>
      </c>
      <c r="BX23" s="304" t="s">
        <v>433</v>
      </c>
      <c r="BY23" s="88">
        <v>90486000</v>
      </c>
      <c r="BZ23" s="88">
        <v>0</v>
      </c>
      <c r="CA23" s="88">
        <v>0</v>
      </c>
      <c r="CB23" s="169">
        <f t="shared" si="12"/>
        <v>90486</v>
      </c>
      <c r="CC23" s="169">
        <f t="shared" si="13"/>
        <v>0</v>
      </c>
      <c r="CD23" s="169">
        <f t="shared" si="14"/>
        <v>0</v>
      </c>
      <c r="CV23" s="89" t="s">
        <v>452</v>
      </c>
      <c r="CW23" s="89" t="s">
        <v>128</v>
      </c>
      <c r="CX23" s="89" t="s">
        <v>447</v>
      </c>
      <c r="CY23" s="89" t="s">
        <v>447</v>
      </c>
      <c r="CZ23" s="89">
        <v>958933000</v>
      </c>
      <c r="DA23" s="89">
        <v>0</v>
      </c>
      <c r="DB23" s="89">
        <v>0</v>
      </c>
      <c r="DC23" s="590">
        <f t="shared" si="18"/>
        <v>958933</v>
      </c>
      <c r="DD23" s="590">
        <f t="shared" si="19"/>
        <v>0</v>
      </c>
      <c r="DE23" s="590">
        <f t="shared" si="20"/>
        <v>0</v>
      </c>
      <c r="DI23" s="316" t="s">
        <v>434</v>
      </c>
      <c r="DJ23" s="316" t="s">
        <v>307</v>
      </c>
      <c r="DK23" s="316" t="s">
        <v>437</v>
      </c>
      <c r="DL23" s="316" t="s">
        <v>329</v>
      </c>
      <c r="DM23" s="80">
        <v>0</v>
      </c>
      <c r="DN23" s="80">
        <v>84817283</v>
      </c>
      <c r="DO23" s="80">
        <v>44849826</v>
      </c>
      <c r="DP23" s="593">
        <f t="shared" si="21"/>
        <v>0</v>
      </c>
      <c r="DQ23" s="593">
        <f t="shared" si="22"/>
        <v>84817.282999999996</v>
      </c>
      <c r="DR23" s="593">
        <f t="shared" si="23"/>
        <v>44849.826000000001</v>
      </c>
      <c r="DV23" s="565" t="s">
        <v>534</v>
      </c>
      <c r="DW23" s="565" t="s">
        <v>537</v>
      </c>
      <c r="DX23" s="565" t="s">
        <v>447</v>
      </c>
      <c r="DY23" s="567" t="s">
        <v>447</v>
      </c>
      <c r="DZ23" s="594" t="s">
        <v>433</v>
      </c>
      <c r="EA23" s="566">
        <v>0</v>
      </c>
      <c r="EB23" s="566">
        <v>0</v>
      </c>
      <c r="EC23" s="566">
        <v>39200000</v>
      </c>
      <c r="ED23" s="566">
        <f t="shared" si="24"/>
        <v>0</v>
      </c>
      <c r="EE23" s="566">
        <f t="shared" si="25"/>
        <v>0</v>
      </c>
      <c r="EF23" s="566">
        <f t="shared" si="26"/>
        <v>39200</v>
      </c>
      <c r="EG23" s="96"/>
      <c r="EI23" s="89" t="s">
        <v>434</v>
      </c>
      <c r="EJ23" s="89" t="s">
        <v>307</v>
      </c>
      <c r="EK23" s="89" t="s">
        <v>447</v>
      </c>
      <c r="EL23" s="89" t="s">
        <v>447</v>
      </c>
      <c r="EM23" s="89" t="s">
        <v>433</v>
      </c>
      <c r="EN23" s="89">
        <v>0</v>
      </c>
      <c r="EO23" s="89">
        <v>0</v>
      </c>
      <c r="EP23" s="89">
        <v>0</v>
      </c>
      <c r="EQ23" s="590">
        <f t="shared" si="27"/>
        <v>0</v>
      </c>
      <c r="ER23" s="590">
        <f t="shared" si="28"/>
        <v>0</v>
      </c>
      <c r="ES23" s="590">
        <f t="shared" si="29"/>
        <v>0</v>
      </c>
      <c r="EW23" s="565" t="s">
        <v>672</v>
      </c>
      <c r="EX23" s="565" t="s">
        <v>673</v>
      </c>
      <c r="EY23" s="565" t="s">
        <v>447</v>
      </c>
      <c r="EZ23" s="565" t="s">
        <v>447</v>
      </c>
      <c r="FA23" s="594" t="s">
        <v>433</v>
      </c>
      <c r="FB23" s="566">
        <v>0</v>
      </c>
      <c r="FC23" s="566">
        <v>0</v>
      </c>
      <c r="FD23" s="566">
        <v>1716000</v>
      </c>
      <c r="FE23" s="566">
        <f t="shared" si="30"/>
        <v>0</v>
      </c>
      <c r="FF23" s="566">
        <f t="shared" si="31"/>
        <v>0</v>
      </c>
      <c r="FG23" s="566">
        <f t="shared" si="32"/>
        <v>1716</v>
      </c>
      <c r="FK23" s="89" t="s">
        <v>434</v>
      </c>
      <c r="FL23" s="89" t="s">
        <v>307</v>
      </c>
      <c r="FM23" s="89" t="s">
        <v>447</v>
      </c>
      <c r="FN23" s="89" t="s">
        <v>447</v>
      </c>
      <c r="FO23" s="366" t="s">
        <v>433</v>
      </c>
      <c r="FP23" s="80">
        <v>0</v>
      </c>
      <c r="FQ23" s="80">
        <v>0</v>
      </c>
      <c r="FR23" s="80">
        <v>0</v>
      </c>
      <c r="FS23" s="566">
        <f t="shared" si="33"/>
        <v>0</v>
      </c>
      <c r="FT23" s="566">
        <f t="shared" si="34"/>
        <v>0</v>
      </c>
      <c r="FU23" s="566">
        <f t="shared" si="35"/>
        <v>0</v>
      </c>
      <c r="GI23" s="679" t="s">
        <v>434</v>
      </c>
      <c r="GJ23" s="679" t="s">
        <v>307</v>
      </c>
      <c r="GK23" s="362" t="s">
        <v>437</v>
      </c>
      <c r="GL23" s="679" t="s">
        <v>329</v>
      </c>
      <c r="GM23" s="679" t="s">
        <v>433</v>
      </c>
      <c r="GN23" s="715">
        <v>0</v>
      </c>
      <c r="GO23" s="715">
        <v>9692789</v>
      </c>
      <c r="GP23" s="715">
        <v>9692789</v>
      </c>
      <c r="GQ23" s="716">
        <f t="shared" si="37"/>
        <v>0</v>
      </c>
      <c r="GR23" s="716">
        <f t="shared" si="38"/>
        <v>9692.7890000000007</v>
      </c>
      <c r="GS23" s="716">
        <f t="shared" si="39"/>
        <v>9692.7890000000007</v>
      </c>
      <c r="GX23" s="664" t="s">
        <v>465</v>
      </c>
      <c r="GY23" s="567" t="s">
        <v>466</v>
      </c>
      <c r="GZ23" s="567" t="s">
        <v>447</v>
      </c>
      <c r="HA23" s="567" t="s">
        <v>447</v>
      </c>
      <c r="HB23" s="567" t="s">
        <v>433</v>
      </c>
      <c r="HC23" s="771">
        <v>4726139</v>
      </c>
      <c r="HD23" s="772">
        <f t="shared" si="40"/>
        <v>4726.1390000000001</v>
      </c>
      <c r="HE23" s="81"/>
      <c r="HF23" s="81"/>
      <c r="HH23" s="775" t="s">
        <v>434</v>
      </c>
      <c r="HI23" s="775" t="s">
        <v>307</v>
      </c>
      <c r="HJ23" s="775" t="s">
        <v>437</v>
      </c>
      <c r="HK23" s="776" t="s">
        <v>329</v>
      </c>
      <c r="HL23" s="776" t="s">
        <v>433</v>
      </c>
      <c r="HM23" s="367">
        <v>0</v>
      </c>
      <c r="HN23" s="367">
        <v>104595605</v>
      </c>
      <c r="HO23" s="367">
        <v>85385040</v>
      </c>
      <c r="HP23" s="774">
        <f t="shared" si="41"/>
        <v>0</v>
      </c>
      <c r="HQ23" s="774">
        <f t="shared" si="42"/>
        <v>104595.605</v>
      </c>
      <c r="HR23" s="774">
        <f t="shared" si="43"/>
        <v>85385.04</v>
      </c>
      <c r="HW23" s="776" t="s">
        <v>438</v>
      </c>
      <c r="HX23" s="776" t="s">
        <v>335</v>
      </c>
      <c r="HY23" s="776" t="s">
        <v>462</v>
      </c>
      <c r="HZ23" s="776" t="s">
        <v>633</v>
      </c>
      <c r="IA23" s="776" t="s">
        <v>433</v>
      </c>
      <c r="IB23" s="813">
        <v>0</v>
      </c>
      <c r="IC23" s="813">
        <v>0</v>
      </c>
      <c r="ID23" s="813">
        <v>106000000</v>
      </c>
      <c r="IE23" s="568">
        <f t="shared" si="44"/>
        <v>106000</v>
      </c>
      <c r="II23" s="362" t="s">
        <v>434</v>
      </c>
      <c r="IJ23" s="362" t="s">
        <v>307</v>
      </c>
      <c r="IK23" s="362" t="s">
        <v>437</v>
      </c>
      <c r="IL23" s="362" t="s">
        <v>329</v>
      </c>
      <c r="IM23" s="679" t="s">
        <v>433</v>
      </c>
      <c r="IN23" s="248">
        <v>0</v>
      </c>
      <c r="IO23" s="248">
        <v>104595605</v>
      </c>
      <c r="IP23" s="248">
        <v>95048884</v>
      </c>
      <c r="IQ23" s="806">
        <f t="shared" si="45"/>
        <v>0</v>
      </c>
      <c r="IR23" s="806">
        <f t="shared" si="46"/>
        <v>104595.605</v>
      </c>
      <c r="IS23" s="806">
        <f t="shared" si="47"/>
        <v>95048.884000000005</v>
      </c>
      <c r="JG23" s="567" t="s">
        <v>434</v>
      </c>
      <c r="JH23" s="567" t="s">
        <v>307</v>
      </c>
      <c r="JI23" s="567" t="s">
        <v>459</v>
      </c>
      <c r="JJ23" s="567" t="s">
        <v>331</v>
      </c>
      <c r="JK23" s="567" t="s">
        <v>433</v>
      </c>
      <c r="JL23" s="80">
        <v>0</v>
      </c>
      <c r="JM23" s="80">
        <v>25601331</v>
      </c>
      <c r="JN23" s="80">
        <v>25601331</v>
      </c>
      <c r="JO23" s="169">
        <f t="shared" si="49"/>
        <v>0</v>
      </c>
      <c r="JP23" s="169">
        <f t="shared" si="50"/>
        <v>25601.330999999998</v>
      </c>
      <c r="JQ23" s="169">
        <f t="shared" si="51"/>
        <v>25601.330999999998</v>
      </c>
    </row>
    <row r="24" spans="1:277" ht="15" customHeight="1" x14ac:dyDescent="0.25">
      <c r="A24" s="92" t="s">
        <v>438</v>
      </c>
      <c r="B24" s="92" t="s">
        <v>335</v>
      </c>
      <c r="C24" s="92" t="s">
        <v>462</v>
      </c>
      <c r="D24" s="92" t="s">
        <v>633</v>
      </c>
      <c r="E24" s="93">
        <v>160000000</v>
      </c>
      <c r="F24" s="93">
        <f t="shared" si="7"/>
        <v>170080</v>
      </c>
      <c r="G24" s="93">
        <v>0</v>
      </c>
      <c r="H24" s="93">
        <f t="shared" si="8"/>
        <v>0</v>
      </c>
      <c r="U24" s="90" t="s">
        <v>674</v>
      </c>
      <c r="V24" s="90" t="s">
        <v>675</v>
      </c>
      <c r="W24" s="90" t="s">
        <v>447</v>
      </c>
      <c r="X24" s="1420" t="s">
        <v>447</v>
      </c>
      <c r="Y24" s="91">
        <v>50000000</v>
      </c>
      <c r="Z24" s="91">
        <f t="shared" si="9"/>
        <v>53150</v>
      </c>
      <c r="AD24" s="90" t="s">
        <v>508</v>
      </c>
      <c r="AE24" s="90" t="s">
        <v>523</v>
      </c>
      <c r="AF24" s="90" t="s">
        <v>447</v>
      </c>
      <c r="AG24" s="90" t="s">
        <v>447</v>
      </c>
      <c r="AH24" s="91">
        <v>0</v>
      </c>
      <c r="AI24" s="91">
        <f t="shared" si="10"/>
        <v>0</v>
      </c>
      <c r="AJ24" s="91">
        <v>14500000</v>
      </c>
      <c r="AM24" s="169"/>
      <c r="AW24" s="90" t="s">
        <v>508</v>
      </c>
      <c r="AX24" s="90" t="s">
        <v>523</v>
      </c>
      <c r="AY24" s="90" t="s">
        <v>447</v>
      </c>
      <c r="AZ24" s="90" t="s">
        <v>447</v>
      </c>
      <c r="BA24" s="91">
        <v>0</v>
      </c>
      <c r="BB24" s="91">
        <v>28982300</v>
      </c>
      <c r="BC24" s="91">
        <v>14500000</v>
      </c>
      <c r="BD24" s="91">
        <f t="shared" si="1"/>
        <v>0</v>
      </c>
      <c r="BE24" s="91">
        <f t="shared" si="2"/>
        <v>30808.184899999997</v>
      </c>
      <c r="BF24" s="91">
        <f t="shared" si="3"/>
        <v>15413.5</v>
      </c>
      <c r="BT24" s="87" t="s">
        <v>508</v>
      </c>
      <c r="BU24" s="87" t="s">
        <v>523</v>
      </c>
      <c r="BV24" s="87" t="s">
        <v>447</v>
      </c>
      <c r="BW24" s="87" t="s">
        <v>447</v>
      </c>
      <c r="BX24" s="304" t="s">
        <v>433</v>
      </c>
      <c r="BY24" s="88">
        <v>0</v>
      </c>
      <c r="BZ24" s="88">
        <v>28982300</v>
      </c>
      <c r="CA24" s="88">
        <v>21247300</v>
      </c>
      <c r="CB24" s="169">
        <f t="shared" si="12"/>
        <v>0</v>
      </c>
      <c r="CC24" s="169">
        <f t="shared" si="13"/>
        <v>28982.3</v>
      </c>
      <c r="CD24" s="169">
        <f t="shared" si="14"/>
        <v>21247.3</v>
      </c>
      <c r="CV24" s="89" t="s">
        <v>452</v>
      </c>
      <c r="CW24" s="89" t="s">
        <v>128</v>
      </c>
      <c r="CX24" s="89" t="s">
        <v>447</v>
      </c>
      <c r="CY24" s="89" t="s">
        <v>447</v>
      </c>
      <c r="CZ24" s="89">
        <v>0</v>
      </c>
      <c r="DA24" s="89">
        <v>0</v>
      </c>
      <c r="DB24" s="89">
        <v>0</v>
      </c>
      <c r="DC24" s="590">
        <f t="shared" si="18"/>
        <v>0</v>
      </c>
      <c r="DD24" s="590">
        <f t="shared" si="19"/>
        <v>0</v>
      </c>
      <c r="DE24" s="590">
        <f t="shared" si="20"/>
        <v>0</v>
      </c>
      <c r="DI24" s="316" t="s">
        <v>508</v>
      </c>
      <c r="DJ24" s="316" t="s">
        <v>523</v>
      </c>
      <c r="DK24" s="316" t="s">
        <v>447</v>
      </c>
      <c r="DL24" s="316" t="s">
        <v>447</v>
      </c>
      <c r="DM24" s="80">
        <v>90486000</v>
      </c>
      <c r="DN24" s="80">
        <v>0</v>
      </c>
      <c r="DO24" s="80">
        <v>0</v>
      </c>
      <c r="DP24" s="593">
        <f t="shared" si="21"/>
        <v>90486</v>
      </c>
      <c r="DQ24" s="593">
        <f t="shared" si="22"/>
        <v>0</v>
      </c>
      <c r="DR24" s="593">
        <f t="shared" si="23"/>
        <v>0</v>
      </c>
      <c r="DV24" s="565" t="s">
        <v>672</v>
      </c>
      <c r="DW24" s="565" t="s">
        <v>673</v>
      </c>
      <c r="DX24" s="565" t="s">
        <v>447</v>
      </c>
      <c r="DY24" s="567" t="s">
        <v>447</v>
      </c>
      <c r="DZ24" s="594" t="s">
        <v>433</v>
      </c>
      <c r="EA24" s="566">
        <v>0</v>
      </c>
      <c r="EB24" s="566">
        <v>0</v>
      </c>
      <c r="EC24" s="566">
        <v>3432000</v>
      </c>
      <c r="ED24" s="566">
        <f t="shared" si="24"/>
        <v>0</v>
      </c>
      <c r="EE24" s="566">
        <f t="shared" si="25"/>
        <v>0</v>
      </c>
      <c r="EF24" s="566">
        <f t="shared" si="26"/>
        <v>3432</v>
      </c>
      <c r="EG24" s="96"/>
      <c r="EI24" s="89" t="s">
        <v>434</v>
      </c>
      <c r="EJ24" s="89" t="s">
        <v>307</v>
      </c>
      <c r="EK24" s="89" t="s">
        <v>436</v>
      </c>
      <c r="EL24" s="89" t="s">
        <v>339</v>
      </c>
      <c r="EM24" s="89" t="s">
        <v>433</v>
      </c>
      <c r="EN24" s="89">
        <v>0</v>
      </c>
      <c r="EO24" s="89">
        <v>126372955</v>
      </c>
      <c r="EP24" s="89">
        <v>48024264</v>
      </c>
      <c r="EQ24" s="590">
        <f t="shared" si="27"/>
        <v>0</v>
      </c>
      <c r="ER24" s="590">
        <f t="shared" si="28"/>
        <v>126372.955</v>
      </c>
      <c r="ES24" s="590">
        <f t="shared" si="29"/>
        <v>48024.264000000003</v>
      </c>
      <c r="FG24" s="79">
        <f>SUM(FG3:FG23)</f>
        <v>483966.62700000004</v>
      </c>
      <c r="FK24" s="89" t="s">
        <v>434</v>
      </c>
      <c r="FL24" s="89" t="s">
        <v>307</v>
      </c>
      <c r="FM24" s="89" t="s">
        <v>435</v>
      </c>
      <c r="FN24" s="89" t="s">
        <v>328</v>
      </c>
      <c r="FO24" s="366" t="s">
        <v>433</v>
      </c>
      <c r="FP24" s="80">
        <v>0</v>
      </c>
      <c r="FQ24" s="80">
        <v>1127106484</v>
      </c>
      <c r="FR24" s="80">
        <v>482366827</v>
      </c>
      <c r="FS24" s="566">
        <f t="shared" si="33"/>
        <v>0</v>
      </c>
      <c r="FT24" s="566">
        <f t="shared" si="34"/>
        <v>1127106.4839999999</v>
      </c>
      <c r="FU24" s="566">
        <f t="shared" si="35"/>
        <v>482366.82699999999</v>
      </c>
      <c r="GI24" s="679" t="s">
        <v>434</v>
      </c>
      <c r="GJ24" s="679" t="s">
        <v>307</v>
      </c>
      <c r="GK24" s="362" t="s">
        <v>435</v>
      </c>
      <c r="GL24" s="679" t="s">
        <v>328</v>
      </c>
      <c r="GM24" s="679" t="s">
        <v>433</v>
      </c>
      <c r="GN24" s="715">
        <v>0</v>
      </c>
      <c r="GO24" s="715">
        <v>1599983100</v>
      </c>
      <c r="GP24" s="715">
        <v>648908530</v>
      </c>
      <c r="GQ24" s="716">
        <f t="shared" si="37"/>
        <v>0</v>
      </c>
      <c r="GR24" s="716">
        <f t="shared" si="38"/>
        <v>1599983.1</v>
      </c>
      <c r="GS24" s="716">
        <f t="shared" si="39"/>
        <v>648908.53</v>
      </c>
      <c r="GX24" s="664" t="s">
        <v>534</v>
      </c>
      <c r="GY24" s="567" t="s">
        <v>537</v>
      </c>
      <c r="GZ24" s="567" t="s">
        <v>447</v>
      </c>
      <c r="HA24" s="567" t="s">
        <v>447</v>
      </c>
      <c r="HB24" s="567" t="s">
        <v>433</v>
      </c>
      <c r="HC24" s="771">
        <v>19600000</v>
      </c>
      <c r="HD24" s="772">
        <f t="shared" si="40"/>
        <v>19600</v>
      </c>
      <c r="HE24" s="81"/>
      <c r="HF24" s="81"/>
      <c r="HH24" s="775" t="s">
        <v>434</v>
      </c>
      <c r="HI24" s="775" t="s">
        <v>307</v>
      </c>
      <c r="HJ24" s="775" t="s">
        <v>436</v>
      </c>
      <c r="HK24" s="776" t="s">
        <v>339</v>
      </c>
      <c r="HL24" s="776" t="s">
        <v>433</v>
      </c>
      <c r="HM24" s="367">
        <v>0</v>
      </c>
      <c r="HN24" s="367">
        <v>133735255</v>
      </c>
      <c r="HO24" s="367">
        <v>93015762</v>
      </c>
      <c r="HP24" s="774">
        <f t="shared" si="41"/>
        <v>0</v>
      </c>
      <c r="HQ24" s="774">
        <f t="shared" si="42"/>
        <v>133735.255</v>
      </c>
      <c r="HR24" s="774">
        <f t="shared" si="43"/>
        <v>93015.762000000002</v>
      </c>
      <c r="HW24" s="776" t="s">
        <v>438</v>
      </c>
      <c r="HX24" s="776" t="s">
        <v>335</v>
      </c>
      <c r="HY24" s="776" t="s">
        <v>499</v>
      </c>
      <c r="HZ24" s="776" t="s">
        <v>632</v>
      </c>
      <c r="IA24" s="776" t="s">
        <v>433</v>
      </c>
      <c r="IB24" s="813">
        <v>0</v>
      </c>
      <c r="IC24" s="813">
        <v>796600000</v>
      </c>
      <c r="ID24" s="813">
        <v>200000000</v>
      </c>
      <c r="IE24" s="568">
        <f t="shared" si="44"/>
        <v>200000</v>
      </c>
      <c r="II24" s="362" t="s">
        <v>434</v>
      </c>
      <c r="IJ24" s="362" t="s">
        <v>307</v>
      </c>
      <c r="IK24" s="362" t="s">
        <v>447</v>
      </c>
      <c r="IL24" s="362" t="s">
        <v>447</v>
      </c>
      <c r="IM24" s="679" t="s">
        <v>433</v>
      </c>
      <c r="IN24" s="248">
        <v>0</v>
      </c>
      <c r="IO24" s="248">
        <v>0</v>
      </c>
      <c r="IP24" s="248">
        <v>0</v>
      </c>
      <c r="IQ24" s="806">
        <f t="shared" si="45"/>
        <v>0</v>
      </c>
      <c r="IR24" s="806">
        <f t="shared" si="46"/>
        <v>0</v>
      </c>
      <c r="IS24" s="806">
        <f t="shared" si="47"/>
        <v>0</v>
      </c>
      <c r="JG24" s="567" t="s">
        <v>434</v>
      </c>
      <c r="JH24" s="567" t="s">
        <v>307</v>
      </c>
      <c r="JI24" s="567" t="s">
        <v>435</v>
      </c>
      <c r="JJ24" s="567" t="s">
        <v>328</v>
      </c>
      <c r="JK24" s="567" t="s">
        <v>433</v>
      </c>
      <c r="JL24" s="80">
        <v>0</v>
      </c>
      <c r="JM24" s="80">
        <v>1292191247</v>
      </c>
      <c r="JN24" s="80">
        <v>1292191247</v>
      </c>
      <c r="JO24" s="169">
        <f t="shared" si="49"/>
        <v>0</v>
      </c>
      <c r="JP24" s="169">
        <f t="shared" si="50"/>
        <v>1292191.247</v>
      </c>
      <c r="JQ24" s="169">
        <f t="shared" si="51"/>
        <v>1292191.247</v>
      </c>
    </row>
    <row r="25" spans="1:277" ht="15" customHeight="1" x14ac:dyDescent="0.25">
      <c r="A25" s="92" t="s">
        <v>438</v>
      </c>
      <c r="B25" s="92" t="s">
        <v>335</v>
      </c>
      <c r="C25" s="92" t="s">
        <v>439</v>
      </c>
      <c r="D25" s="92" t="s">
        <v>492</v>
      </c>
      <c r="E25" s="93">
        <v>120000000</v>
      </c>
      <c r="F25" s="93">
        <f t="shared" si="7"/>
        <v>127560</v>
      </c>
      <c r="G25" s="93">
        <v>0</v>
      </c>
      <c r="H25" s="93">
        <f t="shared" si="8"/>
        <v>0</v>
      </c>
      <c r="U25" s="90" t="s">
        <v>452</v>
      </c>
      <c r="V25" s="90" t="s">
        <v>128</v>
      </c>
      <c r="W25" s="90" t="s">
        <v>447</v>
      </c>
      <c r="X25" s="1420" t="s">
        <v>447</v>
      </c>
      <c r="Y25" s="91">
        <v>10000</v>
      </c>
      <c r="Z25" s="91">
        <f t="shared" si="9"/>
        <v>10.629999999999999</v>
      </c>
      <c r="AD25" s="90" t="s">
        <v>460</v>
      </c>
      <c r="AE25" s="90" t="s">
        <v>461</v>
      </c>
      <c r="AF25" s="90" t="s">
        <v>447</v>
      </c>
      <c r="AG25" s="90" t="s">
        <v>447</v>
      </c>
      <c r="AH25" s="91">
        <v>181473000</v>
      </c>
      <c r="AI25" s="91">
        <f t="shared" si="10"/>
        <v>192905.799</v>
      </c>
      <c r="AJ25" s="91">
        <v>0</v>
      </c>
      <c r="AM25" s="169"/>
      <c r="AW25" s="90" t="s">
        <v>460</v>
      </c>
      <c r="AX25" s="90" t="s">
        <v>461</v>
      </c>
      <c r="AY25" s="90" t="s">
        <v>447</v>
      </c>
      <c r="AZ25" s="90" t="s">
        <v>447</v>
      </c>
      <c r="BA25" s="91">
        <v>181473000</v>
      </c>
      <c r="BB25" s="91">
        <v>0</v>
      </c>
      <c r="BC25" s="91">
        <v>0</v>
      </c>
      <c r="BD25" s="91">
        <f t="shared" si="1"/>
        <v>192905.799</v>
      </c>
      <c r="BE25" s="91">
        <f t="shared" si="2"/>
        <v>0</v>
      </c>
      <c r="BF25" s="91">
        <f t="shared" si="3"/>
        <v>0</v>
      </c>
      <c r="BT25" s="87" t="s">
        <v>460</v>
      </c>
      <c r="BU25" s="87" t="s">
        <v>461</v>
      </c>
      <c r="BV25" s="87" t="s">
        <v>447</v>
      </c>
      <c r="BW25" s="87" t="s">
        <v>447</v>
      </c>
      <c r="BX25" s="304" t="s">
        <v>433</v>
      </c>
      <c r="BY25" s="88">
        <v>181473000</v>
      </c>
      <c r="BZ25" s="88">
        <v>0</v>
      </c>
      <c r="CA25" s="88">
        <v>0</v>
      </c>
      <c r="CB25" s="169">
        <f t="shared" si="12"/>
        <v>181473</v>
      </c>
      <c r="CC25" s="169">
        <f t="shared" si="13"/>
        <v>0</v>
      </c>
      <c r="CD25" s="169">
        <f t="shared" si="14"/>
        <v>0</v>
      </c>
      <c r="CV25" s="89"/>
      <c r="CW25" s="89"/>
      <c r="CX25" s="89"/>
      <c r="CY25" s="89"/>
      <c r="CZ25" s="89"/>
      <c r="DA25" s="89"/>
      <c r="DB25" s="89"/>
      <c r="DC25" s="89"/>
      <c r="DD25" s="89"/>
      <c r="DE25" s="89"/>
      <c r="DI25" s="316" t="s">
        <v>508</v>
      </c>
      <c r="DJ25" s="316" t="s">
        <v>523</v>
      </c>
      <c r="DK25" s="316" t="s">
        <v>447</v>
      </c>
      <c r="DL25" s="316" t="s">
        <v>447</v>
      </c>
      <c r="DM25" s="80">
        <v>0</v>
      </c>
      <c r="DN25" s="80">
        <v>28982300</v>
      </c>
      <c r="DO25" s="80">
        <v>21247300</v>
      </c>
      <c r="DP25" s="593">
        <f t="shared" si="21"/>
        <v>0</v>
      </c>
      <c r="DQ25" s="593">
        <f t="shared" si="22"/>
        <v>28982.3</v>
      </c>
      <c r="DR25" s="593">
        <f t="shared" si="23"/>
        <v>21247.3</v>
      </c>
      <c r="DV25" s="565" t="s">
        <v>452</v>
      </c>
      <c r="DW25" s="565" t="s">
        <v>128</v>
      </c>
      <c r="DX25" s="565" t="s">
        <v>447</v>
      </c>
      <c r="DY25" s="567" t="s">
        <v>447</v>
      </c>
      <c r="DZ25" s="594" t="s">
        <v>433</v>
      </c>
      <c r="EA25" s="566">
        <v>0</v>
      </c>
      <c r="EB25" s="566">
        <v>0</v>
      </c>
      <c r="EC25" s="566">
        <v>0</v>
      </c>
      <c r="ED25" s="566">
        <f t="shared" si="24"/>
        <v>0</v>
      </c>
      <c r="EE25" s="566">
        <f t="shared" si="25"/>
        <v>0</v>
      </c>
      <c r="EF25" s="566">
        <f t="shared" si="26"/>
        <v>0</v>
      </c>
      <c r="EG25" s="96"/>
      <c r="EI25" s="89" t="s">
        <v>508</v>
      </c>
      <c r="EJ25" s="89" t="s">
        <v>523</v>
      </c>
      <c r="EK25" s="89" t="s">
        <v>447</v>
      </c>
      <c r="EL25" s="89" t="s">
        <v>447</v>
      </c>
      <c r="EM25" s="89" t="s">
        <v>433</v>
      </c>
      <c r="EN25" s="89">
        <v>90486000</v>
      </c>
      <c r="EO25" s="89">
        <v>0</v>
      </c>
      <c r="EP25" s="89">
        <v>0</v>
      </c>
      <c r="EQ25" s="590">
        <f t="shared" si="27"/>
        <v>90486</v>
      </c>
      <c r="ER25" s="590">
        <f t="shared" si="28"/>
        <v>0</v>
      </c>
      <c r="ES25" s="590">
        <f t="shared" si="29"/>
        <v>0</v>
      </c>
      <c r="FK25" s="89" t="s">
        <v>508</v>
      </c>
      <c r="FL25" s="89" t="s">
        <v>523</v>
      </c>
      <c r="FM25" s="89" t="s">
        <v>447</v>
      </c>
      <c r="FN25" s="89" t="s">
        <v>447</v>
      </c>
      <c r="FO25" s="366" t="s">
        <v>433</v>
      </c>
      <c r="FP25" s="80">
        <v>90486000</v>
      </c>
      <c r="FQ25" s="80">
        <v>0</v>
      </c>
      <c r="FR25" s="80">
        <v>0</v>
      </c>
      <c r="FS25" s="566">
        <f t="shared" si="33"/>
        <v>90486</v>
      </c>
      <c r="FT25" s="566">
        <f t="shared" si="34"/>
        <v>0</v>
      </c>
      <c r="FU25" s="566">
        <f t="shared" si="35"/>
        <v>0</v>
      </c>
      <c r="GI25" s="679" t="s">
        <v>508</v>
      </c>
      <c r="GJ25" s="679" t="s">
        <v>523</v>
      </c>
      <c r="GK25" s="362" t="s">
        <v>447</v>
      </c>
      <c r="GL25" s="679" t="s">
        <v>447</v>
      </c>
      <c r="GM25" s="679" t="s">
        <v>433</v>
      </c>
      <c r="GN25" s="715">
        <v>90486000</v>
      </c>
      <c r="GO25" s="715">
        <v>0</v>
      </c>
      <c r="GP25" s="715">
        <v>0</v>
      </c>
      <c r="GQ25" s="716">
        <f t="shared" si="37"/>
        <v>90486</v>
      </c>
      <c r="GR25" s="716">
        <f t="shared" si="38"/>
        <v>0</v>
      </c>
      <c r="GS25" s="716">
        <f t="shared" si="39"/>
        <v>0</v>
      </c>
      <c r="GX25" s="81"/>
      <c r="GY25" s="81"/>
      <c r="GZ25" s="81"/>
      <c r="HA25" s="81"/>
      <c r="HB25" s="81"/>
      <c r="HC25" s="81"/>
      <c r="HD25" s="81"/>
      <c r="HE25" s="81"/>
      <c r="HF25" s="81"/>
      <c r="HH25" s="775" t="s">
        <v>508</v>
      </c>
      <c r="HI25" s="775" t="s">
        <v>523</v>
      </c>
      <c r="HJ25" s="775" t="s">
        <v>447</v>
      </c>
      <c r="HK25" s="776" t="s">
        <v>447</v>
      </c>
      <c r="HL25" s="776" t="s">
        <v>433</v>
      </c>
      <c r="HM25" s="367">
        <v>90486000</v>
      </c>
      <c r="HN25" s="367">
        <v>0</v>
      </c>
      <c r="HO25" s="367">
        <v>0</v>
      </c>
      <c r="HP25" s="774">
        <f t="shared" si="41"/>
        <v>90486</v>
      </c>
      <c r="HQ25" s="774">
        <f t="shared" si="42"/>
        <v>0</v>
      </c>
      <c r="HR25" s="774">
        <f t="shared" si="43"/>
        <v>0</v>
      </c>
      <c r="HW25" s="776" t="s">
        <v>438</v>
      </c>
      <c r="HX25" s="776" t="s">
        <v>335</v>
      </c>
      <c r="HY25" s="776" t="s">
        <v>447</v>
      </c>
      <c r="HZ25" s="776" t="s">
        <v>447</v>
      </c>
      <c r="IA25" s="776" t="s">
        <v>433</v>
      </c>
      <c r="IB25" s="813">
        <v>0</v>
      </c>
      <c r="IC25" s="813">
        <v>0</v>
      </c>
      <c r="ID25" s="813">
        <v>0</v>
      </c>
      <c r="IE25" s="568">
        <f t="shared" si="44"/>
        <v>0</v>
      </c>
      <c r="II25" s="362" t="s">
        <v>434</v>
      </c>
      <c r="IJ25" s="362" t="s">
        <v>307</v>
      </c>
      <c r="IK25" s="362" t="s">
        <v>459</v>
      </c>
      <c r="IL25" s="362" t="s">
        <v>331</v>
      </c>
      <c r="IM25" s="679" t="s">
        <v>433</v>
      </c>
      <c r="IN25" s="248">
        <v>0</v>
      </c>
      <c r="IO25" s="248">
        <v>29467178</v>
      </c>
      <c r="IP25" s="248">
        <v>19547372</v>
      </c>
      <c r="IQ25" s="806">
        <f t="shared" si="45"/>
        <v>0</v>
      </c>
      <c r="IR25" s="806">
        <f t="shared" si="46"/>
        <v>29467.178</v>
      </c>
      <c r="IS25" s="806">
        <f t="shared" si="47"/>
        <v>19547.371999999999</v>
      </c>
      <c r="JG25" s="567" t="s">
        <v>434</v>
      </c>
      <c r="JH25" s="567" t="s">
        <v>307</v>
      </c>
      <c r="JI25" s="567" t="s">
        <v>447</v>
      </c>
      <c r="JJ25" s="567" t="s">
        <v>447</v>
      </c>
      <c r="JK25" s="567" t="s">
        <v>433</v>
      </c>
      <c r="JL25" s="80">
        <v>0</v>
      </c>
      <c r="JM25" s="80">
        <v>0</v>
      </c>
      <c r="JN25" s="80">
        <v>0</v>
      </c>
      <c r="JO25" s="169">
        <f t="shared" si="49"/>
        <v>0</v>
      </c>
      <c r="JP25" s="169">
        <f t="shared" si="50"/>
        <v>0</v>
      </c>
      <c r="JQ25" s="169">
        <f t="shared" si="51"/>
        <v>0</v>
      </c>
    </row>
    <row r="26" spans="1:277" ht="15" customHeight="1" x14ac:dyDescent="0.25">
      <c r="A26" s="92" t="s">
        <v>438</v>
      </c>
      <c r="B26" s="92" t="s">
        <v>335</v>
      </c>
      <c r="C26" s="92" t="s">
        <v>500</v>
      </c>
      <c r="D26" s="92" t="s">
        <v>489</v>
      </c>
      <c r="E26" s="93">
        <v>0</v>
      </c>
      <c r="F26" s="93">
        <f t="shared" si="7"/>
        <v>0</v>
      </c>
      <c r="G26" s="93">
        <v>0</v>
      </c>
      <c r="H26" s="93">
        <f t="shared" si="8"/>
        <v>0</v>
      </c>
      <c r="Z26" s="79"/>
      <c r="AD26" s="90" t="s">
        <v>438</v>
      </c>
      <c r="AE26" s="90" t="s">
        <v>335</v>
      </c>
      <c r="AF26" s="90" t="s">
        <v>499</v>
      </c>
      <c r="AG26" s="90" t="s">
        <v>632</v>
      </c>
      <c r="AH26" s="91">
        <v>1000906000</v>
      </c>
      <c r="AI26" s="91">
        <f t="shared" si="10"/>
        <v>1063963.078</v>
      </c>
      <c r="AJ26" s="91">
        <v>0</v>
      </c>
      <c r="AM26" s="169"/>
      <c r="AW26" s="90" t="s">
        <v>438</v>
      </c>
      <c r="AX26" s="90" t="s">
        <v>335</v>
      </c>
      <c r="AY26" s="90" t="s">
        <v>439</v>
      </c>
      <c r="AZ26" s="90" t="s">
        <v>492</v>
      </c>
      <c r="BA26" s="91">
        <v>120000000</v>
      </c>
      <c r="BB26" s="91">
        <v>0</v>
      </c>
      <c r="BC26" s="91">
        <v>0</v>
      </c>
      <c r="BD26" s="91">
        <f t="shared" si="1"/>
        <v>127560</v>
      </c>
      <c r="BE26" s="91">
        <f t="shared" si="2"/>
        <v>0</v>
      </c>
      <c r="BF26" s="91">
        <f t="shared" si="3"/>
        <v>0</v>
      </c>
      <c r="BT26" s="87" t="s">
        <v>438</v>
      </c>
      <c r="BU26" s="87" t="s">
        <v>335</v>
      </c>
      <c r="BV26" s="87" t="s">
        <v>439</v>
      </c>
      <c r="BW26" s="87" t="s">
        <v>492</v>
      </c>
      <c r="BX26" s="304" t="s">
        <v>433</v>
      </c>
      <c r="BY26" s="88">
        <v>120000000</v>
      </c>
      <c r="BZ26" s="88">
        <v>0</v>
      </c>
      <c r="CA26" s="88">
        <v>0</v>
      </c>
      <c r="CB26" s="169">
        <f t="shared" si="12"/>
        <v>120000</v>
      </c>
      <c r="CC26" s="169">
        <f t="shared" si="13"/>
        <v>0</v>
      </c>
      <c r="CD26" s="169">
        <f t="shared" si="14"/>
        <v>0</v>
      </c>
      <c r="DI26" s="316" t="s">
        <v>460</v>
      </c>
      <c r="DJ26" s="316" t="s">
        <v>461</v>
      </c>
      <c r="DK26" s="316" t="s">
        <v>447</v>
      </c>
      <c r="DL26" s="316" t="s">
        <v>447</v>
      </c>
      <c r="DM26" s="80">
        <v>181473000</v>
      </c>
      <c r="DN26" s="80">
        <v>0</v>
      </c>
      <c r="DO26" s="80">
        <v>0</v>
      </c>
      <c r="DP26" s="593">
        <f t="shared" si="21"/>
        <v>181473</v>
      </c>
      <c r="DQ26" s="593">
        <f t="shared" si="22"/>
        <v>0</v>
      </c>
      <c r="DR26" s="593">
        <f t="shared" si="23"/>
        <v>0</v>
      </c>
      <c r="DV26" s="96"/>
      <c r="DW26" s="96"/>
      <c r="DX26" s="96"/>
      <c r="DY26" s="595"/>
      <c r="DZ26" s="96"/>
      <c r="EA26" s="96"/>
      <c r="EB26" s="96"/>
      <c r="EC26" s="96"/>
      <c r="ED26" s="96"/>
      <c r="EE26" s="96"/>
      <c r="EF26" s="596">
        <f>SUM(EF3:EF25)</f>
        <v>265574.40299999999</v>
      </c>
      <c r="EG26" s="96"/>
      <c r="EI26" s="89" t="s">
        <v>508</v>
      </c>
      <c r="EJ26" s="89" t="s">
        <v>523</v>
      </c>
      <c r="EK26" s="89" t="s">
        <v>447</v>
      </c>
      <c r="EL26" s="89" t="s">
        <v>447</v>
      </c>
      <c r="EM26" s="89" t="s">
        <v>433</v>
      </c>
      <c r="EN26" s="89">
        <v>0</v>
      </c>
      <c r="EO26" s="89">
        <v>28982300</v>
      </c>
      <c r="EP26" s="89">
        <v>21247300</v>
      </c>
      <c r="EQ26" s="590">
        <f t="shared" si="27"/>
        <v>0</v>
      </c>
      <c r="ER26" s="590">
        <f t="shared" si="28"/>
        <v>28982.3</v>
      </c>
      <c r="ES26" s="590">
        <f t="shared" si="29"/>
        <v>21247.3</v>
      </c>
      <c r="FK26" s="89" t="s">
        <v>508</v>
      </c>
      <c r="FL26" s="89" t="s">
        <v>523</v>
      </c>
      <c r="FM26" s="89" t="s">
        <v>447</v>
      </c>
      <c r="FN26" s="89" t="s">
        <v>447</v>
      </c>
      <c r="FO26" s="366" t="s">
        <v>433</v>
      </c>
      <c r="FP26" s="80">
        <v>0</v>
      </c>
      <c r="FQ26" s="80">
        <v>28982300</v>
      </c>
      <c r="FR26" s="80">
        <v>21247300</v>
      </c>
      <c r="FS26" s="566">
        <f t="shared" si="33"/>
        <v>0</v>
      </c>
      <c r="FT26" s="566">
        <f t="shared" si="34"/>
        <v>28982.3</v>
      </c>
      <c r="FU26" s="566">
        <f t="shared" si="35"/>
        <v>21247.3</v>
      </c>
      <c r="GI26" s="679" t="s">
        <v>508</v>
      </c>
      <c r="GJ26" s="679" t="s">
        <v>523</v>
      </c>
      <c r="GK26" s="362" t="s">
        <v>447</v>
      </c>
      <c r="GL26" s="679" t="s">
        <v>447</v>
      </c>
      <c r="GM26" s="679" t="s">
        <v>433</v>
      </c>
      <c r="GN26" s="715">
        <v>0</v>
      </c>
      <c r="GO26" s="715">
        <v>28982300</v>
      </c>
      <c r="GP26" s="715">
        <v>21247300</v>
      </c>
      <c r="GQ26" s="716">
        <f t="shared" si="37"/>
        <v>0</v>
      </c>
      <c r="GR26" s="716">
        <f t="shared" si="38"/>
        <v>28982.3</v>
      </c>
      <c r="GS26" s="716">
        <f t="shared" si="39"/>
        <v>21247.3</v>
      </c>
      <c r="HH26" s="775" t="s">
        <v>508</v>
      </c>
      <c r="HI26" s="775" t="s">
        <v>523</v>
      </c>
      <c r="HJ26" s="775" t="s">
        <v>447</v>
      </c>
      <c r="HK26" s="776" t="s">
        <v>447</v>
      </c>
      <c r="HL26" s="776" t="s">
        <v>433</v>
      </c>
      <c r="HM26" s="367">
        <v>0</v>
      </c>
      <c r="HN26" s="367">
        <v>48272200</v>
      </c>
      <c r="HO26" s="367">
        <v>21247300</v>
      </c>
      <c r="HP26" s="774">
        <f t="shared" si="41"/>
        <v>0</v>
      </c>
      <c r="HQ26" s="774">
        <f t="shared" si="42"/>
        <v>48272.2</v>
      </c>
      <c r="HR26" s="774">
        <f t="shared" si="43"/>
        <v>21247.3</v>
      </c>
      <c r="HW26" s="776" t="s">
        <v>438</v>
      </c>
      <c r="HX26" s="776" t="s">
        <v>335</v>
      </c>
      <c r="HY26" s="776" t="s">
        <v>447</v>
      </c>
      <c r="HZ26" s="776" t="s">
        <v>447</v>
      </c>
      <c r="IA26" s="776" t="s">
        <v>433</v>
      </c>
      <c r="IB26" s="813">
        <v>0</v>
      </c>
      <c r="IC26" s="813">
        <v>0</v>
      </c>
      <c r="ID26" s="813">
        <v>0</v>
      </c>
      <c r="IE26" s="568">
        <f t="shared" si="44"/>
        <v>0</v>
      </c>
      <c r="II26" s="362" t="s">
        <v>434</v>
      </c>
      <c r="IJ26" s="362" t="s">
        <v>307</v>
      </c>
      <c r="IK26" s="362" t="s">
        <v>435</v>
      </c>
      <c r="IL26" s="362" t="s">
        <v>328</v>
      </c>
      <c r="IM26" s="679" t="s">
        <v>433</v>
      </c>
      <c r="IN26" s="248">
        <v>0</v>
      </c>
      <c r="IO26" s="248">
        <v>1650089141</v>
      </c>
      <c r="IP26" s="248">
        <v>1096016002</v>
      </c>
      <c r="IQ26" s="806">
        <f t="shared" si="45"/>
        <v>0</v>
      </c>
      <c r="IR26" s="806">
        <f t="shared" si="46"/>
        <v>1650089.1410000001</v>
      </c>
      <c r="IS26" s="806">
        <f t="shared" si="47"/>
        <v>1096016.0020000001</v>
      </c>
      <c r="JG26" s="567" t="s">
        <v>434</v>
      </c>
      <c r="JH26" s="567" t="s">
        <v>307</v>
      </c>
      <c r="JI26" s="567" t="s">
        <v>437</v>
      </c>
      <c r="JJ26" s="567" t="s">
        <v>329</v>
      </c>
      <c r="JK26" s="567" t="s">
        <v>433</v>
      </c>
      <c r="JL26" s="80">
        <v>0</v>
      </c>
      <c r="JM26" s="80">
        <v>9692789</v>
      </c>
      <c r="JN26" s="80">
        <v>9692789</v>
      </c>
      <c r="JO26" s="169">
        <f t="shared" si="49"/>
        <v>0</v>
      </c>
      <c r="JP26" s="169">
        <f t="shared" si="50"/>
        <v>9692.7890000000007</v>
      </c>
      <c r="JQ26" s="169">
        <f t="shared" si="51"/>
        <v>9692.7890000000007</v>
      </c>
    </row>
    <row r="27" spans="1:277" ht="15" customHeight="1" x14ac:dyDescent="0.25">
      <c r="A27" s="92" t="s">
        <v>438</v>
      </c>
      <c r="B27" s="92" t="s">
        <v>335</v>
      </c>
      <c r="C27" s="92" t="s">
        <v>629</v>
      </c>
      <c r="D27" s="92" t="s">
        <v>630</v>
      </c>
      <c r="E27" s="93">
        <v>0</v>
      </c>
      <c r="F27" s="93">
        <f t="shared" si="7"/>
        <v>0</v>
      </c>
      <c r="G27" s="93">
        <v>0</v>
      </c>
      <c r="H27" s="93">
        <f t="shared" si="8"/>
        <v>0</v>
      </c>
      <c r="AD27" s="90" t="s">
        <v>438</v>
      </c>
      <c r="AE27" s="90" t="s">
        <v>335</v>
      </c>
      <c r="AF27" s="90" t="s">
        <v>629</v>
      </c>
      <c r="AG27" s="90" t="s">
        <v>630</v>
      </c>
      <c r="AH27" s="91">
        <v>793000000</v>
      </c>
      <c r="AI27" s="91">
        <f t="shared" si="10"/>
        <v>842959</v>
      </c>
      <c r="AJ27" s="91">
        <v>0</v>
      </c>
      <c r="AM27" s="169"/>
      <c r="AW27" s="90" t="s">
        <v>438</v>
      </c>
      <c r="AX27" s="90" t="s">
        <v>335</v>
      </c>
      <c r="AY27" s="90" t="s">
        <v>488</v>
      </c>
      <c r="AZ27" s="90" t="s">
        <v>631</v>
      </c>
      <c r="BA27" s="91">
        <v>310000000</v>
      </c>
      <c r="BB27" s="91">
        <v>0</v>
      </c>
      <c r="BC27" s="91">
        <v>0</v>
      </c>
      <c r="BD27" s="91">
        <f t="shared" si="1"/>
        <v>329530</v>
      </c>
      <c r="BE27" s="91">
        <f t="shared" si="2"/>
        <v>0</v>
      </c>
      <c r="BF27" s="91">
        <f t="shared" si="3"/>
        <v>0</v>
      </c>
      <c r="BT27" s="87" t="s">
        <v>438</v>
      </c>
      <c r="BU27" s="87" t="s">
        <v>335</v>
      </c>
      <c r="BV27" s="87" t="s">
        <v>488</v>
      </c>
      <c r="BW27" s="87" t="s">
        <v>631</v>
      </c>
      <c r="BX27" s="304" t="s">
        <v>433</v>
      </c>
      <c r="BY27" s="88">
        <v>310000000</v>
      </c>
      <c r="BZ27" s="88">
        <v>0</v>
      </c>
      <c r="CA27" s="88">
        <v>0</v>
      </c>
      <c r="CB27" s="169">
        <f t="shared" si="12"/>
        <v>310000</v>
      </c>
      <c r="CC27" s="169">
        <f t="shared" si="13"/>
        <v>0</v>
      </c>
      <c r="CD27" s="169">
        <f t="shared" si="14"/>
        <v>0</v>
      </c>
      <c r="DI27" s="316" t="s">
        <v>438</v>
      </c>
      <c r="DJ27" s="316" t="s">
        <v>335</v>
      </c>
      <c r="DK27" s="316" t="s">
        <v>499</v>
      </c>
      <c r="DL27" s="316" t="s">
        <v>632</v>
      </c>
      <c r="DM27" s="80">
        <v>1759306000</v>
      </c>
      <c r="DN27" s="80">
        <v>0</v>
      </c>
      <c r="DO27" s="80">
        <v>0</v>
      </c>
      <c r="DP27" s="593">
        <f t="shared" si="21"/>
        <v>1759306</v>
      </c>
      <c r="DQ27" s="593">
        <f t="shared" si="22"/>
        <v>0</v>
      </c>
      <c r="DR27" s="593">
        <f t="shared" si="23"/>
        <v>0</v>
      </c>
      <c r="EI27" s="89" t="s">
        <v>460</v>
      </c>
      <c r="EJ27" s="89" t="s">
        <v>461</v>
      </c>
      <c r="EK27" s="89" t="s">
        <v>447</v>
      </c>
      <c r="EL27" s="89" t="s">
        <v>447</v>
      </c>
      <c r="EM27" s="89" t="s">
        <v>433</v>
      </c>
      <c r="EN27" s="89">
        <v>181473000</v>
      </c>
      <c r="EO27" s="89">
        <v>0</v>
      </c>
      <c r="EP27" s="89">
        <v>0</v>
      </c>
      <c r="EQ27" s="590">
        <f t="shared" si="27"/>
        <v>181473</v>
      </c>
      <c r="ER27" s="590">
        <f t="shared" si="28"/>
        <v>0</v>
      </c>
      <c r="ES27" s="590">
        <f t="shared" si="29"/>
        <v>0</v>
      </c>
      <c r="FK27" s="89" t="s">
        <v>460</v>
      </c>
      <c r="FL27" s="89" t="s">
        <v>461</v>
      </c>
      <c r="FM27" s="89" t="s">
        <v>447</v>
      </c>
      <c r="FN27" s="89" t="s">
        <v>447</v>
      </c>
      <c r="FO27" s="366" t="s">
        <v>433</v>
      </c>
      <c r="FP27" s="80">
        <v>181473000</v>
      </c>
      <c r="FQ27" s="80">
        <v>0</v>
      </c>
      <c r="FR27" s="80">
        <v>0</v>
      </c>
      <c r="FS27" s="566">
        <f t="shared" si="33"/>
        <v>181473</v>
      </c>
      <c r="FT27" s="566">
        <f t="shared" si="34"/>
        <v>0</v>
      </c>
      <c r="FU27" s="566">
        <f t="shared" si="35"/>
        <v>0</v>
      </c>
      <c r="GI27" s="679" t="s">
        <v>460</v>
      </c>
      <c r="GJ27" s="679" t="s">
        <v>461</v>
      </c>
      <c r="GK27" s="362" t="s">
        <v>447</v>
      </c>
      <c r="GL27" s="679" t="s">
        <v>447</v>
      </c>
      <c r="GM27" s="679" t="s">
        <v>433</v>
      </c>
      <c r="GN27" s="715">
        <v>181473000</v>
      </c>
      <c r="GO27" s="715">
        <v>0</v>
      </c>
      <c r="GP27" s="715">
        <v>0</v>
      </c>
      <c r="GQ27" s="716">
        <f t="shared" si="37"/>
        <v>181473</v>
      </c>
      <c r="GR27" s="716">
        <f t="shared" si="38"/>
        <v>0</v>
      </c>
      <c r="GS27" s="716">
        <f t="shared" si="39"/>
        <v>0</v>
      </c>
      <c r="HH27" s="775" t="s">
        <v>460</v>
      </c>
      <c r="HI27" s="775" t="s">
        <v>461</v>
      </c>
      <c r="HJ27" s="775" t="s">
        <v>447</v>
      </c>
      <c r="HK27" s="776" t="s">
        <v>447</v>
      </c>
      <c r="HL27" s="776" t="s">
        <v>433</v>
      </c>
      <c r="HM27" s="367">
        <v>181473000</v>
      </c>
      <c r="HN27" s="367">
        <v>0</v>
      </c>
      <c r="HO27" s="367">
        <v>0</v>
      </c>
      <c r="HP27" s="774">
        <f t="shared" si="41"/>
        <v>181473</v>
      </c>
      <c r="HQ27" s="774">
        <f t="shared" si="42"/>
        <v>0</v>
      </c>
      <c r="HR27" s="774">
        <f t="shared" si="43"/>
        <v>0</v>
      </c>
      <c r="HW27" s="776" t="s">
        <v>463</v>
      </c>
      <c r="HX27" s="776" t="s">
        <v>464</v>
      </c>
      <c r="HY27" s="776" t="s">
        <v>447</v>
      </c>
      <c r="HZ27" s="776" t="s">
        <v>447</v>
      </c>
      <c r="IA27" s="776" t="s">
        <v>433</v>
      </c>
      <c r="IB27" s="813">
        <v>111370686</v>
      </c>
      <c r="IC27" s="813">
        <v>0</v>
      </c>
      <c r="ID27" s="813">
        <v>0</v>
      </c>
      <c r="IE27" s="568">
        <f t="shared" si="44"/>
        <v>0</v>
      </c>
      <c r="II27" s="362" t="s">
        <v>508</v>
      </c>
      <c r="IJ27" s="362" t="s">
        <v>523</v>
      </c>
      <c r="IK27" s="362" t="s">
        <v>447</v>
      </c>
      <c r="IL27" s="362" t="s">
        <v>447</v>
      </c>
      <c r="IM27" s="679" t="s">
        <v>433</v>
      </c>
      <c r="IN27" s="248">
        <v>90486000</v>
      </c>
      <c r="IO27" s="248">
        <v>0</v>
      </c>
      <c r="IP27" s="248">
        <v>0</v>
      </c>
      <c r="IQ27" s="806">
        <f t="shared" si="45"/>
        <v>90486</v>
      </c>
      <c r="IR27" s="806">
        <f t="shared" si="46"/>
        <v>0</v>
      </c>
      <c r="IS27" s="806">
        <f t="shared" si="47"/>
        <v>0</v>
      </c>
      <c r="JG27" s="567" t="s">
        <v>434</v>
      </c>
      <c r="JH27" s="567" t="s">
        <v>307</v>
      </c>
      <c r="JI27" s="567" t="s">
        <v>458</v>
      </c>
      <c r="JJ27" s="567" t="s">
        <v>330</v>
      </c>
      <c r="JK27" s="567" t="s">
        <v>433</v>
      </c>
      <c r="JL27" s="80">
        <v>0</v>
      </c>
      <c r="JM27" s="80">
        <v>111361</v>
      </c>
      <c r="JN27" s="80">
        <v>111361</v>
      </c>
      <c r="JO27" s="169">
        <f t="shared" si="49"/>
        <v>0</v>
      </c>
      <c r="JP27" s="169">
        <f t="shared" si="50"/>
        <v>111.361</v>
      </c>
      <c r="JQ27" s="169">
        <f t="shared" si="51"/>
        <v>111.361</v>
      </c>
    </row>
    <row r="28" spans="1:277" ht="15" customHeight="1" x14ac:dyDescent="0.25">
      <c r="A28" s="92" t="s">
        <v>438</v>
      </c>
      <c r="B28" s="92" t="s">
        <v>335</v>
      </c>
      <c r="C28" s="92" t="s">
        <v>462</v>
      </c>
      <c r="D28" s="92" t="s">
        <v>633</v>
      </c>
      <c r="E28" s="93">
        <v>0</v>
      </c>
      <c r="F28" s="93">
        <f t="shared" si="7"/>
        <v>0</v>
      </c>
      <c r="G28" s="93">
        <v>0</v>
      </c>
      <c r="H28" s="93">
        <f t="shared" si="8"/>
        <v>0</v>
      </c>
      <c r="AD28" s="90" t="s">
        <v>438</v>
      </c>
      <c r="AE28" s="90" t="s">
        <v>335</v>
      </c>
      <c r="AF28" s="90" t="s">
        <v>488</v>
      </c>
      <c r="AG28" s="90" t="s">
        <v>631</v>
      </c>
      <c r="AH28" s="91">
        <v>310000000</v>
      </c>
      <c r="AI28" s="91">
        <f t="shared" si="10"/>
        <v>329530</v>
      </c>
      <c r="AJ28" s="91">
        <v>0</v>
      </c>
      <c r="AM28" s="169"/>
      <c r="AW28" s="90" t="s">
        <v>438</v>
      </c>
      <c r="AX28" s="90" t="s">
        <v>335</v>
      </c>
      <c r="AY28" s="90" t="s">
        <v>500</v>
      </c>
      <c r="AZ28" s="90" t="s">
        <v>489</v>
      </c>
      <c r="BA28" s="91">
        <v>0</v>
      </c>
      <c r="BB28" s="91">
        <v>0</v>
      </c>
      <c r="BC28" s="91">
        <v>0</v>
      </c>
      <c r="BD28" s="91">
        <f t="shared" si="1"/>
        <v>0</v>
      </c>
      <c r="BE28" s="91">
        <f t="shared" si="2"/>
        <v>0</v>
      </c>
      <c r="BF28" s="91">
        <f t="shared" si="3"/>
        <v>0</v>
      </c>
      <c r="BT28" s="87" t="s">
        <v>438</v>
      </c>
      <c r="BU28" s="87" t="s">
        <v>335</v>
      </c>
      <c r="BV28" s="87" t="s">
        <v>500</v>
      </c>
      <c r="BW28" s="87" t="s">
        <v>489</v>
      </c>
      <c r="BX28" s="304" t="s">
        <v>433</v>
      </c>
      <c r="BY28" s="88">
        <v>0</v>
      </c>
      <c r="BZ28" s="88">
        <v>0</v>
      </c>
      <c r="CA28" s="88">
        <v>0</v>
      </c>
      <c r="CB28" s="169">
        <f t="shared" si="12"/>
        <v>0</v>
      </c>
      <c r="CC28" s="169">
        <f t="shared" si="13"/>
        <v>0</v>
      </c>
      <c r="CD28" s="169">
        <f t="shared" si="14"/>
        <v>0</v>
      </c>
      <c r="DI28" s="316" t="s">
        <v>438</v>
      </c>
      <c r="DJ28" s="316" t="s">
        <v>335</v>
      </c>
      <c r="DK28" s="316" t="s">
        <v>629</v>
      </c>
      <c r="DL28" s="316" t="s">
        <v>630</v>
      </c>
      <c r="DM28" s="80">
        <v>793000000</v>
      </c>
      <c r="DN28" s="80">
        <v>0</v>
      </c>
      <c r="DO28" s="80">
        <v>0</v>
      </c>
      <c r="DP28" s="593">
        <f t="shared" si="21"/>
        <v>793000</v>
      </c>
      <c r="DQ28" s="593">
        <f t="shared" si="22"/>
        <v>0</v>
      </c>
      <c r="DR28" s="593">
        <f t="shared" si="23"/>
        <v>0</v>
      </c>
      <c r="EI28" s="89" t="s">
        <v>438</v>
      </c>
      <c r="EJ28" s="89" t="s">
        <v>335</v>
      </c>
      <c r="EK28" s="89" t="s">
        <v>499</v>
      </c>
      <c r="EL28" s="89" t="s">
        <v>632</v>
      </c>
      <c r="EM28" s="89" t="s">
        <v>433</v>
      </c>
      <c r="EN28" s="89">
        <v>1601598000</v>
      </c>
      <c r="EO28" s="89">
        <v>0</v>
      </c>
      <c r="EP28" s="89">
        <v>0</v>
      </c>
      <c r="EQ28" s="590">
        <f t="shared" si="27"/>
        <v>1601598</v>
      </c>
      <c r="ER28" s="590">
        <f t="shared" si="28"/>
        <v>0</v>
      </c>
      <c r="ES28" s="590">
        <f t="shared" si="29"/>
        <v>0</v>
      </c>
      <c r="FK28" s="89" t="s">
        <v>438</v>
      </c>
      <c r="FL28" s="89" t="s">
        <v>335</v>
      </c>
      <c r="FM28" s="89" t="s">
        <v>499</v>
      </c>
      <c r="FN28" s="89" t="s">
        <v>632</v>
      </c>
      <c r="FO28" s="366" t="s">
        <v>433</v>
      </c>
      <c r="FP28" s="80">
        <v>2141598000</v>
      </c>
      <c r="FQ28" s="80">
        <v>0</v>
      </c>
      <c r="FR28" s="80">
        <v>0</v>
      </c>
      <c r="FS28" s="566">
        <f t="shared" si="33"/>
        <v>2141598</v>
      </c>
      <c r="FT28" s="566">
        <f t="shared" si="34"/>
        <v>0</v>
      </c>
      <c r="FU28" s="566">
        <f t="shared" si="35"/>
        <v>0</v>
      </c>
      <c r="GI28" s="679" t="s">
        <v>438</v>
      </c>
      <c r="GJ28" s="679" t="s">
        <v>335</v>
      </c>
      <c r="GK28" s="362" t="s">
        <v>499</v>
      </c>
      <c r="GL28" s="679" t="s">
        <v>632</v>
      </c>
      <c r="GM28" s="679" t="s">
        <v>433</v>
      </c>
      <c r="GN28" s="715">
        <v>2141598000</v>
      </c>
      <c r="GO28" s="715">
        <v>0</v>
      </c>
      <c r="GP28" s="715">
        <v>0</v>
      </c>
      <c r="GQ28" s="716">
        <f t="shared" si="37"/>
        <v>2141598</v>
      </c>
      <c r="GR28" s="716">
        <f t="shared" si="38"/>
        <v>0</v>
      </c>
      <c r="GS28" s="716">
        <f t="shared" si="39"/>
        <v>0</v>
      </c>
      <c r="HH28" s="775" t="s">
        <v>460</v>
      </c>
      <c r="HI28" s="775" t="s">
        <v>461</v>
      </c>
      <c r="HJ28" s="775" t="s">
        <v>447</v>
      </c>
      <c r="HK28" s="776" t="s">
        <v>447</v>
      </c>
      <c r="HL28" s="776" t="s">
        <v>433</v>
      </c>
      <c r="HM28" s="367">
        <v>0</v>
      </c>
      <c r="HN28" s="367">
        <v>71685585</v>
      </c>
      <c r="HO28" s="367">
        <v>0</v>
      </c>
      <c r="HP28" s="774">
        <f t="shared" si="41"/>
        <v>0</v>
      </c>
      <c r="HQ28" s="774">
        <f t="shared" si="42"/>
        <v>71685.585000000006</v>
      </c>
      <c r="HR28" s="774">
        <f t="shared" si="43"/>
        <v>0</v>
      </c>
      <c r="HW28" s="776" t="s">
        <v>463</v>
      </c>
      <c r="HX28" s="776" t="s">
        <v>464</v>
      </c>
      <c r="HY28" s="776" t="s">
        <v>447</v>
      </c>
      <c r="HZ28" s="776" t="s">
        <v>447</v>
      </c>
      <c r="IA28" s="776" t="s">
        <v>433</v>
      </c>
      <c r="IB28" s="813">
        <v>0</v>
      </c>
      <c r="IC28" s="813">
        <v>44693279</v>
      </c>
      <c r="ID28" s="813">
        <v>242761479</v>
      </c>
      <c r="IE28" s="568">
        <f t="shared" si="44"/>
        <v>242761.47899999999</v>
      </c>
      <c r="II28" s="362" t="s">
        <v>508</v>
      </c>
      <c r="IJ28" s="362" t="s">
        <v>523</v>
      </c>
      <c r="IK28" s="362" t="s">
        <v>447</v>
      </c>
      <c r="IL28" s="362" t="s">
        <v>447</v>
      </c>
      <c r="IM28" s="679" t="s">
        <v>433</v>
      </c>
      <c r="IN28" s="248">
        <v>0</v>
      </c>
      <c r="IO28" s="248">
        <v>56493360</v>
      </c>
      <c r="IP28" s="248">
        <v>40537200</v>
      </c>
      <c r="IQ28" s="806">
        <f t="shared" si="45"/>
        <v>0</v>
      </c>
      <c r="IR28" s="806">
        <f t="shared" si="46"/>
        <v>56493.36</v>
      </c>
      <c r="IS28" s="806">
        <f t="shared" si="47"/>
        <v>40537.199999999997</v>
      </c>
      <c r="JG28" s="567" t="s">
        <v>508</v>
      </c>
      <c r="JH28" s="567" t="s">
        <v>523</v>
      </c>
      <c r="JI28" s="567" t="s">
        <v>447</v>
      </c>
      <c r="JJ28" s="567" t="s">
        <v>447</v>
      </c>
      <c r="JK28" s="567" t="s">
        <v>433</v>
      </c>
      <c r="JL28" s="80">
        <v>90486000</v>
      </c>
      <c r="JM28" s="80">
        <v>0</v>
      </c>
      <c r="JN28" s="80">
        <v>0</v>
      </c>
      <c r="JO28" s="169">
        <f t="shared" si="49"/>
        <v>90486</v>
      </c>
      <c r="JP28" s="169">
        <f t="shared" si="50"/>
        <v>0</v>
      </c>
      <c r="JQ28" s="169">
        <f t="shared" si="51"/>
        <v>0</v>
      </c>
    </row>
    <row r="29" spans="1:277" ht="15" customHeight="1" x14ac:dyDescent="0.25">
      <c r="A29" s="92" t="s">
        <v>438</v>
      </c>
      <c r="B29" s="92" t="s">
        <v>335</v>
      </c>
      <c r="C29" s="92" t="s">
        <v>499</v>
      </c>
      <c r="D29" s="92" t="s">
        <v>632</v>
      </c>
      <c r="E29" s="93">
        <v>0</v>
      </c>
      <c r="F29" s="93">
        <f t="shared" si="7"/>
        <v>0</v>
      </c>
      <c r="G29" s="93">
        <v>54000000</v>
      </c>
      <c r="H29" s="93">
        <f t="shared" si="8"/>
        <v>57402</v>
      </c>
      <c r="AD29" s="90" t="s">
        <v>438</v>
      </c>
      <c r="AE29" s="90" t="s">
        <v>335</v>
      </c>
      <c r="AF29" s="90" t="s">
        <v>462</v>
      </c>
      <c r="AG29" s="90" t="s">
        <v>633</v>
      </c>
      <c r="AH29" s="91">
        <v>160000000</v>
      </c>
      <c r="AI29" s="91">
        <f t="shared" si="10"/>
        <v>170080</v>
      </c>
      <c r="AJ29" s="91">
        <v>0</v>
      </c>
      <c r="AM29" s="169"/>
      <c r="AW29" s="90" t="s">
        <v>438</v>
      </c>
      <c r="AX29" s="90" t="s">
        <v>335</v>
      </c>
      <c r="AY29" s="90" t="s">
        <v>462</v>
      </c>
      <c r="AZ29" s="90" t="s">
        <v>633</v>
      </c>
      <c r="BA29" s="91">
        <v>160000000</v>
      </c>
      <c r="BB29" s="91">
        <v>0</v>
      </c>
      <c r="BC29" s="91">
        <v>0</v>
      </c>
      <c r="BD29" s="91">
        <f t="shared" si="1"/>
        <v>170080</v>
      </c>
      <c r="BE29" s="91">
        <f t="shared" si="2"/>
        <v>0</v>
      </c>
      <c r="BF29" s="91">
        <f t="shared" si="3"/>
        <v>0</v>
      </c>
      <c r="BT29" s="87" t="s">
        <v>438</v>
      </c>
      <c r="BU29" s="87" t="s">
        <v>335</v>
      </c>
      <c r="BV29" s="87" t="s">
        <v>462</v>
      </c>
      <c r="BW29" s="87" t="s">
        <v>633</v>
      </c>
      <c r="BX29" s="304" t="s">
        <v>433</v>
      </c>
      <c r="BY29" s="88">
        <v>175000000</v>
      </c>
      <c r="BZ29" s="88">
        <v>0</v>
      </c>
      <c r="CA29" s="88">
        <v>0</v>
      </c>
      <c r="CB29" s="169">
        <f t="shared" si="12"/>
        <v>175000</v>
      </c>
      <c r="CC29" s="169">
        <f t="shared" si="13"/>
        <v>0</v>
      </c>
      <c r="CD29" s="169">
        <f t="shared" si="14"/>
        <v>0</v>
      </c>
      <c r="DI29" s="316" t="s">
        <v>438</v>
      </c>
      <c r="DJ29" s="316" t="s">
        <v>335</v>
      </c>
      <c r="DK29" s="316" t="s">
        <v>488</v>
      </c>
      <c r="DL29" s="316" t="s">
        <v>631</v>
      </c>
      <c r="DM29" s="80">
        <v>310000000</v>
      </c>
      <c r="DN29" s="80">
        <v>0</v>
      </c>
      <c r="DO29" s="80">
        <v>0</v>
      </c>
      <c r="DP29" s="593">
        <f t="shared" si="21"/>
        <v>310000</v>
      </c>
      <c r="DQ29" s="593">
        <f t="shared" si="22"/>
        <v>0</v>
      </c>
      <c r="DR29" s="593">
        <f t="shared" si="23"/>
        <v>0</v>
      </c>
      <c r="EI29" s="89" t="s">
        <v>438</v>
      </c>
      <c r="EJ29" s="89" t="s">
        <v>335</v>
      </c>
      <c r="EK29" s="89" t="s">
        <v>629</v>
      </c>
      <c r="EL29" s="89" t="s">
        <v>630</v>
      </c>
      <c r="EM29" s="89" t="s">
        <v>433</v>
      </c>
      <c r="EN29" s="89">
        <v>793000000</v>
      </c>
      <c r="EO29" s="89">
        <v>0</v>
      </c>
      <c r="EP29" s="89">
        <v>0</v>
      </c>
      <c r="EQ29" s="590">
        <f t="shared" si="27"/>
        <v>793000</v>
      </c>
      <c r="ER29" s="590">
        <f t="shared" si="28"/>
        <v>0</v>
      </c>
      <c r="ES29" s="590">
        <f t="shared" si="29"/>
        <v>0</v>
      </c>
      <c r="FK29" s="89" t="s">
        <v>438</v>
      </c>
      <c r="FL29" s="89" t="s">
        <v>335</v>
      </c>
      <c r="FM29" s="89" t="s">
        <v>488</v>
      </c>
      <c r="FN29" s="89" t="s">
        <v>631</v>
      </c>
      <c r="FO29" s="366" t="s">
        <v>433</v>
      </c>
      <c r="FP29" s="80">
        <v>310000000</v>
      </c>
      <c r="FQ29" s="80">
        <v>0</v>
      </c>
      <c r="FR29" s="80">
        <v>0</v>
      </c>
      <c r="FS29" s="566">
        <f t="shared" si="33"/>
        <v>310000</v>
      </c>
      <c r="FT29" s="566">
        <f t="shared" si="34"/>
        <v>0</v>
      </c>
      <c r="FU29" s="566">
        <f t="shared" si="35"/>
        <v>0</v>
      </c>
      <c r="GI29" s="679" t="s">
        <v>438</v>
      </c>
      <c r="GJ29" s="679" t="s">
        <v>335</v>
      </c>
      <c r="GK29" s="362" t="s">
        <v>488</v>
      </c>
      <c r="GL29" s="679" t="s">
        <v>631</v>
      </c>
      <c r="GM29" s="679" t="s">
        <v>433</v>
      </c>
      <c r="GN29" s="715">
        <v>310000000</v>
      </c>
      <c r="GO29" s="715">
        <v>0</v>
      </c>
      <c r="GP29" s="715">
        <v>0</v>
      </c>
      <c r="GQ29" s="716">
        <f t="shared" si="37"/>
        <v>310000</v>
      </c>
      <c r="GR29" s="716">
        <f t="shared" si="38"/>
        <v>0</v>
      </c>
      <c r="GS29" s="716">
        <f t="shared" si="39"/>
        <v>0</v>
      </c>
      <c r="HH29" s="775" t="s">
        <v>438</v>
      </c>
      <c r="HI29" s="775" t="s">
        <v>335</v>
      </c>
      <c r="HJ29" s="775" t="s">
        <v>499</v>
      </c>
      <c r="HK29" s="776" t="s">
        <v>632</v>
      </c>
      <c r="HL29" s="776" t="s">
        <v>433</v>
      </c>
      <c r="HM29" s="367">
        <v>2141598000</v>
      </c>
      <c r="HN29" s="367">
        <v>0</v>
      </c>
      <c r="HO29" s="367">
        <v>0</v>
      </c>
      <c r="HP29" s="774">
        <f t="shared" si="41"/>
        <v>2141598</v>
      </c>
      <c r="HQ29" s="774">
        <f t="shared" si="42"/>
        <v>0</v>
      </c>
      <c r="HR29" s="774">
        <f t="shared" si="43"/>
        <v>0</v>
      </c>
      <c r="HW29" s="776" t="s">
        <v>465</v>
      </c>
      <c r="HX29" s="776" t="s">
        <v>466</v>
      </c>
      <c r="HY29" s="776" t="s">
        <v>447</v>
      </c>
      <c r="HZ29" s="776" t="s">
        <v>447</v>
      </c>
      <c r="IA29" s="776" t="s">
        <v>433</v>
      </c>
      <c r="IB29" s="813">
        <v>0</v>
      </c>
      <c r="IC29" s="813">
        <v>15000000</v>
      </c>
      <c r="ID29" s="813">
        <v>35201377</v>
      </c>
      <c r="IE29" s="568">
        <f t="shared" si="44"/>
        <v>35201.377</v>
      </c>
      <c r="II29" s="362" t="s">
        <v>460</v>
      </c>
      <c r="IJ29" s="362" t="s">
        <v>461</v>
      </c>
      <c r="IK29" s="362" t="s">
        <v>447</v>
      </c>
      <c r="IL29" s="362" t="s">
        <v>447</v>
      </c>
      <c r="IM29" s="679" t="s">
        <v>433</v>
      </c>
      <c r="IN29" s="248">
        <v>181473000</v>
      </c>
      <c r="IO29" s="248">
        <v>0</v>
      </c>
      <c r="IP29" s="248">
        <v>0</v>
      </c>
      <c r="IQ29" s="806">
        <f t="shared" si="45"/>
        <v>181473</v>
      </c>
      <c r="IR29" s="806">
        <f t="shared" si="46"/>
        <v>0</v>
      </c>
      <c r="IS29" s="806">
        <f t="shared" si="47"/>
        <v>0</v>
      </c>
      <c r="JG29" s="567" t="s">
        <v>508</v>
      </c>
      <c r="JH29" s="567" t="s">
        <v>523</v>
      </c>
      <c r="JI29" s="567" t="s">
        <v>447</v>
      </c>
      <c r="JJ29" s="567" t="s">
        <v>447</v>
      </c>
      <c r="JK29" s="567" t="s">
        <v>433</v>
      </c>
      <c r="JL29" s="80">
        <v>0</v>
      </c>
      <c r="JM29" s="80">
        <v>68886360</v>
      </c>
      <c r="JN29" s="80">
        <v>46171360</v>
      </c>
      <c r="JO29" s="169">
        <f t="shared" si="49"/>
        <v>0</v>
      </c>
      <c r="JP29" s="169">
        <f t="shared" si="50"/>
        <v>68886.36</v>
      </c>
      <c r="JQ29" s="169">
        <f t="shared" si="51"/>
        <v>46171.360000000001</v>
      </c>
    </row>
    <row r="30" spans="1:277" ht="15" customHeight="1" x14ac:dyDescent="0.25">
      <c r="A30" s="92" t="s">
        <v>438</v>
      </c>
      <c r="B30" s="92" t="s">
        <v>335</v>
      </c>
      <c r="C30" s="92" t="s">
        <v>447</v>
      </c>
      <c r="D30" s="92" t="s">
        <v>447</v>
      </c>
      <c r="E30" s="93">
        <v>0</v>
      </c>
      <c r="F30" s="93">
        <f t="shared" si="7"/>
        <v>0</v>
      </c>
      <c r="G30" s="93">
        <v>0</v>
      </c>
      <c r="H30" s="93">
        <f t="shared" si="8"/>
        <v>0</v>
      </c>
      <c r="AD30" s="90" t="s">
        <v>438</v>
      </c>
      <c r="AE30" s="90" t="s">
        <v>335</v>
      </c>
      <c r="AF30" s="90" t="s">
        <v>439</v>
      </c>
      <c r="AG30" s="90" t="s">
        <v>492</v>
      </c>
      <c r="AH30" s="91">
        <v>120000000</v>
      </c>
      <c r="AI30" s="91">
        <f t="shared" si="10"/>
        <v>127560</v>
      </c>
      <c r="AJ30" s="91">
        <v>0</v>
      </c>
      <c r="AM30" s="169"/>
      <c r="AW30" s="90" t="s">
        <v>438</v>
      </c>
      <c r="AX30" s="90" t="s">
        <v>335</v>
      </c>
      <c r="AY30" s="90" t="s">
        <v>462</v>
      </c>
      <c r="AZ30" s="90" t="s">
        <v>633</v>
      </c>
      <c r="BA30" s="91">
        <v>0</v>
      </c>
      <c r="BB30" s="91">
        <v>149000000</v>
      </c>
      <c r="BC30" s="91">
        <v>149000000</v>
      </c>
      <c r="BD30" s="91">
        <f t="shared" si="1"/>
        <v>0</v>
      </c>
      <c r="BE30" s="91">
        <f t="shared" si="2"/>
        <v>158387</v>
      </c>
      <c r="BF30" s="91">
        <f t="shared" si="3"/>
        <v>158387</v>
      </c>
      <c r="BT30" s="87" t="s">
        <v>438</v>
      </c>
      <c r="BU30" s="87" t="s">
        <v>335</v>
      </c>
      <c r="BV30" s="87" t="s">
        <v>462</v>
      </c>
      <c r="BW30" s="87" t="s">
        <v>633</v>
      </c>
      <c r="BX30" s="304" t="s">
        <v>433</v>
      </c>
      <c r="BY30" s="88">
        <v>0</v>
      </c>
      <c r="BZ30" s="88">
        <v>149000000</v>
      </c>
      <c r="CA30" s="88">
        <v>149000000</v>
      </c>
      <c r="CB30" s="169">
        <f t="shared" si="12"/>
        <v>0</v>
      </c>
      <c r="CC30" s="169">
        <f t="shared" si="13"/>
        <v>149000</v>
      </c>
      <c r="CD30" s="169">
        <f t="shared" si="14"/>
        <v>149000</v>
      </c>
      <c r="DI30" s="316" t="s">
        <v>438</v>
      </c>
      <c r="DJ30" s="316" t="s">
        <v>335</v>
      </c>
      <c r="DK30" s="316" t="s">
        <v>462</v>
      </c>
      <c r="DL30" s="316" t="s">
        <v>633</v>
      </c>
      <c r="DM30" s="80">
        <v>175000000</v>
      </c>
      <c r="DN30" s="80">
        <v>0</v>
      </c>
      <c r="DO30" s="80">
        <v>0</v>
      </c>
      <c r="DP30" s="593">
        <f t="shared" si="21"/>
        <v>175000</v>
      </c>
      <c r="DQ30" s="593">
        <f t="shared" si="22"/>
        <v>0</v>
      </c>
      <c r="DR30" s="593">
        <f t="shared" si="23"/>
        <v>0</v>
      </c>
      <c r="EI30" s="89" t="s">
        <v>438</v>
      </c>
      <c r="EJ30" s="89" t="s">
        <v>335</v>
      </c>
      <c r="EK30" s="89" t="s">
        <v>488</v>
      </c>
      <c r="EL30" s="89" t="s">
        <v>631</v>
      </c>
      <c r="EM30" s="89" t="s">
        <v>433</v>
      </c>
      <c r="EN30" s="89">
        <v>310000000</v>
      </c>
      <c r="EO30" s="89">
        <v>0</v>
      </c>
      <c r="EP30" s="89">
        <v>0</v>
      </c>
      <c r="EQ30" s="590">
        <f t="shared" si="27"/>
        <v>310000</v>
      </c>
      <c r="ER30" s="590">
        <f t="shared" si="28"/>
        <v>0</v>
      </c>
      <c r="ES30" s="590">
        <f t="shared" si="29"/>
        <v>0</v>
      </c>
      <c r="FK30" s="89" t="s">
        <v>438</v>
      </c>
      <c r="FL30" s="89" t="s">
        <v>335</v>
      </c>
      <c r="FM30" s="89" t="s">
        <v>462</v>
      </c>
      <c r="FN30" s="89" t="s">
        <v>633</v>
      </c>
      <c r="FO30" s="366" t="s">
        <v>433</v>
      </c>
      <c r="FP30" s="80">
        <v>285000000</v>
      </c>
      <c r="FQ30" s="80">
        <v>0</v>
      </c>
      <c r="FR30" s="80">
        <v>0</v>
      </c>
      <c r="FS30" s="566">
        <f t="shared" si="33"/>
        <v>285000</v>
      </c>
      <c r="FT30" s="566">
        <f t="shared" si="34"/>
        <v>0</v>
      </c>
      <c r="FU30" s="566">
        <f t="shared" si="35"/>
        <v>0</v>
      </c>
      <c r="GI30" s="679" t="s">
        <v>438</v>
      </c>
      <c r="GJ30" s="679" t="s">
        <v>335</v>
      </c>
      <c r="GK30" s="362" t="s">
        <v>462</v>
      </c>
      <c r="GL30" s="679" t="s">
        <v>633</v>
      </c>
      <c r="GM30" s="679" t="s">
        <v>433</v>
      </c>
      <c r="GN30" s="715">
        <v>285000000</v>
      </c>
      <c r="GO30" s="715">
        <v>0</v>
      </c>
      <c r="GP30" s="715">
        <v>0</v>
      </c>
      <c r="GQ30" s="716">
        <f t="shared" si="37"/>
        <v>285000</v>
      </c>
      <c r="GR30" s="716">
        <f t="shared" si="38"/>
        <v>0</v>
      </c>
      <c r="GS30" s="716">
        <f t="shared" si="39"/>
        <v>0</v>
      </c>
      <c r="HH30" s="775" t="s">
        <v>438</v>
      </c>
      <c r="HI30" s="775" t="s">
        <v>335</v>
      </c>
      <c r="HJ30" s="775" t="s">
        <v>488</v>
      </c>
      <c r="HK30" s="776" t="s">
        <v>631</v>
      </c>
      <c r="HL30" s="776" t="s">
        <v>433</v>
      </c>
      <c r="HM30" s="367">
        <v>310000000</v>
      </c>
      <c r="HN30" s="367">
        <v>0</v>
      </c>
      <c r="HO30" s="367">
        <v>0</v>
      </c>
      <c r="HP30" s="774">
        <f t="shared" si="41"/>
        <v>310000</v>
      </c>
      <c r="HQ30" s="774">
        <f t="shared" si="42"/>
        <v>0</v>
      </c>
      <c r="HR30" s="774">
        <f t="shared" si="43"/>
        <v>0</v>
      </c>
      <c r="HW30" s="776" t="s">
        <v>465</v>
      </c>
      <c r="HX30" s="776" t="s">
        <v>466</v>
      </c>
      <c r="HY30" s="776" t="s">
        <v>447</v>
      </c>
      <c r="HZ30" s="776" t="s">
        <v>447</v>
      </c>
      <c r="IA30" s="776" t="s">
        <v>433</v>
      </c>
      <c r="IB30" s="813">
        <v>-30422186</v>
      </c>
      <c r="IC30" s="813">
        <v>0</v>
      </c>
      <c r="ID30" s="813">
        <v>0</v>
      </c>
      <c r="IE30" s="568">
        <f t="shared" si="44"/>
        <v>0</v>
      </c>
      <c r="II30" s="362" t="s">
        <v>460</v>
      </c>
      <c r="IJ30" s="362" t="s">
        <v>461</v>
      </c>
      <c r="IK30" s="362" t="s">
        <v>447</v>
      </c>
      <c r="IL30" s="362" t="s">
        <v>447</v>
      </c>
      <c r="IM30" s="679" t="s">
        <v>433</v>
      </c>
      <c r="IN30" s="248">
        <v>0</v>
      </c>
      <c r="IO30" s="248">
        <v>91935585</v>
      </c>
      <c r="IP30" s="248">
        <v>0</v>
      </c>
      <c r="IQ30" s="806">
        <f t="shared" si="45"/>
        <v>0</v>
      </c>
      <c r="IR30" s="806">
        <f t="shared" si="46"/>
        <v>91935.585000000006</v>
      </c>
      <c r="IS30" s="806">
        <f t="shared" si="47"/>
        <v>0</v>
      </c>
      <c r="JG30" s="567" t="s">
        <v>460</v>
      </c>
      <c r="JH30" s="567" t="s">
        <v>461</v>
      </c>
      <c r="JI30" s="567" t="s">
        <v>447</v>
      </c>
      <c r="JJ30" s="567" t="s">
        <v>447</v>
      </c>
      <c r="JK30" s="567" t="s">
        <v>433</v>
      </c>
      <c r="JL30" s="80">
        <v>181473000</v>
      </c>
      <c r="JM30" s="80">
        <v>0</v>
      </c>
      <c r="JN30" s="80">
        <v>0</v>
      </c>
      <c r="JO30" s="169">
        <f t="shared" si="49"/>
        <v>181473</v>
      </c>
      <c r="JP30" s="169">
        <f t="shared" si="50"/>
        <v>0</v>
      </c>
      <c r="JQ30" s="169">
        <f t="shared" si="51"/>
        <v>0</v>
      </c>
    </row>
    <row r="31" spans="1:277" ht="15" customHeight="1" x14ac:dyDescent="0.25">
      <c r="A31" s="92" t="s">
        <v>463</v>
      </c>
      <c r="B31" s="92" t="s">
        <v>464</v>
      </c>
      <c r="C31" s="92" t="s">
        <v>447</v>
      </c>
      <c r="D31" s="92" t="s">
        <v>447</v>
      </c>
      <c r="E31" s="93">
        <v>520000000</v>
      </c>
      <c r="F31" s="93">
        <f t="shared" si="7"/>
        <v>552760</v>
      </c>
      <c r="G31" s="93">
        <v>0</v>
      </c>
      <c r="H31" s="93">
        <f t="shared" si="8"/>
        <v>0</v>
      </c>
      <c r="AD31" s="90" t="s">
        <v>438</v>
      </c>
      <c r="AE31" s="90" t="s">
        <v>335</v>
      </c>
      <c r="AF31" s="90" t="s">
        <v>462</v>
      </c>
      <c r="AG31" s="90" t="s">
        <v>633</v>
      </c>
      <c r="AH31" s="91">
        <v>0</v>
      </c>
      <c r="AI31" s="91">
        <f t="shared" si="10"/>
        <v>0</v>
      </c>
      <c r="AJ31" s="91">
        <v>149000000</v>
      </c>
      <c r="AM31" s="169"/>
      <c r="AW31" s="90" t="s">
        <v>438</v>
      </c>
      <c r="AX31" s="90" t="s">
        <v>335</v>
      </c>
      <c r="AY31" s="90" t="s">
        <v>499</v>
      </c>
      <c r="AZ31" s="90" t="s">
        <v>632</v>
      </c>
      <c r="BA31" s="91">
        <v>1000906000</v>
      </c>
      <c r="BB31" s="91">
        <v>0</v>
      </c>
      <c r="BC31" s="91">
        <v>0</v>
      </c>
      <c r="BD31" s="91">
        <f t="shared" si="1"/>
        <v>1063963.078</v>
      </c>
      <c r="BE31" s="91">
        <f t="shared" si="2"/>
        <v>0</v>
      </c>
      <c r="BF31" s="91">
        <f t="shared" si="3"/>
        <v>0</v>
      </c>
      <c r="BT31" s="87" t="s">
        <v>438</v>
      </c>
      <c r="BU31" s="87" t="s">
        <v>335</v>
      </c>
      <c r="BV31" s="87" t="s">
        <v>499</v>
      </c>
      <c r="BW31" s="87" t="s">
        <v>632</v>
      </c>
      <c r="BX31" s="304" t="s">
        <v>433</v>
      </c>
      <c r="BY31" s="88">
        <v>985906000</v>
      </c>
      <c r="BZ31" s="88">
        <v>0</v>
      </c>
      <c r="CA31" s="88">
        <v>0</v>
      </c>
      <c r="CB31" s="169">
        <f t="shared" si="12"/>
        <v>985906</v>
      </c>
      <c r="CC31" s="169">
        <f t="shared" si="13"/>
        <v>0</v>
      </c>
      <c r="CD31" s="169">
        <f t="shared" si="14"/>
        <v>0</v>
      </c>
      <c r="DI31" s="316" t="s">
        <v>438</v>
      </c>
      <c r="DJ31" s="316" t="s">
        <v>335</v>
      </c>
      <c r="DK31" s="316" t="s">
        <v>439</v>
      </c>
      <c r="DL31" s="316" t="s">
        <v>492</v>
      </c>
      <c r="DM31" s="80">
        <v>120000000</v>
      </c>
      <c r="DN31" s="80">
        <v>0</v>
      </c>
      <c r="DO31" s="80">
        <v>0</v>
      </c>
      <c r="DP31" s="593">
        <f t="shared" si="21"/>
        <v>120000</v>
      </c>
      <c r="DQ31" s="593">
        <f t="shared" si="22"/>
        <v>0</v>
      </c>
      <c r="DR31" s="593">
        <f t="shared" si="23"/>
        <v>0</v>
      </c>
      <c r="EI31" s="89" t="s">
        <v>438</v>
      </c>
      <c r="EJ31" s="89" t="s">
        <v>335</v>
      </c>
      <c r="EK31" s="89" t="s">
        <v>462</v>
      </c>
      <c r="EL31" s="89" t="s">
        <v>633</v>
      </c>
      <c r="EM31" s="89" t="s">
        <v>433</v>
      </c>
      <c r="EN31" s="89">
        <v>175000000</v>
      </c>
      <c r="EO31" s="89">
        <v>0</v>
      </c>
      <c r="EP31" s="89">
        <v>0</v>
      </c>
      <c r="EQ31" s="590">
        <f t="shared" si="27"/>
        <v>175000</v>
      </c>
      <c r="ER31" s="590">
        <f t="shared" si="28"/>
        <v>0</v>
      </c>
      <c r="ES31" s="590">
        <f t="shared" si="29"/>
        <v>0</v>
      </c>
      <c r="FK31" s="89" t="s">
        <v>438</v>
      </c>
      <c r="FL31" s="89" t="s">
        <v>335</v>
      </c>
      <c r="FM31" s="89" t="s">
        <v>629</v>
      </c>
      <c r="FN31" s="89" t="s">
        <v>630</v>
      </c>
      <c r="FO31" s="366" t="s">
        <v>433</v>
      </c>
      <c r="FP31" s="80">
        <v>143000000</v>
      </c>
      <c r="FQ31" s="80">
        <v>0</v>
      </c>
      <c r="FR31" s="80">
        <v>0</v>
      </c>
      <c r="FS31" s="566">
        <f t="shared" si="33"/>
        <v>143000</v>
      </c>
      <c r="FT31" s="566">
        <f t="shared" si="34"/>
        <v>0</v>
      </c>
      <c r="FU31" s="566">
        <f t="shared" si="35"/>
        <v>0</v>
      </c>
      <c r="GI31" s="679" t="s">
        <v>438</v>
      </c>
      <c r="GJ31" s="679" t="s">
        <v>335</v>
      </c>
      <c r="GK31" s="362" t="s">
        <v>629</v>
      </c>
      <c r="GL31" s="679" t="s">
        <v>630</v>
      </c>
      <c r="GM31" s="679" t="s">
        <v>433</v>
      </c>
      <c r="GN31" s="715">
        <v>143000000</v>
      </c>
      <c r="GO31" s="715">
        <v>0</v>
      </c>
      <c r="GP31" s="715">
        <v>0</v>
      </c>
      <c r="GQ31" s="716">
        <f t="shared" si="37"/>
        <v>143000</v>
      </c>
      <c r="GR31" s="716">
        <f t="shared" si="38"/>
        <v>0</v>
      </c>
      <c r="GS31" s="716">
        <f t="shared" si="39"/>
        <v>0</v>
      </c>
      <c r="HH31" s="775" t="s">
        <v>438</v>
      </c>
      <c r="HI31" s="775" t="s">
        <v>335</v>
      </c>
      <c r="HJ31" s="775" t="s">
        <v>462</v>
      </c>
      <c r="HK31" s="776" t="s">
        <v>633</v>
      </c>
      <c r="HL31" s="776" t="s">
        <v>433</v>
      </c>
      <c r="HM31" s="367">
        <v>285000000</v>
      </c>
      <c r="HN31" s="367">
        <v>0</v>
      </c>
      <c r="HO31" s="367">
        <v>0</v>
      </c>
      <c r="HP31" s="774">
        <f t="shared" si="41"/>
        <v>285000</v>
      </c>
      <c r="HQ31" s="774">
        <f t="shared" si="42"/>
        <v>0</v>
      </c>
      <c r="HR31" s="774">
        <f t="shared" si="43"/>
        <v>0</v>
      </c>
      <c r="HW31" s="776" t="s">
        <v>534</v>
      </c>
      <c r="HX31" s="776" t="s">
        <v>537</v>
      </c>
      <c r="HY31" s="776" t="s">
        <v>447</v>
      </c>
      <c r="HZ31" s="776" t="s">
        <v>447</v>
      </c>
      <c r="IA31" s="776" t="s">
        <v>433</v>
      </c>
      <c r="IB31" s="813">
        <v>0</v>
      </c>
      <c r="IC31" s="813">
        <v>0</v>
      </c>
      <c r="ID31" s="813">
        <v>0</v>
      </c>
      <c r="IE31" s="568">
        <f t="shared" si="44"/>
        <v>0</v>
      </c>
      <c r="II31" s="362" t="s">
        <v>438</v>
      </c>
      <c r="IJ31" s="362" t="s">
        <v>335</v>
      </c>
      <c r="IK31" s="362" t="s">
        <v>499</v>
      </c>
      <c r="IL31" s="362" t="s">
        <v>632</v>
      </c>
      <c r="IM31" s="679" t="s">
        <v>433</v>
      </c>
      <c r="IN31" s="248">
        <v>2141598000</v>
      </c>
      <c r="IO31" s="248">
        <v>0</v>
      </c>
      <c r="IP31" s="248">
        <v>0</v>
      </c>
      <c r="IQ31" s="806">
        <f t="shared" si="45"/>
        <v>2141598</v>
      </c>
      <c r="IR31" s="806">
        <f t="shared" si="46"/>
        <v>0</v>
      </c>
      <c r="IS31" s="806">
        <f t="shared" si="47"/>
        <v>0</v>
      </c>
      <c r="JG31" s="567" t="s">
        <v>460</v>
      </c>
      <c r="JH31" s="567" t="s">
        <v>461</v>
      </c>
      <c r="JI31" s="567" t="s">
        <v>447</v>
      </c>
      <c r="JJ31" s="567" t="s">
        <v>447</v>
      </c>
      <c r="JK31" s="567" t="s">
        <v>433</v>
      </c>
      <c r="JL31" s="80">
        <v>0</v>
      </c>
      <c r="JM31" s="80">
        <v>181465585</v>
      </c>
      <c r="JN31" s="80">
        <v>181465585</v>
      </c>
      <c r="JO31" s="169">
        <f t="shared" si="49"/>
        <v>0</v>
      </c>
      <c r="JP31" s="169">
        <f t="shared" si="50"/>
        <v>181465.58499999999</v>
      </c>
      <c r="JQ31" s="169">
        <f t="shared" si="51"/>
        <v>181465.58499999999</v>
      </c>
    </row>
    <row r="32" spans="1:277" ht="15" customHeight="1" x14ac:dyDescent="0.25">
      <c r="A32" s="92" t="s">
        <v>465</v>
      </c>
      <c r="B32" s="92" t="s">
        <v>466</v>
      </c>
      <c r="C32" s="92" t="s">
        <v>447</v>
      </c>
      <c r="D32" s="92" t="s">
        <v>447</v>
      </c>
      <c r="E32" s="93">
        <v>280000000</v>
      </c>
      <c r="F32" s="93">
        <f t="shared" si="7"/>
        <v>297640</v>
      </c>
      <c r="G32" s="93">
        <v>0</v>
      </c>
      <c r="H32" s="93">
        <f t="shared" si="8"/>
        <v>0</v>
      </c>
      <c r="AD32" s="90" t="s">
        <v>438</v>
      </c>
      <c r="AE32" s="90" t="s">
        <v>335</v>
      </c>
      <c r="AF32" s="90" t="s">
        <v>629</v>
      </c>
      <c r="AG32" s="90" t="s">
        <v>630</v>
      </c>
      <c r="AH32" s="91">
        <v>0</v>
      </c>
      <c r="AI32" s="91">
        <f t="shared" si="10"/>
        <v>0</v>
      </c>
      <c r="AJ32" s="91">
        <v>750000</v>
      </c>
      <c r="AM32" s="169"/>
      <c r="AW32" s="90" t="s">
        <v>438</v>
      </c>
      <c r="AX32" s="90" t="s">
        <v>335</v>
      </c>
      <c r="AY32" s="90" t="s">
        <v>499</v>
      </c>
      <c r="AZ32" s="90" t="s">
        <v>632</v>
      </c>
      <c r="BA32" s="91">
        <v>0</v>
      </c>
      <c r="BB32" s="91">
        <v>624000000</v>
      </c>
      <c r="BC32" s="91">
        <v>439000000</v>
      </c>
      <c r="BD32" s="91">
        <f t="shared" si="1"/>
        <v>0</v>
      </c>
      <c r="BE32" s="91">
        <f t="shared" si="2"/>
        <v>663312</v>
      </c>
      <c r="BF32" s="91">
        <f t="shared" si="3"/>
        <v>466657</v>
      </c>
      <c r="BT32" s="87" t="s">
        <v>438</v>
      </c>
      <c r="BU32" s="87" t="s">
        <v>335</v>
      </c>
      <c r="BV32" s="87" t="s">
        <v>499</v>
      </c>
      <c r="BW32" s="87" t="s">
        <v>632</v>
      </c>
      <c r="BX32" s="304" t="s">
        <v>433</v>
      </c>
      <c r="BY32" s="88">
        <v>0</v>
      </c>
      <c r="BZ32" s="88">
        <v>624000000</v>
      </c>
      <c r="CA32" s="88">
        <v>439000000</v>
      </c>
      <c r="CB32" s="169">
        <f t="shared" si="12"/>
        <v>0</v>
      </c>
      <c r="CC32" s="169">
        <f t="shared" si="13"/>
        <v>624000</v>
      </c>
      <c r="CD32" s="169">
        <f t="shared" si="14"/>
        <v>439000</v>
      </c>
      <c r="DI32" s="316" t="s">
        <v>438</v>
      </c>
      <c r="DJ32" s="316" t="s">
        <v>335</v>
      </c>
      <c r="DK32" s="316" t="s">
        <v>500</v>
      </c>
      <c r="DL32" s="316" t="s">
        <v>489</v>
      </c>
      <c r="DM32" s="80">
        <v>0</v>
      </c>
      <c r="DN32" s="80">
        <v>0</v>
      </c>
      <c r="DO32" s="80">
        <v>0</v>
      </c>
      <c r="DP32" s="593">
        <f t="shared" si="21"/>
        <v>0</v>
      </c>
      <c r="DQ32" s="593">
        <f t="shared" si="22"/>
        <v>0</v>
      </c>
      <c r="DR32" s="593">
        <f t="shared" si="23"/>
        <v>0</v>
      </c>
      <c r="EI32" s="89" t="s">
        <v>438</v>
      </c>
      <c r="EJ32" s="89" t="s">
        <v>335</v>
      </c>
      <c r="EK32" s="89" t="s">
        <v>439</v>
      </c>
      <c r="EL32" s="89" t="s">
        <v>492</v>
      </c>
      <c r="EM32" s="89" t="s">
        <v>433</v>
      </c>
      <c r="EN32" s="89">
        <v>120000000</v>
      </c>
      <c r="EO32" s="89">
        <v>0</v>
      </c>
      <c r="EP32" s="89">
        <v>0</v>
      </c>
      <c r="EQ32" s="590">
        <f t="shared" si="27"/>
        <v>120000</v>
      </c>
      <c r="ER32" s="590">
        <f t="shared" si="28"/>
        <v>0</v>
      </c>
      <c r="ES32" s="590">
        <f t="shared" si="29"/>
        <v>0</v>
      </c>
      <c r="FK32" s="89" t="s">
        <v>438</v>
      </c>
      <c r="FL32" s="89" t="s">
        <v>335</v>
      </c>
      <c r="FM32" s="89" t="s">
        <v>439</v>
      </c>
      <c r="FN32" s="89" t="s">
        <v>492</v>
      </c>
      <c r="FO32" s="366" t="s">
        <v>433</v>
      </c>
      <c r="FP32" s="80">
        <v>120000000</v>
      </c>
      <c r="FQ32" s="80">
        <v>0</v>
      </c>
      <c r="FR32" s="80">
        <v>0</v>
      </c>
      <c r="FS32" s="566">
        <f t="shared" si="33"/>
        <v>120000</v>
      </c>
      <c r="FT32" s="566">
        <f t="shared" si="34"/>
        <v>0</v>
      </c>
      <c r="FU32" s="566">
        <f t="shared" si="35"/>
        <v>0</v>
      </c>
      <c r="GI32" s="679" t="s">
        <v>438</v>
      </c>
      <c r="GJ32" s="679" t="s">
        <v>335</v>
      </c>
      <c r="GK32" s="362" t="s">
        <v>439</v>
      </c>
      <c r="GL32" s="679" t="s">
        <v>492</v>
      </c>
      <c r="GM32" s="679" t="s">
        <v>433</v>
      </c>
      <c r="GN32" s="715">
        <v>120000000</v>
      </c>
      <c r="GO32" s="715">
        <v>0</v>
      </c>
      <c r="GP32" s="715">
        <v>0</v>
      </c>
      <c r="GQ32" s="716">
        <f t="shared" si="37"/>
        <v>120000</v>
      </c>
      <c r="GR32" s="716">
        <f t="shared" si="38"/>
        <v>0</v>
      </c>
      <c r="GS32" s="716">
        <f t="shared" si="39"/>
        <v>0</v>
      </c>
      <c r="HH32" s="775" t="s">
        <v>438</v>
      </c>
      <c r="HI32" s="775" t="s">
        <v>335</v>
      </c>
      <c r="HJ32" s="775" t="s">
        <v>629</v>
      </c>
      <c r="HK32" s="776" t="s">
        <v>630</v>
      </c>
      <c r="HL32" s="776" t="s">
        <v>433</v>
      </c>
      <c r="HM32" s="367">
        <v>143000000</v>
      </c>
      <c r="HN32" s="367">
        <v>0</v>
      </c>
      <c r="HO32" s="367">
        <v>0</v>
      </c>
      <c r="HP32" s="774">
        <f t="shared" si="41"/>
        <v>143000</v>
      </c>
      <c r="HQ32" s="774">
        <f t="shared" si="42"/>
        <v>0</v>
      </c>
      <c r="HR32" s="774">
        <f t="shared" si="43"/>
        <v>0</v>
      </c>
      <c r="HW32" s="776" t="s">
        <v>534</v>
      </c>
      <c r="HX32" s="776" t="s">
        <v>537</v>
      </c>
      <c r="HY32" s="776" t="s">
        <v>447</v>
      </c>
      <c r="HZ32" s="776" t="s">
        <v>447</v>
      </c>
      <c r="IA32" s="776" t="s">
        <v>433</v>
      </c>
      <c r="IB32" s="813">
        <v>-30000000</v>
      </c>
      <c r="IC32" s="813">
        <v>0</v>
      </c>
      <c r="ID32" s="813">
        <v>0</v>
      </c>
      <c r="IE32" s="568">
        <f t="shared" si="44"/>
        <v>0</v>
      </c>
      <c r="II32" s="362" t="s">
        <v>438</v>
      </c>
      <c r="IJ32" s="362" t="s">
        <v>335</v>
      </c>
      <c r="IK32" s="362" t="s">
        <v>488</v>
      </c>
      <c r="IL32" s="362" t="s">
        <v>631</v>
      </c>
      <c r="IM32" s="679" t="s">
        <v>433</v>
      </c>
      <c r="IN32" s="248">
        <v>310000000</v>
      </c>
      <c r="IO32" s="248">
        <v>0</v>
      </c>
      <c r="IP32" s="248">
        <v>0</v>
      </c>
      <c r="IQ32" s="806">
        <f t="shared" si="45"/>
        <v>310000</v>
      </c>
      <c r="IR32" s="806">
        <f t="shared" si="46"/>
        <v>0</v>
      </c>
      <c r="IS32" s="806">
        <f t="shared" si="47"/>
        <v>0</v>
      </c>
      <c r="JG32" s="567" t="s">
        <v>438</v>
      </c>
      <c r="JH32" s="567" t="s">
        <v>335</v>
      </c>
      <c r="JI32" s="567" t="s">
        <v>499</v>
      </c>
      <c r="JJ32" s="567" t="s">
        <v>632</v>
      </c>
      <c r="JK32" s="567" t="s">
        <v>433</v>
      </c>
      <c r="JL32" s="80">
        <v>2157078000</v>
      </c>
      <c r="JM32" s="80">
        <v>0</v>
      </c>
      <c r="JN32" s="80">
        <v>0</v>
      </c>
      <c r="JO32" s="169">
        <f t="shared" si="49"/>
        <v>2157078</v>
      </c>
      <c r="JP32" s="169">
        <f t="shared" si="50"/>
        <v>0</v>
      </c>
      <c r="JQ32" s="169">
        <f t="shared" si="51"/>
        <v>0</v>
      </c>
    </row>
    <row r="33" spans="1:277" ht="15" customHeight="1" x14ac:dyDescent="0.25">
      <c r="A33" s="92" t="s">
        <v>465</v>
      </c>
      <c r="B33" s="92" t="s">
        <v>466</v>
      </c>
      <c r="C33" s="92" t="s">
        <v>447</v>
      </c>
      <c r="D33" s="92" t="s">
        <v>447</v>
      </c>
      <c r="E33" s="93">
        <v>0</v>
      </c>
      <c r="F33" s="93">
        <f t="shared" si="7"/>
        <v>0</v>
      </c>
      <c r="G33" s="93">
        <v>10126514</v>
      </c>
      <c r="H33" s="93">
        <f t="shared" si="8"/>
        <v>10764.484381999999</v>
      </c>
      <c r="AD33" s="90" t="s">
        <v>438</v>
      </c>
      <c r="AE33" s="90" t="s">
        <v>335</v>
      </c>
      <c r="AF33" s="90" t="s">
        <v>447</v>
      </c>
      <c r="AG33" s="90" t="s">
        <v>447</v>
      </c>
      <c r="AH33" s="91">
        <v>0</v>
      </c>
      <c r="AI33" s="91">
        <f t="shared" si="10"/>
        <v>0</v>
      </c>
      <c r="AJ33" s="91">
        <v>0</v>
      </c>
      <c r="AM33" s="169"/>
      <c r="AW33" s="90" t="s">
        <v>438</v>
      </c>
      <c r="AX33" s="90" t="s">
        <v>335</v>
      </c>
      <c r="AY33" s="90" t="s">
        <v>629</v>
      </c>
      <c r="AZ33" s="90" t="s">
        <v>630</v>
      </c>
      <c r="BA33" s="91">
        <v>793000000</v>
      </c>
      <c r="BB33" s="91">
        <v>0</v>
      </c>
      <c r="BC33" s="91">
        <v>0</v>
      </c>
      <c r="BD33" s="91">
        <f t="shared" si="1"/>
        <v>842959</v>
      </c>
      <c r="BE33" s="91">
        <f t="shared" si="2"/>
        <v>0</v>
      </c>
      <c r="BF33" s="91">
        <f t="shared" si="3"/>
        <v>0</v>
      </c>
      <c r="BT33" s="87" t="s">
        <v>438</v>
      </c>
      <c r="BU33" s="87" t="s">
        <v>335</v>
      </c>
      <c r="BV33" s="87" t="s">
        <v>629</v>
      </c>
      <c r="BW33" s="87" t="s">
        <v>630</v>
      </c>
      <c r="BX33" s="304" t="s">
        <v>433</v>
      </c>
      <c r="BY33" s="88">
        <v>793000000</v>
      </c>
      <c r="BZ33" s="88">
        <v>0</v>
      </c>
      <c r="CA33" s="88">
        <v>0</v>
      </c>
      <c r="CB33" s="169">
        <f t="shared" si="12"/>
        <v>793000</v>
      </c>
      <c r="CC33" s="169">
        <f t="shared" si="13"/>
        <v>0</v>
      </c>
      <c r="CD33" s="169">
        <f t="shared" si="14"/>
        <v>0</v>
      </c>
      <c r="DI33" s="316" t="s">
        <v>438</v>
      </c>
      <c r="DJ33" s="316" t="s">
        <v>335</v>
      </c>
      <c r="DK33" s="316" t="s">
        <v>462</v>
      </c>
      <c r="DL33" s="316" t="s">
        <v>633</v>
      </c>
      <c r="DM33" s="80">
        <v>0</v>
      </c>
      <c r="DN33" s="80">
        <v>149000000</v>
      </c>
      <c r="DO33" s="80">
        <v>149000000</v>
      </c>
      <c r="DP33" s="593">
        <f t="shared" si="21"/>
        <v>0</v>
      </c>
      <c r="DQ33" s="593">
        <f t="shared" si="22"/>
        <v>149000</v>
      </c>
      <c r="DR33" s="593">
        <f t="shared" si="23"/>
        <v>149000</v>
      </c>
      <c r="EI33" s="89" t="s">
        <v>438</v>
      </c>
      <c r="EJ33" s="89" t="s">
        <v>335</v>
      </c>
      <c r="EK33" s="89" t="s">
        <v>462</v>
      </c>
      <c r="EL33" s="89" t="s">
        <v>633</v>
      </c>
      <c r="EM33" s="89" t="s">
        <v>433</v>
      </c>
      <c r="EN33" s="89">
        <v>0</v>
      </c>
      <c r="EO33" s="89">
        <v>164000000</v>
      </c>
      <c r="EP33" s="89">
        <v>164000000</v>
      </c>
      <c r="EQ33" s="590">
        <f t="shared" si="27"/>
        <v>0</v>
      </c>
      <c r="ER33" s="590">
        <f t="shared" si="28"/>
        <v>164000</v>
      </c>
      <c r="ES33" s="590">
        <f t="shared" si="29"/>
        <v>164000</v>
      </c>
      <c r="FK33" s="89" t="s">
        <v>438</v>
      </c>
      <c r="FL33" s="89" t="s">
        <v>335</v>
      </c>
      <c r="FM33" s="89" t="s">
        <v>499</v>
      </c>
      <c r="FN33" s="89" t="s">
        <v>632</v>
      </c>
      <c r="FO33" s="366" t="s">
        <v>433</v>
      </c>
      <c r="FP33" s="80">
        <v>0</v>
      </c>
      <c r="FQ33" s="80">
        <v>782600000</v>
      </c>
      <c r="FR33" s="80">
        <v>487600000</v>
      </c>
      <c r="FS33" s="566">
        <f t="shared" si="33"/>
        <v>0</v>
      </c>
      <c r="FT33" s="566">
        <f t="shared" si="34"/>
        <v>782600</v>
      </c>
      <c r="FU33" s="566">
        <f t="shared" si="35"/>
        <v>487600</v>
      </c>
      <c r="GI33" s="679" t="s">
        <v>438</v>
      </c>
      <c r="GJ33" s="679" t="s">
        <v>335</v>
      </c>
      <c r="GK33" s="362" t="s">
        <v>447</v>
      </c>
      <c r="GL33" s="679" t="s">
        <v>447</v>
      </c>
      <c r="GM33" s="679" t="s">
        <v>433</v>
      </c>
      <c r="GN33" s="715">
        <v>0</v>
      </c>
      <c r="GO33" s="715">
        <v>0</v>
      </c>
      <c r="GP33" s="715">
        <v>0</v>
      </c>
      <c r="GQ33" s="716">
        <f t="shared" si="37"/>
        <v>0</v>
      </c>
      <c r="GR33" s="716">
        <f t="shared" si="38"/>
        <v>0</v>
      </c>
      <c r="GS33" s="716">
        <f t="shared" si="39"/>
        <v>0</v>
      </c>
      <c r="HH33" s="775" t="s">
        <v>438</v>
      </c>
      <c r="HI33" s="775" t="s">
        <v>335</v>
      </c>
      <c r="HJ33" s="775" t="s">
        <v>439</v>
      </c>
      <c r="HK33" s="776" t="s">
        <v>492</v>
      </c>
      <c r="HL33" s="776" t="s">
        <v>433</v>
      </c>
      <c r="HM33" s="367">
        <v>120000000</v>
      </c>
      <c r="HN33" s="367">
        <v>0</v>
      </c>
      <c r="HO33" s="367">
        <v>0</v>
      </c>
      <c r="HP33" s="774">
        <f t="shared" si="41"/>
        <v>120000</v>
      </c>
      <c r="HQ33" s="774">
        <f t="shared" si="42"/>
        <v>0</v>
      </c>
      <c r="HR33" s="774">
        <f t="shared" si="43"/>
        <v>0</v>
      </c>
      <c r="HW33" s="776" t="s">
        <v>672</v>
      </c>
      <c r="HX33" s="776" t="s">
        <v>673</v>
      </c>
      <c r="HY33" s="776" t="s">
        <v>447</v>
      </c>
      <c r="HZ33" s="776" t="s">
        <v>447</v>
      </c>
      <c r="IA33" s="776" t="s">
        <v>433</v>
      </c>
      <c r="IB33" s="813">
        <v>0</v>
      </c>
      <c r="IC33" s="813">
        <v>0</v>
      </c>
      <c r="ID33" s="813">
        <v>1716000</v>
      </c>
      <c r="IE33" s="568">
        <f t="shared" si="44"/>
        <v>1716</v>
      </c>
      <c r="II33" s="362" t="s">
        <v>438</v>
      </c>
      <c r="IJ33" s="362" t="s">
        <v>335</v>
      </c>
      <c r="IK33" s="362" t="s">
        <v>462</v>
      </c>
      <c r="IL33" s="362" t="s">
        <v>633</v>
      </c>
      <c r="IM33" s="679" t="s">
        <v>433</v>
      </c>
      <c r="IN33" s="248">
        <v>285000000</v>
      </c>
      <c r="IO33" s="248">
        <v>0</v>
      </c>
      <c r="IP33" s="248">
        <v>0</v>
      </c>
      <c r="IQ33" s="806">
        <f t="shared" si="45"/>
        <v>285000</v>
      </c>
      <c r="IR33" s="806">
        <f t="shared" si="46"/>
        <v>0</v>
      </c>
      <c r="IS33" s="806">
        <f t="shared" si="47"/>
        <v>0</v>
      </c>
      <c r="JG33" s="567" t="s">
        <v>438</v>
      </c>
      <c r="JH33" s="567" t="s">
        <v>335</v>
      </c>
      <c r="JI33" s="567" t="s">
        <v>488</v>
      </c>
      <c r="JJ33" s="567" t="s">
        <v>631</v>
      </c>
      <c r="JK33" s="567" t="s">
        <v>433</v>
      </c>
      <c r="JL33" s="80">
        <v>308990000</v>
      </c>
      <c r="JM33" s="80">
        <v>0</v>
      </c>
      <c r="JN33" s="80">
        <v>0</v>
      </c>
      <c r="JO33" s="169">
        <f t="shared" si="49"/>
        <v>308990</v>
      </c>
      <c r="JP33" s="169">
        <f t="shared" si="50"/>
        <v>0</v>
      </c>
      <c r="JQ33" s="169">
        <f t="shared" si="51"/>
        <v>0</v>
      </c>
    </row>
    <row r="34" spans="1:277" ht="15" customHeight="1" x14ac:dyDescent="0.25">
      <c r="A34" s="92" t="s">
        <v>534</v>
      </c>
      <c r="B34" s="92" t="s">
        <v>537</v>
      </c>
      <c r="C34" s="92" t="s">
        <v>447</v>
      </c>
      <c r="D34" s="92" t="s">
        <v>447</v>
      </c>
      <c r="E34" s="93">
        <v>278933000</v>
      </c>
      <c r="F34" s="93">
        <f t="shared" si="7"/>
        <v>296505.77899999998</v>
      </c>
      <c r="G34" s="93">
        <v>0</v>
      </c>
      <c r="H34" s="93">
        <f t="shared" si="8"/>
        <v>0</v>
      </c>
      <c r="AD34" s="90" t="s">
        <v>438</v>
      </c>
      <c r="AE34" s="90" t="s">
        <v>335</v>
      </c>
      <c r="AF34" s="90" t="s">
        <v>447</v>
      </c>
      <c r="AG34" s="90" t="s">
        <v>447</v>
      </c>
      <c r="AH34" s="91">
        <v>0</v>
      </c>
      <c r="AI34" s="91">
        <f t="shared" si="10"/>
        <v>0</v>
      </c>
      <c r="AJ34" s="91">
        <v>0</v>
      </c>
      <c r="AM34" s="169"/>
      <c r="AW34" s="90" t="s">
        <v>438</v>
      </c>
      <c r="AX34" s="90" t="s">
        <v>335</v>
      </c>
      <c r="AY34" s="90" t="s">
        <v>629</v>
      </c>
      <c r="AZ34" s="90" t="s">
        <v>630</v>
      </c>
      <c r="BA34" s="91">
        <v>0</v>
      </c>
      <c r="BB34" s="91">
        <v>2250000</v>
      </c>
      <c r="BC34" s="91">
        <v>1500000</v>
      </c>
      <c r="BD34" s="91">
        <f t="shared" si="1"/>
        <v>0</v>
      </c>
      <c r="BE34" s="91">
        <f t="shared" si="2"/>
        <v>2391.75</v>
      </c>
      <c r="BF34" s="91">
        <f t="shared" si="3"/>
        <v>1594.5</v>
      </c>
      <c r="BT34" s="87" t="s">
        <v>438</v>
      </c>
      <c r="BU34" s="87" t="s">
        <v>335</v>
      </c>
      <c r="BV34" s="87" t="s">
        <v>629</v>
      </c>
      <c r="BW34" s="87" t="s">
        <v>630</v>
      </c>
      <c r="BX34" s="304" t="s">
        <v>433</v>
      </c>
      <c r="BY34" s="88">
        <v>0</v>
      </c>
      <c r="BZ34" s="88">
        <v>95250000</v>
      </c>
      <c r="CA34" s="88">
        <v>1500000</v>
      </c>
      <c r="CB34" s="169">
        <f t="shared" si="12"/>
        <v>0</v>
      </c>
      <c r="CC34" s="169">
        <f t="shared" si="13"/>
        <v>95250</v>
      </c>
      <c r="CD34" s="169">
        <f t="shared" si="14"/>
        <v>1500</v>
      </c>
      <c r="DI34" s="316" t="s">
        <v>438</v>
      </c>
      <c r="DJ34" s="316" t="s">
        <v>335</v>
      </c>
      <c r="DK34" s="316" t="s">
        <v>629</v>
      </c>
      <c r="DL34" s="316" t="s">
        <v>630</v>
      </c>
      <c r="DM34" s="80">
        <v>0</v>
      </c>
      <c r="DN34" s="80">
        <v>95250000</v>
      </c>
      <c r="DO34" s="80">
        <v>1500000</v>
      </c>
      <c r="DP34" s="593">
        <f t="shared" si="21"/>
        <v>0</v>
      </c>
      <c r="DQ34" s="593">
        <f t="shared" si="22"/>
        <v>95250</v>
      </c>
      <c r="DR34" s="593">
        <f t="shared" si="23"/>
        <v>1500</v>
      </c>
      <c r="EI34" s="89" t="s">
        <v>438</v>
      </c>
      <c r="EJ34" s="89" t="s">
        <v>335</v>
      </c>
      <c r="EK34" s="89" t="s">
        <v>447</v>
      </c>
      <c r="EL34" s="89" t="s">
        <v>447</v>
      </c>
      <c r="EM34" s="89" t="s">
        <v>433</v>
      </c>
      <c r="EN34" s="89">
        <v>0</v>
      </c>
      <c r="EO34" s="89">
        <v>0</v>
      </c>
      <c r="EP34" s="89">
        <v>0</v>
      </c>
      <c r="EQ34" s="590">
        <f t="shared" si="27"/>
        <v>0</v>
      </c>
      <c r="ER34" s="590">
        <f t="shared" si="28"/>
        <v>0</v>
      </c>
      <c r="ES34" s="590">
        <f t="shared" si="29"/>
        <v>0</v>
      </c>
      <c r="FK34" s="89" t="s">
        <v>438</v>
      </c>
      <c r="FL34" s="89" t="s">
        <v>335</v>
      </c>
      <c r="FM34" s="89" t="s">
        <v>447</v>
      </c>
      <c r="FN34" s="89" t="s">
        <v>447</v>
      </c>
      <c r="FO34" s="366" t="s">
        <v>433</v>
      </c>
      <c r="FP34" s="80">
        <v>0</v>
      </c>
      <c r="FQ34" s="80">
        <v>0</v>
      </c>
      <c r="FR34" s="80">
        <v>0</v>
      </c>
      <c r="FS34" s="566">
        <f t="shared" si="33"/>
        <v>0</v>
      </c>
      <c r="FT34" s="566">
        <f t="shared" si="34"/>
        <v>0</v>
      </c>
      <c r="FU34" s="566">
        <f t="shared" si="35"/>
        <v>0</v>
      </c>
      <c r="GI34" s="679" t="s">
        <v>438</v>
      </c>
      <c r="GJ34" s="679" t="s">
        <v>335</v>
      </c>
      <c r="GK34" s="362" t="s">
        <v>462</v>
      </c>
      <c r="GL34" s="679" t="s">
        <v>633</v>
      </c>
      <c r="GM34" s="679" t="s">
        <v>433</v>
      </c>
      <c r="GN34" s="715">
        <v>0</v>
      </c>
      <c r="GO34" s="715">
        <v>164000000</v>
      </c>
      <c r="GP34" s="715">
        <v>164000000</v>
      </c>
      <c r="GQ34" s="716">
        <f t="shared" si="37"/>
        <v>0</v>
      </c>
      <c r="GR34" s="716">
        <f t="shared" si="38"/>
        <v>164000</v>
      </c>
      <c r="GS34" s="716">
        <f t="shared" si="39"/>
        <v>164000</v>
      </c>
      <c r="HH34" s="775" t="s">
        <v>438</v>
      </c>
      <c r="HI34" s="775" t="s">
        <v>335</v>
      </c>
      <c r="HJ34" s="775" t="s">
        <v>447</v>
      </c>
      <c r="HK34" s="776" t="s">
        <v>447</v>
      </c>
      <c r="HL34" s="776" t="s">
        <v>433</v>
      </c>
      <c r="HM34" s="367">
        <v>0</v>
      </c>
      <c r="HN34" s="367">
        <v>0</v>
      </c>
      <c r="HO34" s="367">
        <v>0</v>
      </c>
      <c r="HP34" s="774">
        <f t="shared" si="41"/>
        <v>0</v>
      </c>
      <c r="HQ34" s="774">
        <f t="shared" si="42"/>
        <v>0</v>
      </c>
      <c r="HR34" s="774">
        <f t="shared" si="43"/>
        <v>0</v>
      </c>
      <c r="HW34" s="776" t="s">
        <v>672</v>
      </c>
      <c r="HX34" s="776" t="s">
        <v>673</v>
      </c>
      <c r="HY34" s="776" t="s">
        <v>447</v>
      </c>
      <c r="HZ34" s="776" t="s">
        <v>447</v>
      </c>
      <c r="IA34" s="776" t="s">
        <v>433</v>
      </c>
      <c r="IB34" s="813">
        <v>-22988000</v>
      </c>
      <c r="IC34" s="813">
        <v>0</v>
      </c>
      <c r="ID34" s="813">
        <v>0</v>
      </c>
      <c r="IE34" s="568">
        <f t="shared" si="44"/>
        <v>0</v>
      </c>
      <c r="II34" s="362" t="s">
        <v>438</v>
      </c>
      <c r="IJ34" s="362" t="s">
        <v>335</v>
      </c>
      <c r="IK34" s="362" t="s">
        <v>629</v>
      </c>
      <c r="IL34" s="362" t="s">
        <v>630</v>
      </c>
      <c r="IM34" s="679" t="s">
        <v>433</v>
      </c>
      <c r="IN34" s="248">
        <v>143000000</v>
      </c>
      <c r="IO34" s="248">
        <v>0</v>
      </c>
      <c r="IP34" s="248">
        <v>0</v>
      </c>
      <c r="IQ34" s="806">
        <f t="shared" si="45"/>
        <v>143000</v>
      </c>
      <c r="IR34" s="806">
        <f t="shared" si="46"/>
        <v>0</v>
      </c>
      <c r="IS34" s="806">
        <f t="shared" si="47"/>
        <v>0</v>
      </c>
      <c r="JG34" s="567" t="s">
        <v>438</v>
      </c>
      <c r="JH34" s="567" t="s">
        <v>335</v>
      </c>
      <c r="JI34" s="567" t="s">
        <v>462</v>
      </c>
      <c r="JJ34" s="567" t="s">
        <v>633</v>
      </c>
      <c r="JK34" s="567" t="s">
        <v>433</v>
      </c>
      <c r="JL34" s="80">
        <v>285000000</v>
      </c>
      <c r="JM34" s="80">
        <v>0</v>
      </c>
      <c r="JN34" s="80">
        <v>0</v>
      </c>
      <c r="JO34" s="169">
        <f t="shared" si="49"/>
        <v>285000</v>
      </c>
      <c r="JP34" s="169">
        <f t="shared" si="50"/>
        <v>0</v>
      </c>
      <c r="JQ34" s="169">
        <f t="shared" si="51"/>
        <v>0</v>
      </c>
    </row>
    <row r="35" spans="1:277" ht="15" customHeight="1" x14ac:dyDescent="0.25">
      <c r="A35" s="92" t="s">
        <v>534</v>
      </c>
      <c r="B35" s="92" t="s">
        <v>537</v>
      </c>
      <c r="C35" s="92" t="s">
        <v>447</v>
      </c>
      <c r="D35" s="92" t="s">
        <v>447</v>
      </c>
      <c r="E35" s="93">
        <v>0</v>
      </c>
      <c r="F35" s="93">
        <f t="shared" si="7"/>
        <v>0</v>
      </c>
      <c r="G35" s="93">
        <v>0</v>
      </c>
      <c r="H35" s="93">
        <f t="shared" si="8"/>
        <v>0</v>
      </c>
      <c r="AD35" s="90" t="s">
        <v>438</v>
      </c>
      <c r="AE35" s="90" t="s">
        <v>335</v>
      </c>
      <c r="AF35" s="90" t="s">
        <v>447</v>
      </c>
      <c r="AG35" s="90" t="s">
        <v>447</v>
      </c>
      <c r="AH35" s="91">
        <v>0</v>
      </c>
      <c r="AI35" s="91">
        <f t="shared" si="10"/>
        <v>0</v>
      </c>
      <c r="AJ35" s="91">
        <v>0</v>
      </c>
      <c r="AM35" s="169"/>
      <c r="AW35" s="90" t="s">
        <v>438</v>
      </c>
      <c r="AX35" s="90" t="s">
        <v>335</v>
      </c>
      <c r="AY35" s="90" t="s">
        <v>447</v>
      </c>
      <c r="AZ35" s="90" t="s">
        <v>447</v>
      </c>
      <c r="BA35" s="91">
        <v>0</v>
      </c>
      <c r="BB35" s="91">
        <v>0</v>
      </c>
      <c r="BC35" s="91">
        <v>0</v>
      </c>
      <c r="BD35" s="91">
        <f t="shared" ref="BD35:BD51" si="52">+BA35/$BG$2*$BH$2</f>
        <v>0</v>
      </c>
      <c r="BE35" s="91">
        <f t="shared" ref="BE35:BE51" si="53">+BB35/$BG$2*$BH$2</f>
        <v>0</v>
      </c>
      <c r="BF35" s="91">
        <f t="shared" ref="BF35:BF51" si="54">+BC35/$BG$2*$BH$2</f>
        <v>0</v>
      </c>
      <c r="BT35" s="87" t="s">
        <v>438</v>
      </c>
      <c r="BU35" s="87" t="s">
        <v>335</v>
      </c>
      <c r="BV35" s="87" t="s">
        <v>447</v>
      </c>
      <c r="BW35" s="87" t="s">
        <v>447</v>
      </c>
      <c r="BX35" s="304" t="s">
        <v>433</v>
      </c>
      <c r="BY35" s="88">
        <v>0</v>
      </c>
      <c r="BZ35" s="88">
        <v>0</v>
      </c>
      <c r="CA35" s="88">
        <v>0</v>
      </c>
      <c r="CB35" s="169">
        <f t="shared" si="12"/>
        <v>0</v>
      </c>
      <c r="CC35" s="169">
        <f t="shared" si="13"/>
        <v>0</v>
      </c>
      <c r="CD35" s="169">
        <f t="shared" si="14"/>
        <v>0</v>
      </c>
      <c r="DI35" s="316" t="s">
        <v>438</v>
      </c>
      <c r="DJ35" s="316" t="s">
        <v>335</v>
      </c>
      <c r="DK35" s="316" t="s">
        <v>447</v>
      </c>
      <c r="DL35" s="316" t="s">
        <v>447</v>
      </c>
      <c r="DM35" s="80">
        <v>0</v>
      </c>
      <c r="DN35" s="80">
        <v>0</v>
      </c>
      <c r="DO35" s="80">
        <v>0</v>
      </c>
      <c r="DP35" s="593">
        <f t="shared" si="21"/>
        <v>0</v>
      </c>
      <c r="DQ35" s="593">
        <f t="shared" si="22"/>
        <v>0</v>
      </c>
      <c r="DR35" s="593">
        <f t="shared" si="23"/>
        <v>0</v>
      </c>
      <c r="EI35" s="89" t="s">
        <v>438</v>
      </c>
      <c r="EJ35" s="89" t="s">
        <v>335</v>
      </c>
      <c r="EK35" s="89" t="s">
        <v>499</v>
      </c>
      <c r="EL35" s="89" t="s">
        <v>632</v>
      </c>
      <c r="EM35" s="89" t="s">
        <v>433</v>
      </c>
      <c r="EN35" s="89">
        <v>0</v>
      </c>
      <c r="EO35" s="89">
        <v>672600000</v>
      </c>
      <c r="EP35" s="89">
        <v>471400000</v>
      </c>
      <c r="EQ35" s="590">
        <f t="shared" si="27"/>
        <v>0</v>
      </c>
      <c r="ER35" s="590">
        <f t="shared" si="28"/>
        <v>672600</v>
      </c>
      <c r="ES35" s="590">
        <f t="shared" si="29"/>
        <v>471400</v>
      </c>
      <c r="FK35" s="89" t="s">
        <v>438</v>
      </c>
      <c r="FL35" s="89" t="s">
        <v>335</v>
      </c>
      <c r="FM35" s="89" t="s">
        <v>629</v>
      </c>
      <c r="FN35" s="89" t="s">
        <v>630</v>
      </c>
      <c r="FO35" s="366" t="s">
        <v>433</v>
      </c>
      <c r="FP35" s="80">
        <v>0</v>
      </c>
      <c r="FQ35" s="80">
        <v>95250000</v>
      </c>
      <c r="FR35" s="80">
        <v>76650000</v>
      </c>
      <c r="FS35" s="566">
        <f t="shared" si="33"/>
        <v>0</v>
      </c>
      <c r="FT35" s="566">
        <f t="shared" si="34"/>
        <v>95250</v>
      </c>
      <c r="FU35" s="566">
        <f t="shared" si="35"/>
        <v>76650</v>
      </c>
      <c r="GI35" s="679" t="s">
        <v>438</v>
      </c>
      <c r="GJ35" s="679" t="s">
        <v>335</v>
      </c>
      <c r="GK35" s="362" t="s">
        <v>499</v>
      </c>
      <c r="GL35" s="679" t="s">
        <v>632</v>
      </c>
      <c r="GM35" s="679" t="s">
        <v>433</v>
      </c>
      <c r="GN35" s="715">
        <v>0</v>
      </c>
      <c r="GO35" s="715">
        <v>782600000</v>
      </c>
      <c r="GP35" s="715">
        <v>597600000</v>
      </c>
      <c r="GQ35" s="716">
        <f t="shared" si="37"/>
        <v>0</v>
      </c>
      <c r="GR35" s="716">
        <f t="shared" si="38"/>
        <v>782600</v>
      </c>
      <c r="GS35" s="716">
        <f t="shared" si="39"/>
        <v>597600</v>
      </c>
      <c r="HH35" s="775" t="s">
        <v>438</v>
      </c>
      <c r="HI35" s="775" t="s">
        <v>335</v>
      </c>
      <c r="HJ35" s="775" t="s">
        <v>499</v>
      </c>
      <c r="HK35" s="776" t="s">
        <v>632</v>
      </c>
      <c r="HL35" s="776" t="s">
        <v>433</v>
      </c>
      <c r="HM35" s="367">
        <v>0</v>
      </c>
      <c r="HN35" s="367">
        <v>982600000</v>
      </c>
      <c r="HO35" s="367">
        <v>597600000</v>
      </c>
      <c r="HP35" s="774">
        <f t="shared" si="41"/>
        <v>0</v>
      </c>
      <c r="HQ35" s="774">
        <f t="shared" si="42"/>
        <v>982600</v>
      </c>
      <c r="HR35" s="774">
        <f t="shared" si="43"/>
        <v>597600</v>
      </c>
      <c r="HW35" s="776" t="s">
        <v>674</v>
      </c>
      <c r="HX35" s="776" t="s">
        <v>675</v>
      </c>
      <c r="HY35" s="776" t="s">
        <v>447</v>
      </c>
      <c r="HZ35" s="776" t="s">
        <v>447</v>
      </c>
      <c r="IA35" s="776" t="s">
        <v>433</v>
      </c>
      <c r="IB35" s="813">
        <v>-27960500</v>
      </c>
      <c r="IC35" s="813">
        <v>0</v>
      </c>
      <c r="ID35" s="813">
        <v>0</v>
      </c>
      <c r="IE35" s="568">
        <f t="shared" si="44"/>
        <v>0</v>
      </c>
      <c r="II35" s="362" t="s">
        <v>438</v>
      </c>
      <c r="IJ35" s="362" t="s">
        <v>335</v>
      </c>
      <c r="IK35" s="362" t="s">
        <v>439</v>
      </c>
      <c r="IL35" s="362" t="s">
        <v>492</v>
      </c>
      <c r="IM35" s="679" t="s">
        <v>433</v>
      </c>
      <c r="IN35" s="248">
        <v>120000000</v>
      </c>
      <c r="IO35" s="248">
        <v>0</v>
      </c>
      <c r="IP35" s="248">
        <v>0</v>
      </c>
      <c r="IQ35" s="806">
        <f t="shared" si="45"/>
        <v>120000</v>
      </c>
      <c r="IR35" s="806">
        <f t="shared" si="46"/>
        <v>0</v>
      </c>
      <c r="IS35" s="806">
        <f t="shared" si="47"/>
        <v>0</v>
      </c>
      <c r="JG35" s="567" t="s">
        <v>438</v>
      </c>
      <c r="JH35" s="567" t="s">
        <v>335</v>
      </c>
      <c r="JI35" s="567" t="s">
        <v>629</v>
      </c>
      <c r="JJ35" s="567" t="s">
        <v>630</v>
      </c>
      <c r="JK35" s="567" t="s">
        <v>433</v>
      </c>
      <c r="JL35" s="80">
        <v>128530000</v>
      </c>
      <c r="JM35" s="80">
        <v>0</v>
      </c>
      <c r="JN35" s="80">
        <v>0</v>
      </c>
      <c r="JO35" s="169">
        <f t="shared" si="49"/>
        <v>128530</v>
      </c>
      <c r="JP35" s="169">
        <f t="shared" si="50"/>
        <v>0</v>
      </c>
      <c r="JQ35" s="169">
        <f t="shared" si="51"/>
        <v>0</v>
      </c>
    </row>
    <row r="36" spans="1:277" ht="15" customHeight="1" x14ac:dyDescent="0.25">
      <c r="A36" s="92" t="s">
        <v>672</v>
      </c>
      <c r="B36" s="92" t="s">
        <v>673</v>
      </c>
      <c r="C36" s="92" t="s">
        <v>447</v>
      </c>
      <c r="D36" s="92" t="s">
        <v>447</v>
      </c>
      <c r="E36" s="93">
        <v>35000000</v>
      </c>
      <c r="F36" s="93">
        <f t="shared" si="7"/>
        <v>37205</v>
      </c>
      <c r="G36" s="93">
        <v>0</v>
      </c>
      <c r="H36" s="93">
        <f t="shared" si="8"/>
        <v>0</v>
      </c>
      <c r="AD36" s="90" t="s">
        <v>438</v>
      </c>
      <c r="AE36" s="90" t="s">
        <v>335</v>
      </c>
      <c r="AF36" s="90" t="s">
        <v>499</v>
      </c>
      <c r="AG36" s="90" t="s">
        <v>632</v>
      </c>
      <c r="AH36" s="91">
        <v>0</v>
      </c>
      <c r="AI36" s="91">
        <f t="shared" si="10"/>
        <v>0</v>
      </c>
      <c r="AJ36" s="91">
        <v>439000000</v>
      </c>
      <c r="AM36" s="169"/>
      <c r="AW36" s="90" t="s">
        <v>438</v>
      </c>
      <c r="AX36" s="90" t="s">
        <v>335</v>
      </c>
      <c r="AY36" s="90" t="s">
        <v>447</v>
      </c>
      <c r="AZ36" s="90" t="s">
        <v>447</v>
      </c>
      <c r="BA36" s="91">
        <v>0</v>
      </c>
      <c r="BB36" s="91">
        <v>0</v>
      </c>
      <c r="BC36" s="91">
        <v>0</v>
      </c>
      <c r="BD36" s="91">
        <f t="shared" si="52"/>
        <v>0</v>
      </c>
      <c r="BE36" s="91">
        <f t="shared" si="53"/>
        <v>0</v>
      </c>
      <c r="BF36" s="91">
        <f t="shared" si="54"/>
        <v>0</v>
      </c>
      <c r="BT36" s="87" t="s">
        <v>438</v>
      </c>
      <c r="BU36" s="87" t="s">
        <v>335</v>
      </c>
      <c r="BV36" s="87" t="s">
        <v>447</v>
      </c>
      <c r="BW36" s="87" t="s">
        <v>447</v>
      </c>
      <c r="BX36" s="304" t="s">
        <v>433</v>
      </c>
      <c r="BY36" s="88">
        <v>0</v>
      </c>
      <c r="BZ36" s="88">
        <v>0</v>
      </c>
      <c r="CA36" s="88">
        <v>0</v>
      </c>
      <c r="CB36" s="169">
        <f t="shared" si="12"/>
        <v>0</v>
      </c>
      <c r="CC36" s="169">
        <f t="shared" si="13"/>
        <v>0</v>
      </c>
      <c r="CD36" s="169">
        <f t="shared" si="14"/>
        <v>0</v>
      </c>
      <c r="DI36" s="316" t="s">
        <v>438</v>
      </c>
      <c r="DJ36" s="316" t="s">
        <v>335</v>
      </c>
      <c r="DK36" s="316" t="s">
        <v>499</v>
      </c>
      <c r="DL36" s="316" t="s">
        <v>632</v>
      </c>
      <c r="DM36" s="80">
        <v>0</v>
      </c>
      <c r="DN36" s="80">
        <v>672600000</v>
      </c>
      <c r="DO36" s="80">
        <v>439000000</v>
      </c>
      <c r="DP36" s="593">
        <f t="shared" si="21"/>
        <v>0</v>
      </c>
      <c r="DQ36" s="593">
        <f t="shared" si="22"/>
        <v>672600</v>
      </c>
      <c r="DR36" s="593">
        <f t="shared" si="23"/>
        <v>439000</v>
      </c>
      <c r="EI36" s="89" t="s">
        <v>438</v>
      </c>
      <c r="EJ36" s="89" t="s">
        <v>335</v>
      </c>
      <c r="EK36" s="89" t="s">
        <v>447</v>
      </c>
      <c r="EL36" s="89" t="s">
        <v>447</v>
      </c>
      <c r="EM36" s="89" t="s">
        <v>433</v>
      </c>
      <c r="EN36" s="89">
        <v>0</v>
      </c>
      <c r="EO36" s="89">
        <v>0</v>
      </c>
      <c r="EP36" s="89">
        <v>0</v>
      </c>
      <c r="EQ36" s="590">
        <f t="shared" si="27"/>
        <v>0</v>
      </c>
      <c r="ER36" s="590">
        <f t="shared" si="28"/>
        <v>0</v>
      </c>
      <c r="ES36" s="590">
        <f t="shared" si="29"/>
        <v>0</v>
      </c>
      <c r="FK36" s="89" t="s">
        <v>438</v>
      </c>
      <c r="FL36" s="89" t="s">
        <v>335</v>
      </c>
      <c r="FM36" s="89" t="s">
        <v>439</v>
      </c>
      <c r="FN36" s="89" t="s">
        <v>492</v>
      </c>
      <c r="FO36" s="366" t="s">
        <v>433</v>
      </c>
      <c r="FP36" s="80">
        <v>0</v>
      </c>
      <c r="FQ36" s="80">
        <v>120000000</v>
      </c>
      <c r="FR36" s="80">
        <v>120000000</v>
      </c>
      <c r="FS36" s="566">
        <f t="shared" si="33"/>
        <v>0</v>
      </c>
      <c r="FT36" s="566">
        <f t="shared" si="34"/>
        <v>120000</v>
      </c>
      <c r="FU36" s="566">
        <f t="shared" si="35"/>
        <v>120000</v>
      </c>
      <c r="GI36" s="679" t="s">
        <v>438</v>
      </c>
      <c r="GJ36" s="679" t="s">
        <v>335</v>
      </c>
      <c r="GK36" s="362" t="s">
        <v>447</v>
      </c>
      <c r="GL36" s="679" t="s">
        <v>447</v>
      </c>
      <c r="GM36" s="679" t="s">
        <v>433</v>
      </c>
      <c r="GN36" s="715">
        <v>0</v>
      </c>
      <c r="GO36" s="715">
        <v>0</v>
      </c>
      <c r="GP36" s="715">
        <v>0</v>
      </c>
      <c r="GQ36" s="716">
        <f t="shared" si="37"/>
        <v>0</v>
      </c>
      <c r="GR36" s="716">
        <f t="shared" si="38"/>
        <v>0</v>
      </c>
      <c r="GS36" s="716">
        <f t="shared" si="39"/>
        <v>0</v>
      </c>
      <c r="HH36" s="775" t="s">
        <v>438</v>
      </c>
      <c r="HI36" s="775" t="s">
        <v>335</v>
      </c>
      <c r="HJ36" s="775" t="s">
        <v>629</v>
      </c>
      <c r="HK36" s="776" t="s">
        <v>630</v>
      </c>
      <c r="HL36" s="776" t="s">
        <v>433</v>
      </c>
      <c r="HM36" s="367">
        <v>0</v>
      </c>
      <c r="HN36" s="367">
        <v>114610000</v>
      </c>
      <c r="HO36" s="367">
        <v>76650000</v>
      </c>
      <c r="HP36" s="774">
        <f t="shared" si="41"/>
        <v>0</v>
      </c>
      <c r="HQ36" s="774">
        <f t="shared" si="42"/>
        <v>114610</v>
      </c>
      <c r="HR36" s="774">
        <f t="shared" si="43"/>
        <v>76650</v>
      </c>
      <c r="HW36" s="776"/>
      <c r="HX36" s="776"/>
      <c r="HY36" s="776"/>
      <c r="HZ36" s="776"/>
      <c r="IA36" s="776"/>
      <c r="IB36" s="81"/>
      <c r="IC36" s="81"/>
      <c r="ID36" s="81"/>
      <c r="II36" s="362" t="s">
        <v>438</v>
      </c>
      <c r="IJ36" s="362" t="s">
        <v>335</v>
      </c>
      <c r="IK36" s="362" t="s">
        <v>462</v>
      </c>
      <c r="IL36" s="362" t="s">
        <v>633</v>
      </c>
      <c r="IM36" s="679" t="s">
        <v>433</v>
      </c>
      <c r="IN36" s="248">
        <v>0</v>
      </c>
      <c r="IO36" s="248">
        <v>285000000</v>
      </c>
      <c r="IP36" s="248">
        <v>270000000</v>
      </c>
      <c r="IQ36" s="806">
        <f t="shared" si="45"/>
        <v>0</v>
      </c>
      <c r="IR36" s="806">
        <f t="shared" si="46"/>
        <v>285000</v>
      </c>
      <c r="IS36" s="806">
        <f t="shared" si="47"/>
        <v>270000</v>
      </c>
      <c r="JG36" s="567" t="s">
        <v>438</v>
      </c>
      <c r="JH36" s="567" t="s">
        <v>335</v>
      </c>
      <c r="JI36" s="567" t="s">
        <v>439</v>
      </c>
      <c r="JJ36" s="567" t="s">
        <v>492</v>
      </c>
      <c r="JK36" s="567" t="s">
        <v>433</v>
      </c>
      <c r="JL36" s="80">
        <v>120000000</v>
      </c>
      <c r="JM36" s="80">
        <v>0</v>
      </c>
      <c r="JN36" s="80">
        <v>0</v>
      </c>
      <c r="JO36" s="169">
        <f t="shared" si="49"/>
        <v>120000</v>
      </c>
      <c r="JP36" s="169">
        <f t="shared" si="50"/>
        <v>0</v>
      </c>
      <c r="JQ36" s="169">
        <f t="shared" si="51"/>
        <v>0</v>
      </c>
    </row>
    <row r="37" spans="1:277" ht="15" customHeight="1" x14ac:dyDescent="0.25">
      <c r="A37" s="92" t="s">
        <v>674</v>
      </c>
      <c r="B37" s="92" t="s">
        <v>675</v>
      </c>
      <c r="C37" s="92" t="s">
        <v>447</v>
      </c>
      <c r="D37" s="92" t="s">
        <v>447</v>
      </c>
      <c r="E37" s="93">
        <v>50000000</v>
      </c>
      <c r="F37" s="93">
        <f t="shared" si="7"/>
        <v>53150</v>
      </c>
      <c r="G37" s="93">
        <v>0</v>
      </c>
      <c r="H37" s="93">
        <f t="shared" si="8"/>
        <v>0</v>
      </c>
      <c r="AD37" s="90" t="s">
        <v>438</v>
      </c>
      <c r="AE37" s="90" t="s">
        <v>335</v>
      </c>
      <c r="AF37" s="90" t="s">
        <v>500</v>
      </c>
      <c r="AG37" s="90" t="s">
        <v>489</v>
      </c>
      <c r="AH37" s="91">
        <v>0</v>
      </c>
      <c r="AI37" s="91">
        <f t="shared" si="10"/>
        <v>0</v>
      </c>
      <c r="AJ37" s="91">
        <v>0</v>
      </c>
      <c r="AM37" s="169"/>
      <c r="AW37" s="90" t="s">
        <v>438</v>
      </c>
      <c r="AX37" s="90" t="s">
        <v>335</v>
      </c>
      <c r="AY37" s="90" t="s">
        <v>447</v>
      </c>
      <c r="AZ37" s="90" t="s">
        <v>447</v>
      </c>
      <c r="BA37" s="91">
        <v>0</v>
      </c>
      <c r="BB37" s="91">
        <v>0</v>
      </c>
      <c r="BC37" s="91">
        <v>0</v>
      </c>
      <c r="BD37" s="91">
        <f t="shared" si="52"/>
        <v>0</v>
      </c>
      <c r="BE37" s="91">
        <f t="shared" si="53"/>
        <v>0</v>
      </c>
      <c r="BF37" s="91">
        <f t="shared" si="54"/>
        <v>0</v>
      </c>
      <c r="BT37" s="87" t="s">
        <v>438</v>
      </c>
      <c r="BU37" s="87" t="s">
        <v>335</v>
      </c>
      <c r="BV37" s="87" t="s">
        <v>447</v>
      </c>
      <c r="BW37" s="87" t="s">
        <v>447</v>
      </c>
      <c r="BX37" s="304" t="s">
        <v>433</v>
      </c>
      <c r="BY37" s="88">
        <v>0</v>
      </c>
      <c r="BZ37" s="88">
        <v>0</v>
      </c>
      <c r="CA37" s="88">
        <v>0</v>
      </c>
      <c r="CB37" s="169">
        <f t="shared" si="12"/>
        <v>0</v>
      </c>
      <c r="CC37" s="169">
        <f t="shared" si="13"/>
        <v>0</v>
      </c>
      <c r="CD37" s="169">
        <f t="shared" si="14"/>
        <v>0</v>
      </c>
      <c r="DI37" s="316" t="s">
        <v>438</v>
      </c>
      <c r="DJ37" s="316" t="s">
        <v>335</v>
      </c>
      <c r="DK37" s="316" t="s">
        <v>447</v>
      </c>
      <c r="DL37" s="316" t="s">
        <v>447</v>
      </c>
      <c r="DM37" s="80">
        <v>0</v>
      </c>
      <c r="DN37" s="80">
        <v>0</v>
      </c>
      <c r="DO37" s="80">
        <v>0</v>
      </c>
      <c r="DP37" s="593">
        <f t="shared" si="21"/>
        <v>0</v>
      </c>
      <c r="DQ37" s="593">
        <f t="shared" si="22"/>
        <v>0</v>
      </c>
      <c r="DR37" s="593">
        <f t="shared" si="23"/>
        <v>0</v>
      </c>
      <c r="EI37" s="89" t="s">
        <v>438</v>
      </c>
      <c r="EJ37" s="89" t="s">
        <v>335</v>
      </c>
      <c r="EK37" s="89" t="s">
        <v>500</v>
      </c>
      <c r="EL37" s="89" t="s">
        <v>489</v>
      </c>
      <c r="EM37" s="89" t="s">
        <v>433</v>
      </c>
      <c r="EN37" s="89">
        <v>0</v>
      </c>
      <c r="EO37" s="89">
        <v>0</v>
      </c>
      <c r="EP37" s="89">
        <v>0</v>
      </c>
      <c r="EQ37" s="590">
        <f t="shared" si="27"/>
        <v>0</v>
      </c>
      <c r="ER37" s="590">
        <f t="shared" si="28"/>
        <v>0</v>
      </c>
      <c r="ES37" s="590">
        <f t="shared" si="29"/>
        <v>0</v>
      </c>
      <c r="FK37" s="89" t="s">
        <v>438</v>
      </c>
      <c r="FL37" s="89" t="s">
        <v>335</v>
      </c>
      <c r="FM37" s="89" t="s">
        <v>462</v>
      </c>
      <c r="FN37" s="89" t="s">
        <v>633</v>
      </c>
      <c r="FO37" s="366" t="s">
        <v>433</v>
      </c>
      <c r="FP37" s="80">
        <v>0</v>
      </c>
      <c r="FQ37" s="80">
        <v>164000000</v>
      </c>
      <c r="FR37" s="80">
        <v>164000000</v>
      </c>
      <c r="FS37" s="566">
        <f t="shared" si="33"/>
        <v>0</v>
      </c>
      <c r="FT37" s="566">
        <f t="shared" si="34"/>
        <v>164000</v>
      </c>
      <c r="FU37" s="566">
        <f t="shared" si="35"/>
        <v>164000</v>
      </c>
      <c r="GI37" s="679" t="s">
        <v>438</v>
      </c>
      <c r="GJ37" s="679" t="s">
        <v>335</v>
      </c>
      <c r="GK37" s="362" t="s">
        <v>629</v>
      </c>
      <c r="GL37" s="679" t="s">
        <v>630</v>
      </c>
      <c r="GM37" s="679" t="s">
        <v>433</v>
      </c>
      <c r="GN37" s="715">
        <v>0</v>
      </c>
      <c r="GO37" s="715">
        <v>95250000</v>
      </c>
      <c r="GP37" s="715">
        <v>76650000</v>
      </c>
      <c r="GQ37" s="716">
        <f t="shared" si="37"/>
        <v>0</v>
      </c>
      <c r="GR37" s="716">
        <f t="shared" si="38"/>
        <v>95250</v>
      </c>
      <c r="GS37" s="716">
        <f t="shared" si="39"/>
        <v>76650</v>
      </c>
      <c r="HH37" s="775" t="s">
        <v>438</v>
      </c>
      <c r="HI37" s="775" t="s">
        <v>335</v>
      </c>
      <c r="HJ37" s="775" t="s">
        <v>447</v>
      </c>
      <c r="HK37" s="776" t="s">
        <v>447</v>
      </c>
      <c r="HL37" s="776" t="s">
        <v>433</v>
      </c>
      <c r="HM37" s="367">
        <v>0</v>
      </c>
      <c r="HN37" s="367">
        <v>0</v>
      </c>
      <c r="HO37" s="367">
        <v>0</v>
      </c>
      <c r="HP37" s="774">
        <f t="shared" si="41"/>
        <v>0</v>
      </c>
      <c r="HQ37" s="774">
        <f t="shared" si="42"/>
        <v>0</v>
      </c>
      <c r="HR37" s="774">
        <f t="shared" si="43"/>
        <v>0</v>
      </c>
      <c r="II37" s="362" t="s">
        <v>438</v>
      </c>
      <c r="IJ37" s="362" t="s">
        <v>335</v>
      </c>
      <c r="IK37" s="362" t="s">
        <v>447</v>
      </c>
      <c r="IL37" s="362" t="s">
        <v>447</v>
      </c>
      <c r="IM37" s="679" t="s">
        <v>433</v>
      </c>
      <c r="IN37" s="248">
        <v>0</v>
      </c>
      <c r="IO37" s="248">
        <v>0</v>
      </c>
      <c r="IP37" s="248">
        <v>0</v>
      </c>
      <c r="IQ37" s="806">
        <f t="shared" si="45"/>
        <v>0</v>
      </c>
      <c r="IR37" s="806">
        <f t="shared" si="46"/>
        <v>0</v>
      </c>
      <c r="IS37" s="806">
        <f t="shared" si="47"/>
        <v>0</v>
      </c>
      <c r="JG37" s="567" t="s">
        <v>438</v>
      </c>
      <c r="JH37" s="567" t="s">
        <v>335</v>
      </c>
      <c r="JI37" s="567" t="s">
        <v>447</v>
      </c>
      <c r="JJ37" s="567" t="s">
        <v>447</v>
      </c>
      <c r="JK37" s="567" t="s">
        <v>433</v>
      </c>
      <c r="JL37" s="80">
        <v>0</v>
      </c>
      <c r="JM37" s="80">
        <v>0</v>
      </c>
      <c r="JN37" s="80">
        <v>0</v>
      </c>
      <c r="JO37" s="169">
        <f t="shared" si="49"/>
        <v>0</v>
      </c>
      <c r="JP37" s="169">
        <f t="shared" si="50"/>
        <v>0</v>
      </c>
      <c r="JQ37" s="169">
        <f t="shared" si="51"/>
        <v>0</v>
      </c>
    </row>
    <row r="38" spans="1:277" ht="15" customHeight="1" x14ac:dyDescent="0.25">
      <c r="A38" s="92" t="s">
        <v>452</v>
      </c>
      <c r="B38" s="92" t="s">
        <v>128</v>
      </c>
      <c r="C38" s="92" t="s">
        <v>447</v>
      </c>
      <c r="D38" s="92" t="s">
        <v>447</v>
      </c>
      <c r="E38" s="93">
        <v>10000</v>
      </c>
      <c r="F38" s="93">
        <f t="shared" si="7"/>
        <v>10.629999999999999</v>
      </c>
      <c r="G38" s="93">
        <v>0</v>
      </c>
      <c r="H38" s="93">
        <f t="shared" si="8"/>
        <v>0</v>
      </c>
      <c r="AD38" s="90" t="s">
        <v>463</v>
      </c>
      <c r="AE38" s="90" t="s">
        <v>464</v>
      </c>
      <c r="AF38" s="90" t="s">
        <v>447</v>
      </c>
      <c r="AG38" s="90" t="s">
        <v>447</v>
      </c>
      <c r="AH38" s="91">
        <v>520000000</v>
      </c>
      <c r="AI38" s="91">
        <f t="shared" si="10"/>
        <v>552760</v>
      </c>
      <c r="AJ38" s="91">
        <v>0</v>
      </c>
      <c r="AM38" s="169"/>
      <c r="AW38" s="90" t="s">
        <v>463</v>
      </c>
      <c r="AX38" s="90" t="s">
        <v>464</v>
      </c>
      <c r="AY38" s="90" t="s">
        <v>447</v>
      </c>
      <c r="AZ38" s="90" t="s">
        <v>447</v>
      </c>
      <c r="BA38" s="91">
        <v>520000000</v>
      </c>
      <c r="BB38" s="91">
        <v>0</v>
      </c>
      <c r="BC38" s="91">
        <v>0</v>
      </c>
      <c r="BD38" s="91">
        <f t="shared" si="52"/>
        <v>552760</v>
      </c>
      <c r="BE38" s="91">
        <f t="shared" si="53"/>
        <v>0</v>
      </c>
      <c r="BF38" s="91">
        <f t="shared" si="54"/>
        <v>0</v>
      </c>
      <c r="BT38" s="87" t="s">
        <v>463</v>
      </c>
      <c r="BU38" s="87" t="s">
        <v>464</v>
      </c>
      <c r="BV38" s="87" t="s">
        <v>447</v>
      </c>
      <c r="BW38" s="87" t="s">
        <v>447</v>
      </c>
      <c r="BX38" s="304" t="s">
        <v>433</v>
      </c>
      <c r="BY38" s="88">
        <v>520000000</v>
      </c>
      <c r="BZ38" s="88">
        <v>0</v>
      </c>
      <c r="CA38" s="88">
        <v>0</v>
      </c>
      <c r="CB38" s="169">
        <f t="shared" si="12"/>
        <v>520000</v>
      </c>
      <c r="CC38" s="169">
        <f t="shared" si="13"/>
        <v>0</v>
      </c>
      <c r="CD38" s="169">
        <f t="shared" si="14"/>
        <v>0</v>
      </c>
      <c r="DI38" s="316" t="s">
        <v>438</v>
      </c>
      <c r="DJ38" s="316" t="s">
        <v>335</v>
      </c>
      <c r="DK38" s="316" t="s">
        <v>439</v>
      </c>
      <c r="DL38" s="316" t="s">
        <v>492</v>
      </c>
      <c r="DM38" s="80">
        <v>0</v>
      </c>
      <c r="DN38" s="80">
        <v>120000000</v>
      </c>
      <c r="DO38" s="80">
        <v>96000000</v>
      </c>
      <c r="DP38" s="593">
        <f t="shared" si="21"/>
        <v>0</v>
      </c>
      <c r="DQ38" s="593">
        <f t="shared" si="22"/>
        <v>120000</v>
      </c>
      <c r="DR38" s="593">
        <f t="shared" si="23"/>
        <v>96000</v>
      </c>
      <c r="EI38" s="89" t="s">
        <v>438</v>
      </c>
      <c r="EJ38" s="89" t="s">
        <v>335</v>
      </c>
      <c r="EK38" s="89" t="s">
        <v>447</v>
      </c>
      <c r="EL38" s="89" t="s">
        <v>447</v>
      </c>
      <c r="EM38" s="89" t="s">
        <v>433</v>
      </c>
      <c r="EN38" s="89">
        <v>0</v>
      </c>
      <c r="EO38" s="89">
        <v>0</v>
      </c>
      <c r="EP38" s="89">
        <v>0</v>
      </c>
      <c r="EQ38" s="590">
        <f t="shared" si="27"/>
        <v>0</v>
      </c>
      <c r="ER38" s="590">
        <f t="shared" si="28"/>
        <v>0</v>
      </c>
      <c r="ES38" s="590">
        <f t="shared" si="29"/>
        <v>0</v>
      </c>
      <c r="FK38" s="89" t="s">
        <v>438</v>
      </c>
      <c r="FL38" s="89" t="s">
        <v>335</v>
      </c>
      <c r="FM38" s="89" t="s">
        <v>447</v>
      </c>
      <c r="FN38" s="89" t="s">
        <v>447</v>
      </c>
      <c r="FO38" s="366" t="s">
        <v>433</v>
      </c>
      <c r="FP38" s="80">
        <v>0</v>
      </c>
      <c r="FQ38" s="80">
        <v>0</v>
      </c>
      <c r="FR38" s="80">
        <v>0</v>
      </c>
      <c r="FS38" s="566">
        <f t="shared" si="33"/>
        <v>0</v>
      </c>
      <c r="FT38" s="566">
        <f t="shared" si="34"/>
        <v>0</v>
      </c>
      <c r="FU38" s="566">
        <f t="shared" si="35"/>
        <v>0</v>
      </c>
      <c r="GI38" s="679" t="s">
        <v>438</v>
      </c>
      <c r="GJ38" s="679" t="s">
        <v>335</v>
      </c>
      <c r="GK38" s="362" t="s">
        <v>439</v>
      </c>
      <c r="GL38" s="679" t="s">
        <v>492</v>
      </c>
      <c r="GM38" s="679" t="s">
        <v>433</v>
      </c>
      <c r="GN38" s="715">
        <v>0</v>
      </c>
      <c r="GO38" s="715">
        <v>120000000</v>
      </c>
      <c r="GP38" s="715">
        <v>120000000</v>
      </c>
      <c r="GQ38" s="716">
        <f t="shared" si="37"/>
        <v>0</v>
      </c>
      <c r="GR38" s="716">
        <f t="shared" si="38"/>
        <v>120000</v>
      </c>
      <c r="GS38" s="716">
        <f t="shared" si="39"/>
        <v>120000</v>
      </c>
      <c r="HH38" s="775" t="s">
        <v>438</v>
      </c>
      <c r="HI38" s="775" t="s">
        <v>335</v>
      </c>
      <c r="HJ38" s="775" t="s">
        <v>447</v>
      </c>
      <c r="HK38" s="776" t="s">
        <v>447</v>
      </c>
      <c r="HL38" s="776" t="s">
        <v>433</v>
      </c>
      <c r="HM38" s="367">
        <v>0</v>
      </c>
      <c r="HN38" s="367">
        <v>0</v>
      </c>
      <c r="HO38" s="367">
        <v>0</v>
      </c>
      <c r="HP38" s="774">
        <f t="shared" si="41"/>
        <v>0</v>
      </c>
      <c r="HQ38" s="774">
        <f t="shared" si="42"/>
        <v>0</v>
      </c>
      <c r="HR38" s="774">
        <f t="shared" si="43"/>
        <v>0</v>
      </c>
      <c r="II38" s="362" t="s">
        <v>438</v>
      </c>
      <c r="IJ38" s="362" t="s">
        <v>335</v>
      </c>
      <c r="IK38" s="362" t="s">
        <v>447</v>
      </c>
      <c r="IL38" s="362" t="s">
        <v>447</v>
      </c>
      <c r="IM38" s="679" t="s">
        <v>433</v>
      </c>
      <c r="IN38" s="248">
        <v>0</v>
      </c>
      <c r="IO38" s="248">
        <v>0</v>
      </c>
      <c r="IP38" s="248">
        <v>0</v>
      </c>
      <c r="IQ38" s="806">
        <f t="shared" si="45"/>
        <v>0</v>
      </c>
      <c r="IR38" s="806">
        <f t="shared" si="46"/>
        <v>0</v>
      </c>
      <c r="IS38" s="806">
        <f t="shared" si="47"/>
        <v>0</v>
      </c>
      <c r="JG38" s="567" t="s">
        <v>438</v>
      </c>
      <c r="JH38" s="567" t="s">
        <v>335</v>
      </c>
      <c r="JI38" s="567" t="s">
        <v>629</v>
      </c>
      <c r="JJ38" s="567" t="s">
        <v>630</v>
      </c>
      <c r="JK38" s="567" t="s">
        <v>433</v>
      </c>
      <c r="JL38" s="80">
        <v>0</v>
      </c>
      <c r="JM38" s="80">
        <v>128530000</v>
      </c>
      <c r="JN38" s="80">
        <v>128530000</v>
      </c>
      <c r="JO38" s="169">
        <f t="shared" si="49"/>
        <v>0</v>
      </c>
      <c r="JP38" s="169">
        <f t="shared" si="50"/>
        <v>128530</v>
      </c>
      <c r="JQ38" s="169">
        <f t="shared" si="51"/>
        <v>128530</v>
      </c>
    </row>
    <row r="39" spans="1:277" ht="15" customHeight="1" x14ac:dyDescent="0.25">
      <c r="A39" s="92" t="s">
        <v>452</v>
      </c>
      <c r="B39" s="92" t="s">
        <v>128</v>
      </c>
      <c r="C39" s="92" t="s">
        <v>447</v>
      </c>
      <c r="D39" s="92" t="s">
        <v>447</v>
      </c>
      <c r="E39" s="93">
        <v>0</v>
      </c>
      <c r="F39" s="93">
        <f t="shared" si="7"/>
        <v>0</v>
      </c>
      <c r="G39" s="93">
        <v>98044982</v>
      </c>
      <c r="H39" s="93">
        <f t="shared" si="8"/>
        <v>104221.815866</v>
      </c>
      <c r="AD39" s="90" t="s">
        <v>463</v>
      </c>
      <c r="AE39" s="90" t="s">
        <v>464</v>
      </c>
      <c r="AF39" s="90" t="s">
        <v>447</v>
      </c>
      <c r="AG39" s="90" t="s">
        <v>447</v>
      </c>
      <c r="AH39" s="91">
        <v>0</v>
      </c>
      <c r="AI39" s="91">
        <f t="shared" si="10"/>
        <v>0</v>
      </c>
      <c r="AJ39" s="91">
        <v>14000000</v>
      </c>
      <c r="AM39" s="169"/>
      <c r="AW39" s="90" t="s">
        <v>463</v>
      </c>
      <c r="AX39" s="90" t="s">
        <v>464</v>
      </c>
      <c r="AY39" s="90" t="s">
        <v>447</v>
      </c>
      <c r="AZ39" s="90" t="s">
        <v>447</v>
      </c>
      <c r="BA39" s="91">
        <v>0</v>
      </c>
      <c r="BB39" s="91">
        <v>14000000</v>
      </c>
      <c r="BC39" s="91">
        <v>14000000</v>
      </c>
      <c r="BD39" s="91">
        <f t="shared" si="52"/>
        <v>0</v>
      </c>
      <c r="BE39" s="91">
        <f t="shared" si="53"/>
        <v>14882</v>
      </c>
      <c r="BF39" s="91">
        <f t="shared" si="54"/>
        <v>14882</v>
      </c>
      <c r="BT39" s="87" t="s">
        <v>463</v>
      </c>
      <c r="BU39" s="87" t="s">
        <v>464</v>
      </c>
      <c r="BV39" s="87" t="s">
        <v>447</v>
      </c>
      <c r="BW39" s="87" t="s">
        <v>447</v>
      </c>
      <c r="BX39" s="304" t="s">
        <v>433</v>
      </c>
      <c r="BY39" s="88">
        <v>0</v>
      </c>
      <c r="BZ39" s="88">
        <v>14000000</v>
      </c>
      <c r="CA39" s="88">
        <v>14000000</v>
      </c>
      <c r="CB39" s="169">
        <f t="shared" si="12"/>
        <v>0</v>
      </c>
      <c r="CC39" s="169">
        <f t="shared" si="13"/>
        <v>14000</v>
      </c>
      <c r="CD39" s="169">
        <f t="shared" si="14"/>
        <v>14000</v>
      </c>
      <c r="DI39" s="316" t="s">
        <v>438</v>
      </c>
      <c r="DJ39" s="316" t="s">
        <v>335</v>
      </c>
      <c r="DK39" s="316" t="s">
        <v>447</v>
      </c>
      <c r="DL39" s="316" t="s">
        <v>447</v>
      </c>
      <c r="DM39" s="80">
        <v>0</v>
      </c>
      <c r="DN39" s="80">
        <v>0</v>
      </c>
      <c r="DO39" s="80">
        <v>0</v>
      </c>
      <c r="DP39" s="593">
        <f t="shared" si="21"/>
        <v>0</v>
      </c>
      <c r="DQ39" s="593">
        <f t="shared" si="22"/>
        <v>0</v>
      </c>
      <c r="DR39" s="593">
        <f t="shared" si="23"/>
        <v>0</v>
      </c>
      <c r="EI39" s="89" t="s">
        <v>438</v>
      </c>
      <c r="EJ39" s="89" t="s">
        <v>335</v>
      </c>
      <c r="EK39" s="89" t="s">
        <v>629</v>
      </c>
      <c r="EL39" s="89" t="s">
        <v>630</v>
      </c>
      <c r="EM39" s="89" t="s">
        <v>433</v>
      </c>
      <c r="EN39" s="89">
        <v>0</v>
      </c>
      <c r="EO39" s="89">
        <v>95250000</v>
      </c>
      <c r="EP39" s="89">
        <v>76650000</v>
      </c>
      <c r="EQ39" s="590">
        <f t="shared" si="27"/>
        <v>0</v>
      </c>
      <c r="ER39" s="590">
        <f t="shared" si="28"/>
        <v>95250</v>
      </c>
      <c r="ES39" s="590">
        <f t="shared" si="29"/>
        <v>76650</v>
      </c>
      <c r="FK39" s="89" t="s">
        <v>438</v>
      </c>
      <c r="FL39" s="89" t="s">
        <v>335</v>
      </c>
      <c r="FM39" s="89" t="s">
        <v>500</v>
      </c>
      <c r="FN39" s="89" t="s">
        <v>489</v>
      </c>
      <c r="FO39" s="366" t="s">
        <v>433</v>
      </c>
      <c r="FP39" s="80">
        <v>0</v>
      </c>
      <c r="FQ39" s="80">
        <v>0</v>
      </c>
      <c r="FR39" s="80">
        <v>0</v>
      </c>
      <c r="FS39" s="566">
        <f t="shared" si="33"/>
        <v>0</v>
      </c>
      <c r="FT39" s="566">
        <f t="shared" si="34"/>
        <v>0</v>
      </c>
      <c r="FU39" s="566">
        <f t="shared" si="35"/>
        <v>0</v>
      </c>
      <c r="GI39" s="679" t="s">
        <v>438</v>
      </c>
      <c r="GJ39" s="679" t="s">
        <v>335</v>
      </c>
      <c r="GK39" s="362" t="s">
        <v>500</v>
      </c>
      <c r="GL39" s="679" t="s">
        <v>489</v>
      </c>
      <c r="GM39" s="679" t="s">
        <v>433</v>
      </c>
      <c r="GN39" s="715">
        <v>0</v>
      </c>
      <c r="GO39" s="715">
        <v>0</v>
      </c>
      <c r="GP39" s="715">
        <v>0</v>
      </c>
      <c r="GQ39" s="716">
        <f t="shared" si="37"/>
        <v>0</v>
      </c>
      <c r="GR39" s="716">
        <f t="shared" si="38"/>
        <v>0</v>
      </c>
      <c r="GS39" s="716">
        <f t="shared" si="39"/>
        <v>0</v>
      </c>
      <c r="HH39" s="775" t="s">
        <v>438</v>
      </c>
      <c r="HI39" s="775" t="s">
        <v>335</v>
      </c>
      <c r="HJ39" s="775" t="s">
        <v>488</v>
      </c>
      <c r="HK39" s="776" t="s">
        <v>631</v>
      </c>
      <c r="HL39" s="776" t="s">
        <v>433</v>
      </c>
      <c r="HM39" s="367">
        <v>0</v>
      </c>
      <c r="HN39" s="367">
        <v>308990000</v>
      </c>
      <c r="HO39" s="367">
        <v>63000000</v>
      </c>
      <c r="HP39" s="774">
        <f t="shared" si="41"/>
        <v>0</v>
      </c>
      <c r="HQ39" s="774">
        <f t="shared" si="42"/>
        <v>308990</v>
      </c>
      <c r="HR39" s="774">
        <f t="shared" si="43"/>
        <v>63000</v>
      </c>
      <c r="II39" s="362" t="s">
        <v>438</v>
      </c>
      <c r="IJ39" s="362" t="s">
        <v>335</v>
      </c>
      <c r="IK39" s="362" t="s">
        <v>500</v>
      </c>
      <c r="IL39" s="362" t="s">
        <v>489</v>
      </c>
      <c r="IM39" s="679" t="s">
        <v>433</v>
      </c>
      <c r="IN39" s="248">
        <v>0</v>
      </c>
      <c r="IO39" s="248">
        <v>0</v>
      </c>
      <c r="IP39" s="248">
        <v>0</v>
      </c>
      <c r="IQ39" s="806">
        <f t="shared" si="45"/>
        <v>0</v>
      </c>
      <c r="IR39" s="806">
        <f t="shared" si="46"/>
        <v>0</v>
      </c>
      <c r="IS39" s="806">
        <f t="shared" si="47"/>
        <v>0</v>
      </c>
      <c r="JG39" s="567" t="s">
        <v>438</v>
      </c>
      <c r="JH39" s="567" t="s">
        <v>335</v>
      </c>
      <c r="JI39" s="567" t="s">
        <v>462</v>
      </c>
      <c r="JJ39" s="567" t="s">
        <v>633</v>
      </c>
      <c r="JK39" s="567" t="s">
        <v>433</v>
      </c>
      <c r="JL39" s="80">
        <v>0</v>
      </c>
      <c r="JM39" s="80">
        <v>285000000</v>
      </c>
      <c r="JN39" s="80">
        <v>285000000</v>
      </c>
      <c r="JO39" s="169">
        <f t="shared" si="49"/>
        <v>0</v>
      </c>
      <c r="JP39" s="169">
        <f t="shared" si="50"/>
        <v>285000</v>
      </c>
      <c r="JQ39" s="169">
        <f t="shared" si="51"/>
        <v>285000</v>
      </c>
    </row>
    <row r="40" spans="1:277" ht="15" customHeight="1" x14ac:dyDescent="0.25">
      <c r="AD40" s="90" t="s">
        <v>465</v>
      </c>
      <c r="AE40" s="90" t="s">
        <v>466</v>
      </c>
      <c r="AF40" s="90" t="s">
        <v>447</v>
      </c>
      <c r="AG40" s="90" t="s">
        <v>447</v>
      </c>
      <c r="AH40" s="91">
        <v>280000000</v>
      </c>
      <c r="AI40" s="91">
        <f t="shared" si="10"/>
        <v>297640</v>
      </c>
      <c r="AJ40" s="91">
        <v>0</v>
      </c>
      <c r="AM40" s="169"/>
      <c r="AW40" s="90" t="s">
        <v>465</v>
      </c>
      <c r="AX40" s="90" t="s">
        <v>466</v>
      </c>
      <c r="AY40" s="90" t="s">
        <v>447</v>
      </c>
      <c r="AZ40" s="90" t="s">
        <v>447</v>
      </c>
      <c r="BA40" s="91">
        <v>280000000</v>
      </c>
      <c r="BB40" s="91">
        <v>0</v>
      </c>
      <c r="BC40" s="91">
        <v>0</v>
      </c>
      <c r="BD40" s="91">
        <f t="shared" si="52"/>
        <v>297640</v>
      </c>
      <c r="BE40" s="91">
        <f t="shared" si="53"/>
        <v>0</v>
      </c>
      <c r="BF40" s="91">
        <f t="shared" si="54"/>
        <v>0</v>
      </c>
      <c r="BT40" s="87" t="s">
        <v>465</v>
      </c>
      <c r="BU40" s="87" t="s">
        <v>466</v>
      </c>
      <c r="BV40" s="87" t="s">
        <v>447</v>
      </c>
      <c r="BW40" s="87" t="s">
        <v>447</v>
      </c>
      <c r="BX40" s="304" t="s">
        <v>433</v>
      </c>
      <c r="BY40" s="88">
        <v>280000000</v>
      </c>
      <c r="BZ40" s="88">
        <v>0</v>
      </c>
      <c r="CA40" s="88">
        <v>0</v>
      </c>
      <c r="CB40" s="169">
        <f t="shared" si="12"/>
        <v>280000</v>
      </c>
      <c r="CC40" s="169">
        <f t="shared" si="13"/>
        <v>0</v>
      </c>
      <c r="CD40" s="169">
        <f t="shared" si="14"/>
        <v>0</v>
      </c>
      <c r="DI40" s="316" t="s">
        <v>544</v>
      </c>
      <c r="DJ40" s="316" t="s">
        <v>545</v>
      </c>
      <c r="DK40" s="316" t="s">
        <v>447</v>
      </c>
      <c r="DL40" s="316" t="s">
        <v>447</v>
      </c>
      <c r="DM40" s="80">
        <v>10</v>
      </c>
      <c r="DN40" s="80">
        <v>0</v>
      </c>
      <c r="DO40" s="80">
        <v>0</v>
      </c>
      <c r="DP40" s="593">
        <f t="shared" si="21"/>
        <v>0.01</v>
      </c>
      <c r="DQ40" s="593">
        <f t="shared" si="22"/>
        <v>0</v>
      </c>
      <c r="DR40" s="593">
        <f t="shared" si="23"/>
        <v>0</v>
      </c>
      <c r="EI40" s="89" t="s">
        <v>438</v>
      </c>
      <c r="EJ40" s="89" t="s">
        <v>335</v>
      </c>
      <c r="EK40" s="89" t="s">
        <v>439</v>
      </c>
      <c r="EL40" s="89" t="s">
        <v>492</v>
      </c>
      <c r="EM40" s="89" t="s">
        <v>433</v>
      </c>
      <c r="EN40" s="89">
        <v>0</v>
      </c>
      <c r="EO40" s="89">
        <v>120000000</v>
      </c>
      <c r="EP40" s="89">
        <v>120000000</v>
      </c>
      <c r="EQ40" s="590">
        <f t="shared" si="27"/>
        <v>0</v>
      </c>
      <c r="ER40" s="590">
        <f t="shared" si="28"/>
        <v>120000</v>
      </c>
      <c r="ES40" s="590">
        <f t="shared" si="29"/>
        <v>120000</v>
      </c>
      <c r="FK40" s="89" t="s">
        <v>438</v>
      </c>
      <c r="FL40" s="89" t="s">
        <v>335</v>
      </c>
      <c r="FM40" s="89" t="s">
        <v>447</v>
      </c>
      <c r="FN40" s="89" t="s">
        <v>447</v>
      </c>
      <c r="FO40" s="366" t="s">
        <v>433</v>
      </c>
      <c r="FP40" s="80">
        <v>0</v>
      </c>
      <c r="FQ40" s="80">
        <v>0</v>
      </c>
      <c r="FR40" s="80">
        <v>0</v>
      </c>
      <c r="FS40" s="566">
        <f t="shared" si="33"/>
        <v>0</v>
      </c>
      <c r="FT40" s="566">
        <f t="shared" si="34"/>
        <v>0</v>
      </c>
      <c r="FU40" s="566">
        <f t="shared" si="35"/>
        <v>0</v>
      </c>
      <c r="GI40" s="679" t="s">
        <v>438</v>
      </c>
      <c r="GJ40" s="679" t="s">
        <v>335</v>
      </c>
      <c r="GK40" s="362" t="s">
        <v>447</v>
      </c>
      <c r="GL40" s="679" t="s">
        <v>447</v>
      </c>
      <c r="GM40" s="679" t="s">
        <v>433</v>
      </c>
      <c r="GN40" s="715">
        <v>0</v>
      </c>
      <c r="GO40" s="715">
        <v>0</v>
      </c>
      <c r="GP40" s="715">
        <v>0</v>
      </c>
      <c r="GQ40" s="716">
        <f t="shared" si="37"/>
        <v>0</v>
      </c>
      <c r="GR40" s="716">
        <f t="shared" si="38"/>
        <v>0</v>
      </c>
      <c r="GS40" s="716">
        <f t="shared" si="39"/>
        <v>0</v>
      </c>
      <c r="HH40" s="775" t="s">
        <v>438</v>
      </c>
      <c r="HI40" s="775" t="s">
        <v>335</v>
      </c>
      <c r="HJ40" s="775" t="s">
        <v>462</v>
      </c>
      <c r="HK40" s="776" t="s">
        <v>633</v>
      </c>
      <c r="HL40" s="776" t="s">
        <v>433</v>
      </c>
      <c r="HM40" s="367">
        <v>0</v>
      </c>
      <c r="HN40" s="367">
        <v>285000000</v>
      </c>
      <c r="HO40" s="367">
        <v>164000000</v>
      </c>
      <c r="HP40" s="774">
        <f t="shared" si="41"/>
        <v>0</v>
      </c>
      <c r="HQ40" s="774">
        <f t="shared" si="42"/>
        <v>285000</v>
      </c>
      <c r="HR40" s="774">
        <f t="shared" si="43"/>
        <v>164000</v>
      </c>
      <c r="II40" s="362" t="s">
        <v>438</v>
      </c>
      <c r="IJ40" s="362" t="s">
        <v>335</v>
      </c>
      <c r="IK40" s="362" t="s">
        <v>499</v>
      </c>
      <c r="IL40" s="362" t="s">
        <v>632</v>
      </c>
      <c r="IM40" s="679" t="s">
        <v>433</v>
      </c>
      <c r="IN40" s="248">
        <v>0</v>
      </c>
      <c r="IO40" s="248">
        <v>1779200000</v>
      </c>
      <c r="IP40" s="248">
        <v>797600000</v>
      </c>
      <c r="IQ40" s="806">
        <f t="shared" si="45"/>
        <v>0</v>
      </c>
      <c r="IR40" s="806">
        <f t="shared" si="46"/>
        <v>1779200</v>
      </c>
      <c r="IS40" s="806">
        <f t="shared" si="47"/>
        <v>797600</v>
      </c>
      <c r="JG40" s="567" t="s">
        <v>438</v>
      </c>
      <c r="JH40" s="567" t="s">
        <v>335</v>
      </c>
      <c r="JI40" s="567" t="s">
        <v>447</v>
      </c>
      <c r="JJ40" s="567" t="s">
        <v>447</v>
      </c>
      <c r="JK40" s="567" t="s">
        <v>433</v>
      </c>
      <c r="JL40" s="80">
        <v>0</v>
      </c>
      <c r="JM40" s="80">
        <v>0</v>
      </c>
      <c r="JN40" s="80">
        <v>0</v>
      </c>
      <c r="JO40" s="169">
        <f t="shared" si="49"/>
        <v>0</v>
      </c>
      <c r="JP40" s="169">
        <f t="shared" si="50"/>
        <v>0</v>
      </c>
      <c r="JQ40" s="169">
        <f t="shared" si="51"/>
        <v>0</v>
      </c>
    </row>
    <row r="41" spans="1:277" ht="15" customHeight="1" x14ac:dyDescent="0.25">
      <c r="AD41" s="90" t="s">
        <v>465</v>
      </c>
      <c r="AE41" s="90" t="s">
        <v>466</v>
      </c>
      <c r="AF41" s="90" t="s">
        <v>447</v>
      </c>
      <c r="AG41" s="90" t="s">
        <v>447</v>
      </c>
      <c r="AH41" s="91">
        <v>0</v>
      </c>
      <c r="AI41" s="91">
        <f t="shared" si="10"/>
        <v>0</v>
      </c>
      <c r="AJ41" s="91">
        <v>44031930</v>
      </c>
      <c r="AM41" s="169"/>
      <c r="AW41" s="90" t="s">
        <v>465</v>
      </c>
      <c r="AX41" s="90" t="s">
        <v>466</v>
      </c>
      <c r="AY41" s="90" t="s">
        <v>447</v>
      </c>
      <c r="AZ41" s="90" t="s">
        <v>447</v>
      </c>
      <c r="BA41" s="91">
        <v>0</v>
      </c>
      <c r="BB41" s="91">
        <v>216626022</v>
      </c>
      <c r="BC41" s="91">
        <v>54361506</v>
      </c>
      <c r="BD41" s="91">
        <f t="shared" si="52"/>
        <v>0</v>
      </c>
      <c r="BE41" s="91">
        <f t="shared" si="53"/>
        <v>230273.46138599998</v>
      </c>
      <c r="BF41" s="91">
        <f t="shared" si="54"/>
        <v>57786.280877999998</v>
      </c>
      <c r="BT41" s="87" t="s">
        <v>465</v>
      </c>
      <c r="BU41" s="87" t="s">
        <v>466</v>
      </c>
      <c r="BV41" s="87" t="s">
        <v>447</v>
      </c>
      <c r="BW41" s="87" t="s">
        <v>447</v>
      </c>
      <c r="BX41" s="304" t="s">
        <v>433</v>
      </c>
      <c r="BY41" s="88">
        <v>0</v>
      </c>
      <c r="BZ41" s="88">
        <v>216626022</v>
      </c>
      <c r="CA41" s="88">
        <v>57777937</v>
      </c>
      <c r="CB41" s="169">
        <f t="shared" si="12"/>
        <v>0</v>
      </c>
      <c r="CC41" s="169">
        <f t="shared" si="13"/>
        <v>216626.022</v>
      </c>
      <c r="CD41" s="169">
        <f t="shared" si="14"/>
        <v>57777.936999999998</v>
      </c>
      <c r="DI41" s="316" t="s">
        <v>463</v>
      </c>
      <c r="DJ41" s="316" t="s">
        <v>464</v>
      </c>
      <c r="DK41" s="316" t="s">
        <v>447</v>
      </c>
      <c r="DL41" s="316" t="s">
        <v>447</v>
      </c>
      <c r="DM41" s="80">
        <v>520000000</v>
      </c>
      <c r="DN41" s="80">
        <v>0</v>
      </c>
      <c r="DO41" s="80">
        <v>0</v>
      </c>
      <c r="DP41" s="593">
        <f t="shared" si="21"/>
        <v>520000</v>
      </c>
      <c r="DQ41" s="593">
        <f t="shared" si="22"/>
        <v>0</v>
      </c>
      <c r="DR41" s="593">
        <f t="shared" si="23"/>
        <v>0</v>
      </c>
      <c r="EI41" s="89" t="s">
        <v>544</v>
      </c>
      <c r="EJ41" s="89" t="s">
        <v>545</v>
      </c>
      <c r="EK41" s="89" t="s">
        <v>447</v>
      </c>
      <c r="EL41" s="89" t="s">
        <v>447</v>
      </c>
      <c r="EM41" s="89" t="s">
        <v>433</v>
      </c>
      <c r="EN41" s="89">
        <v>10</v>
      </c>
      <c r="EO41" s="89">
        <v>0</v>
      </c>
      <c r="EP41" s="89">
        <v>0</v>
      </c>
      <c r="EQ41" s="590">
        <f t="shared" si="27"/>
        <v>0.01</v>
      </c>
      <c r="ER41" s="590">
        <f t="shared" si="28"/>
        <v>0</v>
      </c>
      <c r="ES41" s="590">
        <f t="shared" si="29"/>
        <v>0</v>
      </c>
      <c r="FK41" s="89" t="s">
        <v>544</v>
      </c>
      <c r="FL41" s="89" t="s">
        <v>545</v>
      </c>
      <c r="FM41" s="89" t="s">
        <v>447</v>
      </c>
      <c r="FN41" s="89" t="s">
        <v>447</v>
      </c>
      <c r="FO41" s="366" t="s">
        <v>433</v>
      </c>
      <c r="FP41" s="80">
        <v>10</v>
      </c>
      <c r="FQ41" s="80">
        <v>0</v>
      </c>
      <c r="FR41" s="80">
        <v>0</v>
      </c>
      <c r="FS41" s="566">
        <f t="shared" si="33"/>
        <v>0.01</v>
      </c>
      <c r="FT41" s="566">
        <f t="shared" si="34"/>
        <v>0</v>
      </c>
      <c r="FU41" s="566">
        <f t="shared" si="35"/>
        <v>0</v>
      </c>
      <c r="GI41" s="679" t="s">
        <v>544</v>
      </c>
      <c r="GJ41" s="679" t="s">
        <v>545</v>
      </c>
      <c r="GK41" s="362" t="s">
        <v>447</v>
      </c>
      <c r="GL41" s="679" t="s">
        <v>447</v>
      </c>
      <c r="GM41" s="679" t="s">
        <v>433</v>
      </c>
      <c r="GN41" s="715">
        <v>10</v>
      </c>
      <c r="GO41" s="715">
        <v>0</v>
      </c>
      <c r="GP41" s="715">
        <v>0</v>
      </c>
      <c r="GQ41" s="716">
        <f t="shared" si="37"/>
        <v>0.01</v>
      </c>
      <c r="GR41" s="716">
        <f t="shared" si="38"/>
        <v>0</v>
      </c>
      <c r="GS41" s="716">
        <f t="shared" si="39"/>
        <v>0</v>
      </c>
      <c r="HH41" s="775" t="s">
        <v>438</v>
      </c>
      <c r="HI41" s="775" t="s">
        <v>335</v>
      </c>
      <c r="HJ41" s="775" t="s">
        <v>439</v>
      </c>
      <c r="HK41" s="776" t="s">
        <v>492</v>
      </c>
      <c r="HL41" s="776" t="s">
        <v>433</v>
      </c>
      <c r="HM41" s="367">
        <v>0</v>
      </c>
      <c r="HN41" s="367">
        <v>120000000</v>
      </c>
      <c r="HO41" s="367">
        <v>120000000</v>
      </c>
      <c r="HP41" s="774">
        <f t="shared" si="41"/>
        <v>0</v>
      </c>
      <c r="HQ41" s="774">
        <f t="shared" si="42"/>
        <v>120000</v>
      </c>
      <c r="HR41" s="774">
        <f t="shared" si="43"/>
        <v>120000</v>
      </c>
      <c r="II41" s="362" t="s">
        <v>438</v>
      </c>
      <c r="IJ41" s="362" t="s">
        <v>335</v>
      </c>
      <c r="IK41" s="362" t="s">
        <v>488</v>
      </c>
      <c r="IL41" s="362" t="s">
        <v>631</v>
      </c>
      <c r="IM41" s="679" t="s">
        <v>433</v>
      </c>
      <c r="IN41" s="248">
        <v>0</v>
      </c>
      <c r="IO41" s="248">
        <v>308990000</v>
      </c>
      <c r="IP41" s="248">
        <v>308990000</v>
      </c>
      <c r="IQ41" s="806">
        <f t="shared" si="45"/>
        <v>0</v>
      </c>
      <c r="IR41" s="806">
        <f t="shared" si="46"/>
        <v>308990</v>
      </c>
      <c r="IS41" s="806">
        <f t="shared" si="47"/>
        <v>308990</v>
      </c>
      <c r="JG41" s="567" t="s">
        <v>438</v>
      </c>
      <c r="JH41" s="567" t="s">
        <v>335</v>
      </c>
      <c r="JI41" s="567" t="s">
        <v>499</v>
      </c>
      <c r="JJ41" s="567" t="s">
        <v>632</v>
      </c>
      <c r="JK41" s="567" t="s">
        <v>433</v>
      </c>
      <c r="JL41" s="80">
        <v>0</v>
      </c>
      <c r="JM41" s="80">
        <v>2147000000</v>
      </c>
      <c r="JN41" s="80">
        <v>2147000000</v>
      </c>
      <c r="JO41" s="169">
        <f t="shared" si="49"/>
        <v>0</v>
      </c>
      <c r="JP41" s="169">
        <f t="shared" si="50"/>
        <v>2147000</v>
      </c>
      <c r="JQ41" s="169">
        <f t="shared" si="51"/>
        <v>2147000</v>
      </c>
    </row>
    <row r="42" spans="1:277" ht="15" customHeight="1" x14ac:dyDescent="0.25">
      <c r="AD42" s="90" t="s">
        <v>534</v>
      </c>
      <c r="AE42" s="90" t="s">
        <v>537</v>
      </c>
      <c r="AF42" s="90" t="s">
        <v>447</v>
      </c>
      <c r="AG42" s="90" t="s">
        <v>447</v>
      </c>
      <c r="AH42" s="91">
        <v>278933000</v>
      </c>
      <c r="AI42" s="91">
        <f t="shared" si="10"/>
        <v>296505.77899999998</v>
      </c>
      <c r="AJ42" s="91">
        <v>0</v>
      </c>
      <c r="AM42" s="169"/>
      <c r="AW42" s="90" t="s">
        <v>534</v>
      </c>
      <c r="AX42" s="90" t="s">
        <v>537</v>
      </c>
      <c r="AY42" s="90" t="s">
        <v>447</v>
      </c>
      <c r="AZ42" s="90" t="s">
        <v>447</v>
      </c>
      <c r="BA42" s="91">
        <v>278933000</v>
      </c>
      <c r="BB42" s="91">
        <v>0</v>
      </c>
      <c r="BC42" s="91">
        <v>0</v>
      </c>
      <c r="BD42" s="91">
        <f t="shared" si="52"/>
        <v>296505.77899999998</v>
      </c>
      <c r="BE42" s="91">
        <f t="shared" si="53"/>
        <v>0</v>
      </c>
      <c r="BF42" s="91">
        <f t="shared" si="54"/>
        <v>0</v>
      </c>
      <c r="BT42" s="87" t="s">
        <v>534</v>
      </c>
      <c r="BU42" s="87" t="s">
        <v>537</v>
      </c>
      <c r="BV42" s="87" t="s">
        <v>447</v>
      </c>
      <c r="BW42" s="87" t="s">
        <v>447</v>
      </c>
      <c r="BX42" s="304" t="s">
        <v>433</v>
      </c>
      <c r="BY42" s="88">
        <v>278933000</v>
      </c>
      <c r="BZ42" s="88">
        <v>0</v>
      </c>
      <c r="CA42" s="88">
        <v>0</v>
      </c>
      <c r="CB42" s="169">
        <f t="shared" si="12"/>
        <v>278933</v>
      </c>
      <c r="CC42" s="169">
        <f t="shared" si="13"/>
        <v>0</v>
      </c>
      <c r="CD42" s="169">
        <f t="shared" si="14"/>
        <v>0</v>
      </c>
      <c r="DI42" s="316" t="s">
        <v>463</v>
      </c>
      <c r="DJ42" s="316" t="s">
        <v>464</v>
      </c>
      <c r="DK42" s="316" t="s">
        <v>447</v>
      </c>
      <c r="DL42" s="316" t="s">
        <v>447</v>
      </c>
      <c r="DM42" s="80">
        <v>0</v>
      </c>
      <c r="DN42" s="80">
        <v>14000000</v>
      </c>
      <c r="DO42" s="80">
        <v>14000000</v>
      </c>
      <c r="DP42" s="593">
        <f t="shared" si="21"/>
        <v>0</v>
      </c>
      <c r="DQ42" s="593">
        <f t="shared" si="22"/>
        <v>14000</v>
      </c>
      <c r="DR42" s="593">
        <f t="shared" si="23"/>
        <v>14000</v>
      </c>
      <c r="EI42" s="89" t="s">
        <v>463</v>
      </c>
      <c r="EJ42" s="89" t="s">
        <v>464</v>
      </c>
      <c r="EK42" s="89" t="s">
        <v>447</v>
      </c>
      <c r="EL42" s="89" t="s">
        <v>447</v>
      </c>
      <c r="EM42" s="89" t="s">
        <v>433</v>
      </c>
      <c r="EN42" s="89">
        <v>520000000</v>
      </c>
      <c r="EO42" s="89">
        <v>0</v>
      </c>
      <c r="EP42" s="89">
        <v>0</v>
      </c>
      <c r="EQ42" s="590">
        <f t="shared" si="27"/>
        <v>520000</v>
      </c>
      <c r="ER42" s="590">
        <f t="shared" si="28"/>
        <v>0</v>
      </c>
      <c r="ES42" s="590">
        <f t="shared" si="29"/>
        <v>0</v>
      </c>
      <c r="FK42" s="89" t="s">
        <v>463</v>
      </c>
      <c r="FL42" s="89" t="s">
        <v>464</v>
      </c>
      <c r="FM42" s="89" t="s">
        <v>447</v>
      </c>
      <c r="FN42" s="89" t="s">
        <v>447</v>
      </c>
      <c r="FO42" s="366" t="s">
        <v>433</v>
      </c>
      <c r="FP42" s="80">
        <v>520000000</v>
      </c>
      <c r="FQ42" s="80">
        <v>0</v>
      </c>
      <c r="FR42" s="80">
        <v>0</v>
      </c>
      <c r="FS42" s="566">
        <f t="shared" si="33"/>
        <v>520000</v>
      </c>
      <c r="FT42" s="566">
        <f t="shared" si="34"/>
        <v>0</v>
      </c>
      <c r="FU42" s="566">
        <f t="shared" si="35"/>
        <v>0</v>
      </c>
      <c r="GI42" s="679" t="s">
        <v>463</v>
      </c>
      <c r="GJ42" s="679" t="s">
        <v>464</v>
      </c>
      <c r="GK42" s="362" t="s">
        <v>447</v>
      </c>
      <c r="GL42" s="679" t="s">
        <v>447</v>
      </c>
      <c r="GM42" s="679" t="s">
        <v>433</v>
      </c>
      <c r="GN42" s="715">
        <v>520000000</v>
      </c>
      <c r="GO42" s="715">
        <v>0</v>
      </c>
      <c r="GP42" s="715">
        <v>0</v>
      </c>
      <c r="GQ42" s="716">
        <f t="shared" si="37"/>
        <v>520000</v>
      </c>
      <c r="GR42" s="716">
        <f t="shared" si="38"/>
        <v>0</v>
      </c>
      <c r="GS42" s="716">
        <f t="shared" si="39"/>
        <v>0</v>
      </c>
      <c r="HH42" s="775" t="s">
        <v>438</v>
      </c>
      <c r="HI42" s="775" t="s">
        <v>335</v>
      </c>
      <c r="HJ42" s="775" t="s">
        <v>500</v>
      </c>
      <c r="HK42" s="776" t="s">
        <v>489</v>
      </c>
      <c r="HL42" s="776" t="s">
        <v>433</v>
      </c>
      <c r="HM42" s="367">
        <v>0</v>
      </c>
      <c r="HN42" s="367">
        <v>0</v>
      </c>
      <c r="HO42" s="367">
        <v>0</v>
      </c>
      <c r="HP42" s="774">
        <f t="shared" si="41"/>
        <v>0</v>
      </c>
      <c r="HQ42" s="774">
        <f t="shared" si="42"/>
        <v>0</v>
      </c>
      <c r="HR42" s="774">
        <f t="shared" si="43"/>
        <v>0</v>
      </c>
      <c r="II42" s="362" t="s">
        <v>438</v>
      </c>
      <c r="IJ42" s="362" t="s">
        <v>335</v>
      </c>
      <c r="IK42" s="362" t="s">
        <v>439</v>
      </c>
      <c r="IL42" s="362" t="s">
        <v>492</v>
      </c>
      <c r="IM42" s="679" t="s">
        <v>433</v>
      </c>
      <c r="IN42" s="248">
        <v>0</v>
      </c>
      <c r="IO42" s="248">
        <v>120000000</v>
      </c>
      <c r="IP42" s="248">
        <v>120000000</v>
      </c>
      <c r="IQ42" s="806">
        <f t="shared" si="45"/>
        <v>0</v>
      </c>
      <c r="IR42" s="806">
        <f t="shared" si="46"/>
        <v>120000</v>
      </c>
      <c r="IS42" s="806">
        <f t="shared" si="47"/>
        <v>120000</v>
      </c>
      <c r="JG42" s="567" t="s">
        <v>438</v>
      </c>
      <c r="JH42" s="567" t="s">
        <v>335</v>
      </c>
      <c r="JI42" s="567" t="s">
        <v>500</v>
      </c>
      <c r="JJ42" s="567" t="s">
        <v>489</v>
      </c>
      <c r="JK42" s="567" t="s">
        <v>433</v>
      </c>
      <c r="JL42" s="80">
        <v>0</v>
      </c>
      <c r="JM42" s="80">
        <v>0</v>
      </c>
      <c r="JN42" s="80">
        <v>0</v>
      </c>
      <c r="JO42" s="169">
        <f t="shared" si="49"/>
        <v>0</v>
      </c>
      <c r="JP42" s="169">
        <f t="shared" si="50"/>
        <v>0</v>
      </c>
      <c r="JQ42" s="169">
        <f t="shared" si="51"/>
        <v>0</v>
      </c>
    </row>
    <row r="43" spans="1:277" ht="15" customHeight="1" x14ac:dyDescent="0.25">
      <c r="AD43" s="90" t="s">
        <v>534</v>
      </c>
      <c r="AE43" s="90" t="s">
        <v>537</v>
      </c>
      <c r="AF43" s="90" t="s">
        <v>447</v>
      </c>
      <c r="AG43" s="90" t="s">
        <v>447</v>
      </c>
      <c r="AH43" s="91">
        <v>0</v>
      </c>
      <c r="AI43" s="91">
        <f t="shared" si="10"/>
        <v>0</v>
      </c>
      <c r="AJ43" s="91">
        <v>0</v>
      </c>
      <c r="AM43" s="169"/>
      <c r="AW43" s="90" t="s">
        <v>534</v>
      </c>
      <c r="AX43" s="90" t="s">
        <v>537</v>
      </c>
      <c r="AY43" s="90" t="s">
        <v>447</v>
      </c>
      <c r="AZ43" s="90" t="s">
        <v>447</v>
      </c>
      <c r="BA43" s="91">
        <v>0</v>
      </c>
      <c r="BB43" s="91">
        <v>98000000</v>
      </c>
      <c r="BC43" s="91">
        <v>0</v>
      </c>
      <c r="BD43" s="91">
        <f t="shared" si="52"/>
        <v>0</v>
      </c>
      <c r="BE43" s="91">
        <f t="shared" si="53"/>
        <v>104174</v>
      </c>
      <c r="BF43" s="91">
        <f t="shared" si="54"/>
        <v>0</v>
      </c>
      <c r="BT43" s="87" t="s">
        <v>534</v>
      </c>
      <c r="BU43" s="87" t="s">
        <v>537</v>
      </c>
      <c r="BV43" s="87" t="s">
        <v>447</v>
      </c>
      <c r="BW43" s="87" t="s">
        <v>447</v>
      </c>
      <c r="BX43" s="304" t="s">
        <v>433</v>
      </c>
      <c r="BY43" s="88">
        <v>0</v>
      </c>
      <c r="BZ43" s="88">
        <v>98000000</v>
      </c>
      <c r="CA43" s="88">
        <v>0</v>
      </c>
      <c r="CB43" s="169">
        <f t="shared" si="12"/>
        <v>0</v>
      </c>
      <c r="CC43" s="169">
        <f t="shared" si="13"/>
        <v>98000</v>
      </c>
      <c r="CD43" s="169">
        <f t="shared" si="14"/>
        <v>0</v>
      </c>
      <c r="DI43" s="316" t="s">
        <v>465</v>
      </c>
      <c r="DJ43" s="316" t="s">
        <v>466</v>
      </c>
      <c r="DK43" s="316" t="s">
        <v>447</v>
      </c>
      <c r="DL43" s="316" t="s">
        <v>447</v>
      </c>
      <c r="DM43" s="80">
        <v>280000000</v>
      </c>
      <c r="DN43" s="80">
        <v>0</v>
      </c>
      <c r="DO43" s="80">
        <v>0</v>
      </c>
      <c r="DP43" s="593">
        <f t="shared" si="21"/>
        <v>280000</v>
      </c>
      <c r="DQ43" s="593">
        <f t="shared" si="22"/>
        <v>0</v>
      </c>
      <c r="DR43" s="593">
        <f t="shared" si="23"/>
        <v>0</v>
      </c>
      <c r="EI43" s="89" t="s">
        <v>463</v>
      </c>
      <c r="EJ43" s="89" t="s">
        <v>464</v>
      </c>
      <c r="EK43" s="89" t="s">
        <v>447</v>
      </c>
      <c r="EL43" s="89" t="s">
        <v>447</v>
      </c>
      <c r="EM43" s="89" t="s">
        <v>433</v>
      </c>
      <c r="EN43" s="89">
        <v>0</v>
      </c>
      <c r="EO43" s="89">
        <v>14000000</v>
      </c>
      <c r="EP43" s="89">
        <v>14000000</v>
      </c>
      <c r="EQ43" s="590">
        <f t="shared" si="27"/>
        <v>0</v>
      </c>
      <c r="ER43" s="590">
        <f t="shared" si="28"/>
        <v>14000</v>
      </c>
      <c r="ES43" s="590">
        <f t="shared" si="29"/>
        <v>14000</v>
      </c>
      <c r="FK43" s="89" t="s">
        <v>463</v>
      </c>
      <c r="FL43" s="89" t="s">
        <v>464</v>
      </c>
      <c r="FM43" s="89" t="s">
        <v>447</v>
      </c>
      <c r="FN43" s="89" t="s">
        <v>447</v>
      </c>
      <c r="FO43" s="366" t="s">
        <v>433</v>
      </c>
      <c r="FP43" s="80">
        <v>0</v>
      </c>
      <c r="FQ43" s="80">
        <v>153961816</v>
      </c>
      <c r="FR43" s="80">
        <v>48000000</v>
      </c>
      <c r="FS43" s="566">
        <f t="shared" si="33"/>
        <v>0</v>
      </c>
      <c r="FT43" s="566">
        <f t="shared" si="34"/>
        <v>153961.81599999999</v>
      </c>
      <c r="FU43" s="566">
        <f t="shared" si="35"/>
        <v>48000</v>
      </c>
      <c r="GI43" s="679" t="s">
        <v>463</v>
      </c>
      <c r="GJ43" s="679" t="s">
        <v>464</v>
      </c>
      <c r="GK43" s="362" t="s">
        <v>447</v>
      </c>
      <c r="GL43" s="679" t="s">
        <v>447</v>
      </c>
      <c r="GM43" s="679" t="s">
        <v>433</v>
      </c>
      <c r="GN43" s="715">
        <v>0</v>
      </c>
      <c r="GO43" s="715">
        <v>175124816</v>
      </c>
      <c r="GP43" s="715">
        <v>129961816</v>
      </c>
      <c r="GQ43" s="716">
        <f t="shared" si="37"/>
        <v>0</v>
      </c>
      <c r="GR43" s="716">
        <f t="shared" si="38"/>
        <v>175124.81599999999</v>
      </c>
      <c r="GS43" s="716">
        <f t="shared" si="39"/>
        <v>129961.81600000001</v>
      </c>
      <c r="HH43" s="775" t="s">
        <v>544</v>
      </c>
      <c r="HI43" s="775" t="s">
        <v>545</v>
      </c>
      <c r="HJ43" s="775" t="s">
        <v>447</v>
      </c>
      <c r="HK43" s="776" t="s">
        <v>447</v>
      </c>
      <c r="HL43" s="776" t="s">
        <v>433</v>
      </c>
      <c r="HM43" s="367">
        <v>10</v>
      </c>
      <c r="HN43" s="367">
        <v>0</v>
      </c>
      <c r="HO43" s="367">
        <v>0</v>
      </c>
      <c r="HP43" s="774">
        <f t="shared" si="41"/>
        <v>0.01</v>
      </c>
      <c r="HQ43" s="774">
        <f t="shared" si="42"/>
        <v>0</v>
      </c>
      <c r="HR43" s="774">
        <f t="shared" si="43"/>
        <v>0</v>
      </c>
      <c r="II43" s="362" t="s">
        <v>438</v>
      </c>
      <c r="IJ43" s="362" t="s">
        <v>335</v>
      </c>
      <c r="IK43" s="362" t="s">
        <v>629</v>
      </c>
      <c r="IL43" s="362" t="s">
        <v>630</v>
      </c>
      <c r="IM43" s="679" t="s">
        <v>433</v>
      </c>
      <c r="IN43" s="248">
        <v>0</v>
      </c>
      <c r="IO43" s="248">
        <v>124610000</v>
      </c>
      <c r="IP43" s="248">
        <v>115250000</v>
      </c>
      <c r="IQ43" s="806">
        <f t="shared" si="45"/>
        <v>0</v>
      </c>
      <c r="IR43" s="806">
        <f t="shared" si="46"/>
        <v>124610</v>
      </c>
      <c r="IS43" s="806">
        <f t="shared" si="47"/>
        <v>115250</v>
      </c>
      <c r="JG43" s="567" t="s">
        <v>438</v>
      </c>
      <c r="JH43" s="567" t="s">
        <v>335</v>
      </c>
      <c r="JI43" s="567" t="s">
        <v>488</v>
      </c>
      <c r="JJ43" s="567" t="s">
        <v>631</v>
      </c>
      <c r="JK43" s="567" t="s">
        <v>433</v>
      </c>
      <c r="JL43" s="80">
        <v>0</v>
      </c>
      <c r="JM43" s="80">
        <v>308990000</v>
      </c>
      <c r="JN43" s="80">
        <v>308990000</v>
      </c>
      <c r="JO43" s="169">
        <f t="shared" si="49"/>
        <v>0</v>
      </c>
      <c r="JP43" s="169">
        <f t="shared" si="50"/>
        <v>308990</v>
      </c>
      <c r="JQ43" s="169">
        <f t="shared" si="51"/>
        <v>308990</v>
      </c>
    </row>
    <row r="44" spans="1:277" ht="15" customHeight="1" x14ac:dyDescent="0.25">
      <c r="AD44" s="90" t="s">
        <v>672</v>
      </c>
      <c r="AE44" s="90" t="s">
        <v>673</v>
      </c>
      <c r="AF44" s="90" t="s">
        <v>447</v>
      </c>
      <c r="AG44" s="90" t="s">
        <v>447</v>
      </c>
      <c r="AH44" s="91">
        <v>35000000</v>
      </c>
      <c r="AI44" s="91">
        <f t="shared" si="10"/>
        <v>37205</v>
      </c>
      <c r="AJ44" s="91">
        <v>0</v>
      </c>
      <c r="AM44" s="169"/>
      <c r="AW44" s="90" t="s">
        <v>672</v>
      </c>
      <c r="AX44" s="90" t="s">
        <v>673</v>
      </c>
      <c r="AY44" s="90" t="s">
        <v>447</v>
      </c>
      <c r="AZ44" s="90" t="s">
        <v>447</v>
      </c>
      <c r="BA44" s="91">
        <v>35000000</v>
      </c>
      <c r="BB44" s="91">
        <v>0</v>
      </c>
      <c r="BC44" s="91">
        <v>0</v>
      </c>
      <c r="BD44" s="91">
        <f t="shared" si="52"/>
        <v>37205</v>
      </c>
      <c r="BE44" s="91">
        <f t="shared" si="53"/>
        <v>0</v>
      </c>
      <c r="BF44" s="91">
        <f t="shared" si="54"/>
        <v>0</v>
      </c>
      <c r="BT44" s="87" t="s">
        <v>672</v>
      </c>
      <c r="BU44" s="87" t="s">
        <v>673</v>
      </c>
      <c r="BV44" s="87" t="s">
        <v>447</v>
      </c>
      <c r="BW44" s="87" t="s">
        <v>447</v>
      </c>
      <c r="BX44" s="304" t="s">
        <v>433</v>
      </c>
      <c r="BY44" s="88">
        <v>35000000</v>
      </c>
      <c r="BZ44" s="88">
        <v>0</v>
      </c>
      <c r="CA44" s="88">
        <v>0</v>
      </c>
      <c r="CB44" s="169">
        <f t="shared" si="12"/>
        <v>35000</v>
      </c>
      <c r="CC44" s="169">
        <f t="shared" si="13"/>
        <v>0</v>
      </c>
      <c r="CD44" s="169">
        <f t="shared" si="14"/>
        <v>0</v>
      </c>
      <c r="DI44" s="316" t="s">
        <v>465</v>
      </c>
      <c r="DJ44" s="316" t="s">
        <v>466</v>
      </c>
      <c r="DK44" s="316" t="s">
        <v>447</v>
      </c>
      <c r="DL44" s="316" t="s">
        <v>447</v>
      </c>
      <c r="DM44" s="80">
        <v>0</v>
      </c>
      <c r="DN44" s="80">
        <v>220042453</v>
      </c>
      <c r="DO44" s="80">
        <v>72689305</v>
      </c>
      <c r="DP44" s="593">
        <f t="shared" si="21"/>
        <v>0</v>
      </c>
      <c r="DQ44" s="593">
        <f t="shared" si="22"/>
        <v>220042.45300000001</v>
      </c>
      <c r="DR44" s="593">
        <f t="shared" si="23"/>
        <v>72689.304999999993</v>
      </c>
      <c r="EI44" s="89" t="s">
        <v>465</v>
      </c>
      <c r="EJ44" s="89" t="s">
        <v>466</v>
      </c>
      <c r="EK44" s="89" t="s">
        <v>447</v>
      </c>
      <c r="EL44" s="89" t="s">
        <v>447</v>
      </c>
      <c r="EM44" s="89" t="s">
        <v>433</v>
      </c>
      <c r="EN44" s="89">
        <v>280000000</v>
      </c>
      <c r="EO44" s="89">
        <v>0</v>
      </c>
      <c r="EP44" s="89">
        <v>0</v>
      </c>
      <c r="EQ44" s="590">
        <f t="shared" si="27"/>
        <v>280000</v>
      </c>
      <c r="ER44" s="590">
        <f t="shared" si="28"/>
        <v>0</v>
      </c>
      <c r="ES44" s="590">
        <f t="shared" si="29"/>
        <v>0</v>
      </c>
      <c r="FK44" s="89" t="s">
        <v>465</v>
      </c>
      <c r="FL44" s="89" t="s">
        <v>466</v>
      </c>
      <c r="FM44" s="89" t="s">
        <v>447</v>
      </c>
      <c r="FN44" s="89" t="s">
        <v>447</v>
      </c>
      <c r="FO44" s="366" t="s">
        <v>433</v>
      </c>
      <c r="FP44" s="80">
        <v>280000000</v>
      </c>
      <c r="FQ44" s="80">
        <v>0</v>
      </c>
      <c r="FR44" s="80">
        <v>0</v>
      </c>
      <c r="FS44" s="566">
        <f t="shared" si="33"/>
        <v>280000</v>
      </c>
      <c r="FT44" s="566">
        <f t="shared" si="34"/>
        <v>0</v>
      </c>
      <c r="FU44" s="566">
        <f t="shared" si="35"/>
        <v>0</v>
      </c>
      <c r="GI44" s="679" t="s">
        <v>465</v>
      </c>
      <c r="GJ44" s="679" t="s">
        <v>466</v>
      </c>
      <c r="GK44" s="362" t="s">
        <v>447</v>
      </c>
      <c r="GL44" s="679" t="s">
        <v>447</v>
      </c>
      <c r="GM44" s="679" t="s">
        <v>433</v>
      </c>
      <c r="GN44" s="715">
        <v>280000000</v>
      </c>
      <c r="GO44" s="715">
        <v>0</v>
      </c>
      <c r="GP44" s="715">
        <v>0</v>
      </c>
      <c r="GQ44" s="716">
        <f t="shared" si="37"/>
        <v>280000</v>
      </c>
      <c r="GR44" s="716">
        <f t="shared" si="38"/>
        <v>0</v>
      </c>
      <c r="GS44" s="716">
        <f t="shared" si="39"/>
        <v>0</v>
      </c>
      <c r="HH44" s="775" t="s">
        <v>463</v>
      </c>
      <c r="HI44" s="775" t="s">
        <v>464</v>
      </c>
      <c r="HJ44" s="775" t="s">
        <v>447</v>
      </c>
      <c r="HK44" s="776" t="s">
        <v>447</v>
      </c>
      <c r="HL44" s="776" t="s">
        <v>433</v>
      </c>
      <c r="HM44" s="367">
        <v>520000000</v>
      </c>
      <c r="HN44" s="367">
        <v>0</v>
      </c>
      <c r="HO44" s="367">
        <v>0</v>
      </c>
      <c r="HP44" s="774">
        <f t="shared" si="41"/>
        <v>520000</v>
      </c>
      <c r="HQ44" s="774">
        <f t="shared" si="42"/>
        <v>0</v>
      </c>
      <c r="HR44" s="774">
        <f t="shared" si="43"/>
        <v>0</v>
      </c>
      <c r="II44" s="362" t="s">
        <v>438</v>
      </c>
      <c r="IJ44" s="362" t="s">
        <v>335</v>
      </c>
      <c r="IK44" s="362" t="s">
        <v>447</v>
      </c>
      <c r="IL44" s="362" t="s">
        <v>447</v>
      </c>
      <c r="IM44" s="679" t="s">
        <v>433</v>
      </c>
      <c r="IN44" s="248">
        <v>0</v>
      </c>
      <c r="IO44" s="248">
        <v>0</v>
      </c>
      <c r="IP44" s="248">
        <v>0</v>
      </c>
      <c r="IQ44" s="806">
        <f t="shared" si="45"/>
        <v>0</v>
      </c>
      <c r="IR44" s="806">
        <f t="shared" si="46"/>
        <v>0</v>
      </c>
      <c r="IS44" s="806">
        <f t="shared" si="47"/>
        <v>0</v>
      </c>
      <c r="JG44" s="567" t="s">
        <v>438</v>
      </c>
      <c r="JH44" s="567" t="s">
        <v>335</v>
      </c>
      <c r="JI44" s="567" t="s">
        <v>447</v>
      </c>
      <c r="JJ44" s="567" t="s">
        <v>447</v>
      </c>
      <c r="JK44" s="567" t="s">
        <v>433</v>
      </c>
      <c r="JL44" s="80">
        <v>0</v>
      </c>
      <c r="JM44" s="80">
        <v>0</v>
      </c>
      <c r="JN44" s="80">
        <v>0</v>
      </c>
      <c r="JO44" s="169">
        <f t="shared" si="49"/>
        <v>0</v>
      </c>
      <c r="JP44" s="169">
        <f t="shared" si="50"/>
        <v>0</v>
      </c>
      <c r="JQ44" s="169">
        <f t="shared" si="51"/>
        <v>0</v>
      </c>
    </row>
    <row r="45" spans="1:277" ht="15" customHeight="1" x14ac:dyDescent="0.25">
      <c r="AD45" s="90" t="s">
        <v>672</v>
      </c>
      <c r="AE45" s="90" t="s">
        <v>673</v>
      </c>
      <c r="AF45" s="90" t="s">
        <v>447</v>
      </c>
      <c r="AG45" s="90" t="s">
        <v>447</v>
      </c>
      <c r="AH45" s="91">
        <v>0</v>
      </c>
      <c r="AI45" s="91">
        <f t="shared" si="10"/>
        <v>0</v>
      </c>
      <c r="AJ45" s="91">
        <v>1716000</v>
      </c>
      <c r="AM45" s="169"/>
      <c r="AW45" s="90" t="s">
        <v>672</v>
      </c>
      <c r="AX45" s="90" t="s">
        <v>673</v>
      </c>
      <c r="AY45" s="90" t="s">
        <v>447</v>
      </c>
      <c r="AZ45" s="90" t="s">
        <v>447</v>
      </c>
      <c r="BA45" s="91">
        <v>0</v>
      </c>
      <c r="BB45" s="91">
        <v>12012000</v>
      </c>
      <c r="BC45" s="91">
        <v>1716000</v>
      </c>
      <c r="BD45" s="91">
        <f t="shared" si="52"/>
        <v>0</v>
      </c>
      <c r="BE45" s="91">
        <f t="shared" si="53"/>
        <v>12768.755999999999</v>
      </c>
      <c r="BF45" s="91">
        <f t="shared" si="54"/>
        <v>1824.1079999999999</v>
      </c>
      <c r="BT45" s="87" t="s">
        <v>672</v>
      </c>
      <c r="BU45" s="87" t="s">
        <v>673</v>
      </c>
      <c r="BV45" s="87" t="s">
        <v>447</v>
      </c>
      <c r="BW45" s="87" t="s">
        <v>447</v>
      </c>
      <c r="BX45" s="304" t="s">
        <v>433</v>
      </c>
      <c r="BY45" s="88">
        <v>0</v>
      </c>
      <c r="BZ45" s="88">
        <v>12012000</v>
      </c>
      <c r="CA45" s="88">
        <v>5148000</v>
      </c>
      <c r="CB45" s="169">
        <f t="shared" si="12"/>
        <v>0</v>
      </c>
      <c r="CC45" s="169">
        <f t="shared" si="13"/>
        <v>12012</v>
      </c>
      <c r="CD45" s="169">
        <f t="shared" si="14"/>
        <v>5148</v>
      </c>
      <c r="DI45" s="316" t="s">
        <v>534</v>
      </c>
      <c r="DJ45" s="316" t="s">
        <v>537</v>
      </c>
      <c r="DK45" s="316" t="s">
        <v>447</v>
      </c>
      <c r="DL45" s="316" t="s">
        <v>447</v>
      </c>
      <c r="DM45" s="80">
        <v>278933000</v>
      </c>
      <c r="DN45" s="80">
        <v>0</v>
      </c>
      <c r="DO45" s="80">
        <v>0</v>
      </c>
      <c r="DP45" s="593">
        <f t="shared" si="21"/>
        <v>278933</v>
      </c>
      <c r="DQ45" s="593">
        <f t="shared" si="22"/>
        <v>0</v>
      </c>
      <c r="DR45" s="593">
        <f t="shared" si="23"/>
        <v>0</v>
      </c>
      <c r="EI45" s="89" t="s">
        <v>465</v>
      </c>
      <c r="EJ45" s="89" t="s">
        <v>466</v>
      </c>
      <c r="EK45" s="89" t="s">
        <v>447</v>
      </c>
      <c r="EL45" s="89" t="s">
        <v>447</v>
      </c>
      <c r="EM45" s="89" t="s">
        <v>433</v>
      </c>
      <c r="EN45" s="89">
        <v>0</v>
      </c>
      <c r="EO45" s="89">
        <v>220042453</v>
      </c>
      <c r="EP45" s="89">
        <v>95816250</v>
      </c>
      <c r="EQ45" s="590">
        <f t="shared" si="27"/>
        <v>0</v>
      </c>
      <c r="ER45" s="590">
        <f t="shared" si="28"/>
        <v>220042.45300000001</v>
      </c>
      <c r="ES45" s="590">
        <f t="shared" si="29"/>
        <v>95816.25</v>
      </c>
      <c r="FK45" s="89" t="s">
        <v>465</v>
      </c>
      <c r="FL45" s="89" t="s">
        <v>466</v>
      </c>
      <c r="FM45" s="89" t="s">
        <v>447</v>
      </c>
      <c r="FN45" s="89" t="s">
        <v>447</v>
      </c>
      <c r="FO45" s="366" t="s">
        <v>433</v>
      </c>
      <c r="FP45" s="80">
        <v>0</v>
      </c>
      <c r="FQ45" s="80">
        <v>220042453</v>
      </c>
      <c r="FR45" s="80">
        <v>132292151</v>
      </c>
      <c r="FS45" s="566">
        <f t="shared" si="33"/>
        <v>0</v>
      </c>
      <c r="FT45" s="566">
        <f t="shared" si="34"/>
        <v>220042.45300000001</v>
      </c>
      <c r="FU45" s="566">
        <f t="shared" si="35"/>
        <v>132292.15100000001</v>
      </c>
      <c r="GI45" s="679" t="s">
        <v>465</v>
      </c>
      <c r="GJ45" s="679" t="s">
        <v>466</v>
      </c>
      <c r="GK45" s="362" t="s">
        <v>447</v>
      </c>
      <c r="GL45" s="679" t="s">
        <v>447</v>
      </c>
      <c r="GM45" s="679" t="s">
        <v>433</v>
      </c>
      <c r="GN45" s="715">
        <v>0</v>
      </c>
      <c r="GO45" s="715">
        <v>220339953</v>
      </c>
      <c r="GP45" s="715">
        <v>138815579</v>
      </c>
      <c r="GQ45" s="716">
        <f t="shared" si="37"/>
        <v>0</v>
      </c>
      <c r="GR45" s="716">
        <f t="shared" si="38"/>
        <v>220339.95300000001</v>
      </c>
      <c r="GS45" s="716">
        <f t="shared" si="39"/>
        <v>138815.579</v>
      </c>
      <c r="HH45" s="775" t="s">
        <v>463</v>
      </c>
      <c r="HI45" s="775" t="s">
        <v>464</v>
      </c>
      <c r="HJ45" s="775" t="s">
        <v>447</v>
      </c>
      <c r="HK45" s="776" t="s">
        <v>447</v>
      </c>
      <c r="HL45" s="776" t="s">
        <v>433</v>
      </c>
      <c r="HM45" s="367">
        <v>0</v>
      </c>
      <c r="HN45" s="367">
        <v>465500000</v>
      </c>
      <c r="HO45" s="367">
        <v>148738521</v>
      </c>
      <c r="HP45" s="774">
        <f t="shared" si="41"/>
        <v>0</v>
      </c>
      <c r="HQ45" s="774">
        <f t="shared" si="42"/>
        <v>465500</v>
      </c>
      <c r="HR45" s="774">
        <f t="shared" si="43"/>
        <v>148738.52100000001</v>
      </c>
      <c r="II45" s="362" t="s">
        <v>544</v>
      </c>
      <c r="IJ45" s="362" t="s">
        <v>545</v>
      </c>
      <c r="IK45" s="362" t="s">
        <v>447</v>
      </c>
      <c r="IL45" s="362" t="s">
        <v>447</v>
      </c>
      <c r="IM45" s="679" t="s">
        <v>433</v>
      </c>
      <c r="IN45" s="248">
        <v>10</v>
      </c>
      <c r="IO45" s="248">
        <v>0</v>
      </c>
      <c r="IP45" s="248">
        <v>0</v>
      </c>
      <c r="IQ45" s="806">
        <f t="shared" si="45"/>
        <v>0.01</v>
      </c>
      <c r="IR45" s="806">
        <f t="shared" si="46"/>
        <v>0</v>
      </c>
      <c r="IS45" s="806">
        <f t="shared" si="47"/>
        <v>0</v>
      </c>
      <c r="JG45" s="567" t="s">
        <v>438</v>
      </c>
      <c r="JH45" s="567" t="s">
        <v>335</v>
      </c>
      <c r="JI45" s="567" t="s">
        <v>439</v>
      </c>
      <c r="JJ45" s="567" t="s">
        <v>492</v>
      </c>
      <c r="JK45" s="567" t="s">
        <v>433</v>
      </c>
      <c r="JL45" s="80">
        <v>0</v>
      </c>
      <c r="JM45" s="80">
        <v>120000000</v>
      </c>
      <c r="JN45" s="80">
        <v>120000000</v>
      </c>
      <c r="JO45" s="169">
        <f t="shared" si="49"/>
        <v>0</v>
      </c>
      <c r="JP45" s="169">
        <f t="shared" si="50"/>
        <v>120000</v>
      </c>
      <c r="JQ45" s="169">
        <f t="shared" si="51"/>
        <v>120000</v>
      </c>
    </row>
    <row r="46" spans="1:277" ht="15" customHeight="1" x14ac:dyDescent="0.25">
      <c r="AD46" s="90" t="s">
        <v>674</v>
      </c>
      <c r="AE46" s="90" t="s">
        <v>675</v>
      </c>
      <c r="AF46" s="90" t="s">
        <v>447</v>
      </c>
      <c r="AG46" s="90" t="s">
        <v>447</v>
      </c>
      <c r="AH46" s="91">
        <v>50000000</v>
      </c>
      <c r="AI46" s="91">
        <f t="shared" si="10"/>
        <v>53150</v>
      </c>
      <c r="AJ46" s="91">
        <v>0</v>
      </c>
      <c r="AM46" s="169"/>
      <c r="AW46" s="90" t="s">
        <v>674</v>
      </c>
      <c r="AX46" s="90" t="s">
        <v>675</v>
      </c>
      <c r="AY46" s="90" t="s">
        <v>447</v>
      </c>
      <c r="AZ46" s="90" t="s">
        <v>447</v>
      </c>
      <c r="BA46" s="91">
        <v>50000000</v>
      </c>
      <c r="BB46" s="91">
        <v>0</v>
      </c>
      <c r="BC46" s="91">
        <v>0</v>
      </c>
      <c r="BD46" s="91">
        <f t="shared" si="52"/>
        <v>53150</v>
      </c>
      <c r="BE46" s="91">
        <f t="shared" si="53"/>
        <v>0</v>
      </c>
      <c r="BF46" s="91">
        <f t="shared" si="54"/>
        <v>0</v>
      </c>
      <c r="BT46" s="87" t="s">
        <v>674</v>
      </c>
      <c r="BU46" s="87" t="s">
        <v>675</v>
      </c>
      <c r="BV46" s="87" t="s">
        <v>447</v>
      </c>
      <c r="BW46" s="87" t="s">
        <v>447</v>
      </c>
      <c r="BX46" s="304" t="s">
        <v>433</v>
      </c>
      <c r="BY46" s="88">
        <v>50000000</v>
      </c>
      <c r="BZ46" s="88">
        <v>0</v>
      </c>
      <c r="CA46" s="88">
        <v>0</v>
      </c>
      <c r="CB46" s="169">
        <f t="shared" si="12"/>
        <v>50000</v>
      </c>
      <c r="CC46" s="169">
        <f t="shared" si="13"/>
        <v>0</v>
      </c>
      <c r="CD46" s="169">
        <f t="shared" si="14"/>
        <v>0</v>
      </c>
      <c r="DI46" s="316" t="s">
        <v>534</v>
      </c>
      <c r="DJ46" s="316" t="s">
        <v>537</v>
      </c>
      <c r="DK46" s="316" t="s">
        <v>447</v>
      </c>
      <c r="DL46" s="316" t="s">
        <v>447</v>
      </c>
      <c r="DM46" s="80">
        <v>0</v>
      </c>
      <c r="DN46" s="80">
        <v>98000000</v>
      </c>
      <c r="DO46" s="80">
        <v>0</v>
      </c>
      <c r="DP46" s="593">
        <f t="shared" si="21"/>
        <v>0</v>
      </c>
      <c r="DQ46" s="593">
        <f t="shared" si="22"/>
        <v>98000</v>
      </c>
      <c r="DR46" s="593">
        <f t="shared" si="23"/>
        <v>0</v>
      </c>
      <c r="EI46" s="89" t="s">
        <v>534</v>
      </c>
      <c r="EJ46" s="89" t="s">
        <v>537</v>
      </c>
      <c r="EK46" s="89" t="s">
        <v>447</v>
      </c>
      <c r="EL46" s="89" t="s">
        <v>447</v>
      </c>
      <c r="EM46" s="89" t="s">
        <v>433</v>
      </c>
      <c r="EN46" s="89">
        <v>278933000</v>
      </c>
      <c r="EO46" s="89">
        <v>0</v>
      </c>
      <c r="EP46" s="89">
        <v>0</v>
      </c>
      <c r="EQ46" s="590">
        <f t="shared" si="27"/>
        <v>278933</v>
      </c>
      <c r="ER46" s="590">
        <f t="shared" si="28"/>
        <v>0</v>
      </c>
      <c r="ES46" s="590">
        <f t="shared" si="29"/>
        <v>0</v>
      </c>
      <c r="FK46" s="89" t="s">
        <v>534</v>
      </c>
      <c r="FL46" s="89" t="s">
        <v>537</v>
      </c>
      <c r="FM46" s="89" t="s">
        <v>447</v>
      </c>
      <c r="FN46" s="89" t="s">
        <v>447</v>
      </c>
      <c r="FO46" s="366" t="s">
        <v>433</v>
      </c>
      <c r="FP46" s="80">
        <v>278933000</v>
      </c>
      <c r="FQ46" s="80">
        <v>0</v>
      </c>
      <c r="FR46" s="80">
        <v>0</v>
      </c>
      <c r="FS46" s="566">
        <f t="shared" si="33"/>
        <v>278933</v>
      </c>
      <c r="FT46" s="566">
        <f t="shared" si="34"/>
        <v>0</v>
      </c>
      <c r="FU46" s="566">
        <f t="shared" si="35"/>
        <v>0</v>
      </c>
      <c r="GI46" s="679" t="s">
        <v>534</v>
      </c>
      <c r="GJ46" s="679" t="s">
        <v>537</v>
      </c>
      <c r="GK46" s="362" t="s">
        <v>447</v>
      </c>
      <c r="GL46" s="679" t="s">
        <v>447</v>
      </c>
      <c r="GM46" s="679" t="s">
        <v>433</v>
      </c>
      <c r="GN46" s="715">
        <v>278933000</v>
      </c>
      <c r="GO46" s="715">
        <v>0</v>
      </c>
      <c r="GP46" s="715">
        <v>0</v>
      </c>
      <c r="GQ46" s="716">
        <f t="shared" si="37"/>
        <v>278933</v>
      </c>
      <c r="GR46" s="716">
        <f t="shared" si="38"/>
        <v>0</v>
      </c>
      <c r="GS46" s="716">
        <f t="shared" si="39"/>
        <v>0</v>
      </c>
      <c r="HH46" s="775" t="s">
        <v>465</v>
      </c>
      <c r="HI46" s="775" t="s">
        <v>466</v>
      </c>
      <c r="HJ46" s="775" t="s">
        <v>447</v>
      </c>
      <c r="HK46" s="776" t="s">
        <v>447</v>
      </c>
      <c r="HL46" s="776" t="s">
        <v>433</v>
      </c>
      <c r="HM46" s="367">
        <v>280000000</v>
      </c>
      <c r="HN46" s="367">
        <v>0</v>
      </c>
      <c r="HO46" s="367">
        <v>0</v>
      </c>
      <c r="HP46" s="774">
        <f t="shared" si="41"/>
        <v>280000</v>
      </c>
      <c r="HQ46" s="774">
        <f t="shared" si="42"/>
        <v>0</v>
      </c>
      <c r="HR46" s="774">
        <f t="shared" si="43"/>
        <v>0</v>
      </c>
      <c r="II46" s="362" t="s">
        <v>463</v>
      </c>
      <c r="IJ46" s="362" t="s">
        <v>464</v>
      </c>
      <c r="IK46" s="362" t="s">
        <v>447</v>
      </c>
      <c r="IL46" s="362" t="s">
        <v>447</v>
      </c>
      <c r="IM46" s="679" t="s">
        <v>433</v>
      </c>
      <c r="IN46" s="248">
        <v>631370686</v>
      </c>
      <c r="IO46" s="248">
        <v>0</v>
      </c>
      <c r="IP46" s="248">
        <v>0</v>
      </c>
      <c r="IQ46" s="806">
        <f t="shared" si="45"/>
        <v>631370.68599999999</v>
      </c>
      <c r="IR46" s="806">
        <f t="shared" si="46"/>
        <v>0</v>
      </c>
      <c r="IS46" s="806">
        <f t="shared" si="47"/>
        <v>0</v>
      </c>
      <c r="JG46" s="567" t="s">
        <v>544</v>
      </c>
      <c r="JH46" s="567" t="s">
        <v>545</v>
      </c>
      <c r="JI46" s="567" t="s">
        <v>447</v>
      </c>
      <c r="JJ46" s="567" t="s">
        <v>447</v>
      </c>
      <c r="JK46" s="567" t="s">
        <v>433</v>
      </c>
      <c r="JL46" s="80">
        <v>10</v>
      </c>
      <c r="JM46" s="80">
        <v>0</v>
      </c>
      <c r="JN46" s="80">
        <v>0</v>
      </c>
      <c r="JO46" s="169">
        <f t="shared" si="49"/>
        <v>0.01</v>
      </c>
      <c r="JP46" s="169">
        <f t="shared" si="50"/>
        <v>0</v>
      </c>
      <c r="JQ46" s="169">
        <f t="shared" si="51"/>
        <v>0</v>
      </c>
    </row>
    <row r="47" spans="1:277" ht="15" customHeight="1" x14ac:dyDescent="0.25">
      <c r="AD47" s="90" t="s">
        <v>452</v>
      </c>
      <c r="AE47" s="90" t="s">
        <v>128</v>
      </c>
      <c r="AF47" s="90" t="s">
        <v>447</v>
      </c>
      <c r="AG47" s="90" t="s">
        <v>447</v>
      </c>
      <c r="AH47" s="91">
        <v>10000</v>
      </c>
      <c r="AI47" s="91">
        <f t="shared" si="10"/>
        <v>10.629999999999999</v>
      </c>
      <c r="AJ47" s="91">
        <v>0</v>
      </c>
      <c r="AM47" s="169"/>
      <c r="AW47" s="90" t="s">
        <v>452</v>
      </c>
      <c r="AX47" s="90" t="s">
        <v>128</v>
      </c>
      <c r="AY47" s="90" t="s">
        <v>447</v>
      </c>
      <c r="AZ47" s="90" t="s">
        <v>447</v>
      </c>
      <c r="BA47" s="91">
        <v>10000</v>
      </c>
      <c r="BB47" s="91">
        <v>0</v>
      </c>
      <c r="BC47" s="91">
        <v>0</v>
      </c>
      <c r="BD47" s="91">
        <f t="shared" si="52"/>
        <v>10.629999999999999</v>
      </c>
      <c r="BE47" s="91">
        <f t="shared" si="53"/>
        <v>0</v>
      </c>
      <c r="BF47" s="91">
        <f t="shared" si="54"/>
        <v>0</v>
      </c>
      <c r="BG47" s="79"/>
      <c r="BT47" s="87" t="s">
        <v>452</v>
      </c>
      <c r="BU47" s="87" t="s">
        <v>128</v>
      </c>
      <c r="BV47" s="87" t="s">
        <v>447</v>
      </c>
      <c r="BW47" s="87" t="s">
        <v>447</v>
      </c>
      <c r="BX47" s="304" t="s">
        <v>433</v>
      </c>
      <c r="BY47" s="88">
        <v>10000</v>
      </c>
      <c r="BZ47" s="88">
        <v>0</v>
      </c>
      <c r="CA47" s="88">
        <v>0</v>
      </c>
      <c r="CB47" s="169">
        <f t="shared" si="12"/>
        <v>10</v>
      </c>
      <c r="CC47" s="169">
        <f t="shared" si="13"/>
        <v>0</v>
      </c>
      <c r="CD47" s="169">
        <f t="shared" si="14"/>
        <v>0</v>
      </c>
      <c r="DI47" s="316" t="s">
        <v>672</v>
      </c>
      <c r="DJ47" s="316" t="s">
        <v>673</v>
      </c>
      <c r="DK47" s="316" t="s">
        <v>447</v>
      </c>
      <c r="DL47" s="316" t="s">
        <v>447</v>
      </c>
      <c r="DM47" s="80">
        <v>35000000</v>
      </c>
      <c r="DN47" s="80">
        <v>0</v>
      </c>
      <c r="DO47" s="80">
        <v>0</v>
      </c>
      <c r="DP47" s="593">
        <f t="shared" si="21"/>
        <v>35000</v>
      </c>
      <c r="DQ47" s="593">
        <f t="shared" si="22"/>
        <v>0</v>
      </c>
      <c r="DR47" s="593">
        <f t="shared" si="23"/>
        <v>0</v>
      </c>
      <c r="EI47" s="89" t="s">
        <v>534</v>
      </c>
      <c r="EJ47" s="89" t="s">
        <v>537</v>
      </c>
      <c r="EK47" s="89" t="s">
        <v>447</v>
      </c>
      <c r="EL47" s="89" t="s">
        <v>447</v>
      </c>
      <c r="EM47" s="89" t="s">
        <v>433</v>
      </c>
      <c r="EN47" s="89">
        <v>0</v>
      </c>
      <c r="EO47" s="89">
        <v>98000000</v>
      </c>
      <c r="EP47" s="89">
        <v>39200000</v>
      </c>
      <c r="EQ47" s="590">
        <f t="shared" si="27"/>
        <v>0</v>
      </c>
      <c r="ER47" s="590">
        <f t="shared" si="28"/>
        <v>98000</v>
      </c>
      <c r="ES47" s="590">
        <f t="shared" si="29"/>
        <v>39200</v>
      </c>
      <c r="FK47" s="89" t="s">
        <v>534</v>
      </c>
      <c r="FL47" s="89" t="s">
        <v>537</v>
      </c>
      <c r="FM47" s="89" t="s">
        <v>447</v>
      </c>
      <c r="FN47" s="89" t="s">
        <v>447</v>
      </c>
      <c r="FO47" s="366" t="s">
        <v>433</v>
      </c>
      <c r="FP47" s="80">
        <v>0</v>
      </c>
      <c r="FQ47" s="80">
        <v>98000000</v>
      </c>
      <c r="FR47" s="80">
        <v>78400000</v>
      </c>
      <c r="FS47" s="566">
        <f t="shared" si="33"/>
        <v>0</v>
      </c>
      <c r="FT47" s="566">
        <f t="shared" si="34"/>
        <v>98000</v>
      </c>
      <c r="FU47" s="566">
        <f t="shared" si="35"/>
        <v>78400</v>
      </c>
      <c r="GI47" s="679" t="s">
        <v>534</v>
      </c>
      <c r="GJ47" s="679" t="s">
        <v>537</v>
      </c>
      <c r="GK47" s="362" t="s">
        <v>447</v>
      </c>
      <c r="GL47" s="679" t="s">
        <v>447</v>
      </c>
      <c r="GM47" s="679" t="s">
        <v>433</v>
      </c>
      <c r="GN47" s="715">
        <v>0</v>
      </c>
      <c r="GO47" s="715">
        <v>98000000</v>
      </c>
      <c r="GP47" s="715">
        <v>78400000</v>
      </c>
      <c r="GQ47" s="716">
        <f t="shared" si="37"/>
        <v>0</v>
      </c>
      <c r="GR47" s="716">
        <f t="shared" si="38"/>
        <v>98000</v>
      </c>
      <c r="GS47" s="716">
        <f t="shared" si="39"/>
        <v>78400</v>
      </c>
      <c r="HH47" s="775" t="s">
        <v>465</v>
      </c>
      <c r="HI47" s="775" t="s">
        <v>466</v>
      </c>
      <c r="HJ47" s="775" t="s">
        <v>447</v>
      </c>
      <c r="HK47" s="776" t="s">
        <v>447</v>
      </c>
      <c r="HL47" s="776" t="s">
        <v>433</v>
      </c>
      <c r="HM47" s="367">
        <v>0</v>
      </c>
      <c r="HN47" s="367">
        <v>227172814</v>
      </c>
      <c r="HO47" s="367">
        <v>143541718</v>
      </c>
      <c r="HP47" s="774">
        <f t="shared" si="41"/>
        <v>0</v>
      </c>
      <c r="HQ47" s="774">
        <f t="shared" si="42"/>
        <v>227172.81400000001</v>
      </c>
      <c r="HR47" s="774">
        <f t="shared" si="43"/>
        <v>143541.71799999999</v>
      </c>
      <c r="II47" s="362" t="s">
        <v>463</v>
      </c>
      <c r="IJ47" s="362" t="s">
        <v>464</v>
      </c>
      <c r="IK47" s="362" t="s">
        <v>447</v>
      </c>
      <c r="IL47" s="362" t="s">
        <v>447</v>
      </c>
      <c r="IM47" s="679" t="s">
        <v>433</v>
      </c>
      <c r="IN47" s="248">
        <v>0</v>
      </c>
      <c r="IO47" s="248">
        <v>510193279</v>
      </c>
      <c r="IP47" s="248">
        <v>391500000</v>
      </c>
      <c r="IQ47" s="806">
        <f t="shared" si="45"/>
        <v>0</v>
      </c>
      <c r="IR47" s="806">
        <f t="shared" si="46"/>
        <v>510193.27899999998</v>
      </c>
      <c r="IS47" s="806">
        <f t="shared" si="47"/>
        <v>391500</v>
      </c>
      <c r="JG47" s="567" t="s">
        <v>463</v>
      </c>
      <c r="JH47" s="567" t="s">
        <v>464</v>
      </c>
      <c r="JI47" s="567" t="s">
        <v>447</v>
      </c>
      <c r="JJ47" s="567" t="s">
        <v>447</v>
      </c>
      <c r="JK47" s="567" t="s">
        <v>433</v>
      </c>
      <c r="JL47" s="80">
        <v>631370686</v>
      </c>
      <c r="JM47" s="80">
        <v>0</v>
      </c>
      <c r="JN47" s="80">
        <v>0</v>
      </c>
      <c r="JO47" s="169">
        <f t="shared" si="49"/>
        <v>631370.68599999999</v>
      </c>
      <c r="JP47" s="169">
        <f t="shared" si="50"/>
        <v>0</v>
      </c>
      <c r="JQ47" s="169">
        <f t="shared" si="51"/>
        <v>0</v>
      </c>
    </row>
    <row r="48" spans="1:277" ht="15" customHeight="1" x14ac:dyDescent="0.25">
      <c r="AD48" s="90" t="s">
        <v>452</v>
      </c>
      <c r="AE48" s="90" t="s">
        <v>128</v>
      </c>
      <c r="AF48" s="90" t="s">
        <v>447</v>
      </c>
      <c r="AG48" s="90" t="s">
        <v>447</v>
      </c>
      <c r="AH48" s="91">
        <v>0</v>
      </c>
      <c r="AI48" s="91">
        <f t="shared" si="10"/>
        <v>0</v>
      </c>
      <c r="AJ48" s="91">
        <v>957817526</v>
      </c>
      <c r="AM48" s="169"/>
      <c r="AW48" s="90" t="s">
        <v>452</v>
      </c>
      <c r="AX48" s="90" t="s">
        <v>128</v>
      </c>
      <c r="AY48" s="90" t="s">
        <v>447</v>
      </c>
      <c r="AZ48" s="90" t="s">
        <v>447</v>
      </c>
      <c r="BA48" s="91">
        <v>0</v>
      </c>
      <c r="BB48" s="91">
        <v>957817526</v>
      </c>
      <c r="BC48" s="91">
        <v>957817526</v>
      </c>
      <c r="BD48" s="91">
        <f t="shared" si="52"/>
        <v>0</v>
      </c>
      <c r="BE48" s="91">
        <f t="shared" si="53"/>
        <v>1018160.0301379999</v>
      </c>
      <c r="BF48" s="91">
        <f t="shared" si="54"/>
        <v>1018160.0301379999</v>
      </c>
      <c r="BT48" s="87" t="s">
        <v>452</v>
      </c>
      <c r="BU48" s="87" t="s">
        <v>128</v>
      </c>
      <c r="BV48" s="87" t="s">
        <v>447</v>
      </c>
      <c r="BW48" s="87" t="s">
        <v>447</v>
      </c>
      <c r="BX48" s="304" t="s">
        <v>433</v>
      </c>
      <c r="BY48" s="88">
        <v>0</v>
      </c>
      <c r="BZ48" s="88">
        <v>957817526</v>
      </c>
      <c r="CA48" s="88">
        <v>957817526</v>
      </c>
      <c r="CB48" s="169">
        <f t="shared" si="12"/>
        <v>0</v>
      </c>
      <c r="CC48" s="169">
        <f t="shared" si="13"/>
        <v>957817.52599999995</v>
      </c>
      <c r="CD48" s="169">
        <f t="shared" si="14"/>
        <v>957817.52599999995</v>
      </c>
      <c r="DI48" s="316" t="s">
        <v>672</v>
      </c>
      <c r="DJ48" s="316" t="s">
        <v>673</v>
      </c>
      <c r="DK48" s="316" t="s">
        <v>447</v>
      </c>
      <c r="DL48" s="316" t="s">
        <v>447</v>
      </c>
      <c r="DM48" s="80">
        <v>0</v>
      </c>
      <c r="DN48" s="80">
        <v>12012000</v>
      </c>
      <c r="DO48" s="80">
        <v>5148000</v>
      </c>
      <c r="DP48" s="593">
        <f t="shared" si="21"/>
        <v>0</v>
      </c>
      <c r="DQ48" s="593">
        <f t="shared" si="22"/>
        <v>12012</v>
      </c>
      <c r="DR48" s="593">
        <f t="shared" si="23"/>
        <v>5148</v>
      </c>
      <c r="EI48" s="89" t="s">
        <v>672</v>
      </c>
      <c r="EJ48" s="89" t="s">
        <v>673</v>
      </c>
      <c r="EK48" s="89" t="s">
        <v>447</v>
      </c>
      <c r="EL48" s="89" t="s">
        <v>447</v>
      </c>
      <c r="EM48" s="89" t="s">
        <v>433</v>
      </c>
      <c r="EN48" s="89">
        <v>35000000</v>
      </c>
      <c r="EO48" s="89">
        <v>0</v>
      </c>
      <c r="EP48" s="89">
        <v>0</v>
      </c>
      <c r="EQ48" s="590">
        <f t="shared" si="27"/>
        <v>35000</v>
      </c>
      <c r="ER48" s="590">
        <f t="shared" si="28"/>
        <v>0</v>
      </c>
      <c r="ES48" s="590">
        <f t="shared" si="29"/>
        <v>0</v>
      </c>
      <c r="FK48" s="89" t="s">
        <v>672</v>
      </c>
      <c r="FL48" s="89" t="s">
        <v>673</v>
      </c>
      <c r="FM48" s="89" t="s">
        <v>447</v>
      </c>
      <c r="FN48" s="89" t="s">
        <v>447</v>
      </c>
      <c r="FO48" s="366" t="s">
        <v>433</v>
      </c>
      <c r="FP48" s="80">
        <v>35000000</v>
      </c>
      <c r="FQ48" s="80">
        <v>0</v>
      </c>
      <c r="FR48" s="80">
        <v>0</v>
      </c>
      <c r="FS48" s="566">
        <f t="shared" si="33"/>
        <v>35000</v>
      </c>
      <c r="FT48" s="566">
        <f t="shared" si="34"/>
        <v>0</v>
      </c>
      <c r="FU48" s="566">
        <f t="shared" si="35"/>
        <v>0</v>
      </c>
      <c r="GI48" s="679" t="s">
        <v>672</v>
      </c>
      <c r="GJ48" s="679" t="s">
        <v>673</v>
      </c>
      <c r="GK48" s="362" t="s">
        <v>447</v>
      </c>
      <c r="GL48" s="679" t="s">
        <v>447</v>
      </c>
      <c r="GM48" s="679" t="s">
        <v>433</v>
      </c>
      <c r="GN48" s="715">
        <v>35000000</v>
      </c>
      <c r="GO48" s="715">
        <v>0</v>
      </c>
      <c r="GP48" s="715">
        <v>0</v>
      </c>
      <c r="GQ48" s="716">
        <f t="shared" si="37"/>
        <v>35000</v>
      </c>
      <c r="GR48" s="716">
        <f t="shared" si="38"/>
        <v>0</v>
      </c>
      <c r="GS48" s="716">
        <f t="shared" si="39"/>
        <v>0</v>
      </c>
      <c r="HH48" s="775" t="s">
        <v>534</v>
      </c>
      <c r="HI48" s="775" t="s">
        <v>537</v>
      </c>
      <c r="HJ48" s="775" t="s">
        <v>447</v>
      </c>
      <c r="HK48" s="776" t="s">
        <v>447</v>
      </c>
      <c r="HL48" s="776" t="s">
        <v>433</v>
      </c>
      <c r="HM48" s="367">
        <v>278933000</v>
      </c>
      <c r="HN48" s="367">
        <v>0</v>
      </c>
      <c r="HO48" s="367">
        <v>0</v>
      </c>
      <c r="HP48" s="774">
        <f t="shared" si="41"/>
        <v>278933</v>
      </c>
      <c r="HQ48" s="774">
        <f t="shared" si="42"/>
        <v>0</v>
      </c>
      <c r="HR48" s="774">
        <f t="shared" si="43"/>
        <v>0</v>
      </c>
      <c r="II48" s="362" t="s">
        <v>465</v>
      </c>
      <c r="IJ48" s="362" t="s">
        <v>466</v>
      </c>
      <c r="IK48" s="362" t="s">
        <v>447</v>
      </c>
      <c r="IL48" s="362" t="s">
        <v>447</v>
      </c>
      <c r="IM48" s="679" t="s">
        <v>433</v>
      </c>
      <c r="IN48" s="248">
        <v>249577814</v>
      </c>
      <c r="IO48" s="248">
        <v>0</v>
      </c>
      <c r="IP48" s="248">
        <v>0</v>
      </c>
      <c r="IQ48" s="806">
        <f t="shared" si="45"/>
        <v>249577.81400000001</v>
      </c>
      <c r="IR48" s="806">
        <f t="shared" si="46"/>
        <v>0</v>
      </c>
      <c r="IS48" s="806">
        <f t="shared" si="47"/>
        <v>0</v>
      </c>
      <c r="JG48" s="567" t="s">
        <v>463</v>
      </c>
      <c r="JH48" s="567" t="s">
        <v>464</v>
      </c>
      <c r="JI48" s="567" t="s">
        <v>447</v>
      </c>
      <c r="JJ48" s="567" t="s">
        <v>447</v>
      </c>
      <c r="JK48" s="567" t="s">
        <v>433</v>
      </c>
      <c r="JL48" s="80">
        <v>0</v>
      </c>
      <c r="JM48" s="80">
        <v>631370686</v>
      </c>
      <c r="JN48" s="80">
        <v>631370686</v>
      </c>
      <c r="JO48" s="169">
        <f t="shared" si="49"/>
        <v>0</v>
      </c>
      <c r="JP48" s="169">
        <f t="shared" si="50"/>
        <v>631370.68599999999</v>
      </c>
      <c r="JQ48" s="169">
        <f t="shared" si="51"/>
        <v>631370.68599999999</v>
      </c>
    </row>
    <row r="49" spans="35:277" ht="15" customHeight="1" x14ac:dyDescent="0.25">
      <c r="AI49" s="79">
        <f>SUM(AI3:AI48)</f>
        <v>8219493.3649999993</v>
      </c>
      <c r="AM49" s="291"/>
      <c r="AW49" s="90"/>
      <c r="AX49" s="90"/>
      <c r="AY49" s="90"/>
      <c r="AZ49" s="90"/>
      <c r="BA49" s="91"/>
      <c r="BB49" s="91"/>
      <c r="BC49" s="91"/>
      <c r="BD49" s="91">
        <f t="shared" si="52"/>
        <v>0</v>
      </c>
      <c r="BE49" s="91">
        <f t="shared" si="53"/>
        <v>0</v>
      </c>
      <c r="BF49" s="91">
        <f t="shared" si="54"/>
        <v>0</v>
      </c>
      <c r="DI49" s="316" t="s">
        <v>674</v>
      </c>
      <c r="DJ49" s="316" t="s">
        <v>675</v>
      </c>
      <c r="DK49" s="316" t="s">
        <v>447</v>
      </c>
      <c r="DL49" s="316" t="s">
        <v>447</v>
      </c>
      <c r="DM49" s="80">
        <v>50000000</v>
      </c>
      <c r="DN49" s="80">
        <v>0</v>
      </c>
      <c r="DO49" s="80">
        <v>0</v>
      </c>
      <c r="DP49" s="593">
        <f t="shared" si="21"/>
        <v>50000</v>
      </c>
      <c r="DQ49" s="593">
        <f t="shared" si="22"/>
        <v>0</v>
      </c>
      <c r="DR49" s="593">
        <f t="shared" si="23"/>
        <v>0</v>
      </c>
      <c r="EI49" s="89" t="s">
        <v>672</v>
      </c>
      <c r="EJ49" s="89" t="s">
        <v>673</v>
      </c>
      <c r="EK49" s="89" t="s">
        <v>447</v>
      </c>
      <c r="EL49" s="89" t="s">
        <v>447</v>
      </c>
      <c r="EM49" s="89" t="s">
        <v>433</v>
      </c>
      <c r="EN49" s="89">
        <v>0</v>
      </c>
      <c r="EO49" s="89">
        <v>12012000</v>
      </c>
      <c r="EP49" s="89">
        <v>8580000</v>
      </c>
      <c r="EQ49" s="590">
        <f t="shared" si="27"/>
        <v>0</v>
      </c>
      <c r="ER49" s="590">
        <f t="shared" si="28"/>
        <v>12012</v>
      </c>
      <c r="ES49" s="590">
        <f t="shared" si="29"/>
        <v>8580</v>
      </c>
      <c r="FK49" s="89" t="s">
        <v>672</v>
      </c>
      <c r="FL49" s="89" t="s">
        <v>673</v>
      </c>
      <c r="FM49" s="89" t="s">
        <v>447</v>
      </c>
      <c r="FN49" s="89" t="s">
        <v>447</v>
      </c>
      <c r="FO49" s="366" t="s">
        <v>433</v>
      </c>
      <c r="FP49" s="80">
        <v>0</v>
      </c>
      <c r="FQ49" s="80">
        <v>12012000</v>
      </c>
      <c r="FR49" s="80">
        <v>10296000</v>
      </c>
      <c r="FS49" s="566">
        <f t="shared" si="33"/>
        <v>0</v>
      </c>
      <c r="FT49" s="566">
        <f t="shared" si="34"/>
        <v>12012</v>
      </c>
      <c r="FU49" s="566">
        <f t="shared" si="35"/>
        <v>10296</v>
      </c>
      <c r="GI49" s="679" t="s">
        <v>672</v>
      </c>
      <c r="GJ49" s="679" t="s">
        <v>673</v>
      </c>
      <c r="GK49" s="362" t="s">
        <v>447</v>
      </c>
      <c r="GL49" s="679" t="s">
        <v>447</v>
      </c>
      <c r="GM49" s="679" t="s">
        <v>433</v>
      </c>
      <c r="GN49" s="715">
        <v>0</v>
      </c>
      <c r="GO49" s="715">
        <v>12012000</v>
      </c>
      <c r="GP49" s="715">
        <v>10296000</v>
      </c>
      <c r="GQ49" s="716">
        <f t="shared" si="37"/>
        <v>0</v>
      </c>
      <c r="GR49" s="716">
        <f t="shared" si="38"/>
        <v>12012</v>
      </c>
      <c r="GS49" s="716">
        <f t="shared" si="39"/>
        <v>10296</v>
      </c>
      <c r="HH49" s="775" t="s">
        <v>534</v>
      </c>
      <c r="HI49" s="775" t="s">
        <v>537</v>
      </c>
      <c r="HJ49" s="775" t="s">
        <v>447</v>
      </c>
      <c r="HK49" s="776" t="s">
        <v>447</v>
      </c>
      <c r="HL49" s="776" t="s">
        <v>433</v>
      </c>
      <c r="HM49" s="367">
        <v>0</v>
      </c>
      <c r="HN49" s="367">
        <v>98000000</v>
      </c>
      <c r="HO49" s="367">
        <v>98000000</v>
      </c>
      <c r="HP49" s="774">
        <f t="shared" si="41"/>
        <v>0</v>
      </c>
      <c r="HQ49" s="774">
        <f t="shared" si="42"/>
        <v>98000</v>
      </c>
      <c r="HR49" s="774">
        <f t="shared" si="43"/>
        <v>98000</v>
      </c>
      <c r="II49" s="362" t="s">
        <v>465</v>
      </c>
      <c r="IJ49" s="362" t="s">
        <v>466</v>
      </c>
      <c r="IK49" s="362" t="s">
        <v>447</v>
      </c>
      <c r="IL49" s="362" t="s">
        <v>447</v>
      </c>
      <c r="IM49" s="679" t="s">
        <v>433</v>
      </c>
      <c r="IN49" s="248">
        <v>0</v>
      </c>
      <c r="IO49" s="248">
        <v>242172814</v>
      </c>
      <c r="IP49" s="248">
        <v>178743095</v>
      </c>
      <c r="IQ49" s="806">
        <f t="shared" si="45"/>
        <v>0</v>
      </c>
      <c r="IR49" s="806">
        <f t="shared" si="46"/>
        <v>242172.81400000001</v>
      </c>
      <c r="IS49" s="806">
        <f t="shared" si="47"/>
        <v>178743.095</v>
      </c>
      <c r="JG49" s="567" t="s">
        <v>465</v>
      </c>
      <c r="JH49" s="567" t="s">
        <v>466</v>
      </c>
      <c r="JI49" s="567" t="s">
        <v>447</v>
      </c>
      <c r="JJ49" s="567" t="s">
        <v>447</v>
      </c>
      <c r="JK49" s="567" t="s">
        <v>433</v>
      </c>
      <c r="JL49" s="80">
        <v>249577814</v>
      </c>
      <c r="JM49" s="80">
        <v>0</v>
      </c>
      <c r="JN49" s="80">
        <v>0</v>
      </c>
      <c r="JO49" s="169">
        <f t="shared" si="49"/>
        <v>249577.81400000001</v>
      </c>
      <c r="JP49" s="169">
        <f t="shared" si="50"/>
        <v>0</v>
      </c>
      <c r="JQ49" s="169">
        <f t="shared" si="51"/>
        <v>0</v>
      </c>
    </row>
    <row r="50" spans="35:277" ht="15" customHeight="1" x14ac:dyDescent="0.25">
      <c r="AW50" s="90"/>
      <c r="AX50" s="90"/>
      <c r="AY50" s="90"/>
      <c r="AZ50" s="90"/>
      <c r="BA50" s="91"/>
      <c r="BB50" s="91"/>
      <c r="BC50" s="91"/>
      <c r="BD50" s="91">
        <f t="shared" si="52"/>
        <v>0</v>
      </c>
      <c r="BE50" s="91">
        <f t="shared" si="53"/>
        <v>0</v>
      </c>
      <c r="BF50" s="91">
        <f t="shared" si="54"/>
        <v>0</v>
      </c>
      <c r="DI50" s="316" t="s">
        <v>452</v>
      </c>
      <c r="DJ50" s="316" t="s">
        <v>128</v>
      </c>
      <c r="DK50" s="316" t="s">
        <v>447</v>
      </c>
      <c r="DL50" s="316" t="s">
        <v>447</v>
      </c>
      <c r="DM50" s="80">
        <v>958943000</v>
      </c>
      <c r="DN50" s="80">
        <v>0</v>
      </c>
      <c r="DO50" s="80">
        <v>0</v>
      </c>
      <c r="DP50" s="593">
        <f t="shared" si="21"/>
        <v>958943</v>
      </c>
      <c r="DQ50" s="593">
        <f t="shared" si="22"/>
        <v>0</v>
      </c>
      <c r="DR50" s="593">
        <f t="shared" si="23"/>
        <v>0</v>
      </c>
      <c r="EI50" s="89" t="s">
        <v>674</v>
      </c>
      <c r="EJ50" s="89" t="s">
        <v>675</v>
      </c>
      <c r="EK50" s="89" t="s">
        <v>447</v>
      </c>
      <c r="EL50" s="89" t="s">
        <v>447</v>
      </c>
      <c r="EM50" s="89" t="s">
        <v>433</v>
      </c>
      <c r="EN50" s="89">
        <v>50000000</v>
      </c>
      <c r="EO50" s="89">
        <v>0</v>
      </c>
      <c r="EP50" s="89">
        <v>0</v>
      </c>
      <c r="EQ50" s="590">
        <f t="shared" si="27"/>
        <v>50000</v>
      </c>
      <c r="ER50" s="590">
        <f t="shared" si="28"/>
        <v>0</v>
      </c>
      <c r="ES50" s="590">
        <f t="shared" si="29"/>
        <v>0</v>
      </c>
      <c r="FK50" s="89" t="s">
        <v>674</v>
      </c>
      <c r="FL50" s="89" t="s">
        <v>675</v>
      </c>
      <c r="FM50" s="89" t="s">
        <v>447</v>
      </c>
      <c r="FN50" s="89" t="s">
        <v>447</v>
      </c>
      <c r="FO50" s="366" t="s">
        <v>433</v>
      </c>
      <c r="FP50" s="80">
        <v>50000000</v>
      </c>
      <c r="FQ50" s="80">
        <v>0</v>
      </c>
      <c r="FR50" s="80">
        <v>0</v>
      </c>
      <c r="FS50" s="566">
        <f t="shared" si="33"/>
        <v>50000</v>
      </c>
      <c r="FT50" s="566">
        <f t="shared" si="34"/>
        <v>0</v>
      </c>
      <c r="FU50" s="566">
        <f t="shared" si="35"/>
        <v>0</v>
      </c>
      <c r="GI50" s="679" t="s">
        <v>674</v>
      </c>
      <c r="GJ50" s="679" t="s">
        <v>675</v>
      </c>
      <c r="GK50" s="362" t="s">
        <v>447</v>
      </c>
      <c r="GL50" s="679" t="s">
        <v>447</v>
      </c>
      <c r="GM50" s="679" t="s">
        <v>433</v>
      </c>
      <c r="GN50" s="715">
        <v>50000000</v>
      </c>
      <c r="GO50" s="715">
        <v>0</v>
      </c>
      <c r="GP50" s="715">
        <v>0</v>
      </c>
      <c r="GQ50" s="716">
        <f t="shared" si="37"/>
        <v>50000</v>
      </c>
      <c r="GR50" s="716">
        <f t="shared" si="38"/>
        <v>0</v>
      </c>
      <c r="GS50" s="716">
        <f t="shared" si="39"/>
        <v>0</v>
      </c>
      <c r="HH50" s="775" t="s">
        <v>672</v>
      </c>
      <c r="HI50" s="775" t="s">
        <v>673</v>
      </c>
      <c r="HJ50" s="775" t="s">
        <v>447</v>
      </c>
      <c r="HK50" s="776" t="s">
        <v>447</v>
      </c>
      <c r="HL50" s="776" t="s">
        <v>433</v>
      </c>
      <c r="HM50" s="367">
        <v>35000000</v>
      </c>
      <c r="HN50" s="367">
        <v>0</v>
      </c>
      <c r="HO50" s="367">
        <v>0</v>
      </c>
      <c r="HP50" s="774">
        <f t="shared" si="41"/>
        <v>35000</v>
      </c>
      <c r="HQ50" s="774">
        <f t="shared" si="42"/>
        <v>0</v>
      </c>
      <c r="HR50" s="774">
        <f t="shared" si="43"/>
        <v>0</v>
      </c>
      <c r="II50" s="362" t="s">
        <v>534</v>
      </c>
      <c r="IJ50" s="362" t="s">
        <v>537</v>
      </c>
      <c r="IK50" s="362" t="s">
        <v>447</v>
      </c>
      <c r="IL50" s="362" t="s">
        <v>447</v>
      </c>
      <c r="IM50" s="679" t="s">
        <v>433</v>
      </c>
      <c r="IN50" s="248">
        <v>248933000</v>
      </c>
      <c r="IO50" s="248">
        <v>0</v>
      </c>
      <c r="IP50" s="248">
        <v>0</v>
      </c>
      <c r="IQ50" s="806">
        <f t="shared" si="45"/>
        <v>248933</v>
      </c>
      <c r="IR50" s="806">
        <f t="shared" si="46"/>
        <v>0</v>
      </c>
      <c r="IS50" s="806">
        <f t="shared" si="47"/>
        <v>0</v>
      </c>
      <c r="JG50" s="567" t="s">
        <v>465</v>
      </c>
      <c r="JH50" s="567" t="s">
        <v>466</v>
      </c>
      <c r="JI50" s="567" t="s">
        <v>447</v>
      </c>
      <c r="JJ50" s="567" t="s">
        <v>447</v>
      </c>
      <c r="JK50" s="567" t="s">
        <v>433</v>
      </c>
      <c r="JL50" s="80">
        <v>0</v>
      </c>
      <c r="JM50" s="80">
        <v>242172803</v>
      </c>
      <c r="JN50" s="80">
        <v>188680411</v>
      </c>
      <c r="JO50" s="169">
        <f t="shared" si="49"/>
        <v>0</v>
      </c>
      <c r="JP50" s="169">
        <f t="shared" si="50"/>
        <v>242172.80300000001</v>
      </c>
      <c r="JQ50" s="169">
        <f t="shared" si="51"/>
        <v>188680.41099999999</v>
      </c>
    </row>
    <row r="51" spans="35:277" ht="15" customHeight="1" x14ac:dyDescent="0.25">
      <c r="BA51" s="91"/>
      <c r="BB51" s="91"/>
      <c r="BC51" s="91"/>
      <c r="BD51" s="91">
        <f t="shared" si="52"/>
        <v>0</v>
      </c>
      <c r="BE51" s="91">
        <f t="shared" si="53"/>
        <v>0</v>
      </c>
      <c r="BF51" s="91">
        <f t="shared" si="54"/>
        <v>0</v>
      </c>
      <c r="DI51" s="316" t="s">
        <v>452</v>
      </c>
      <c r="DJ51" s="316" t="s">
        <v>128</v>
      </c>
      <c r="DK51" s="316" t="s">
        <v>447</v>
      </c>
      <c r="DL51" s="316" t="s">
        <v>447</v>
      </c>
      <c r="DM51" s="80">
        <v>0</v>
      </c>
      <c r="DN51" s="80">
        <v>957817526</v>
      </c>
      <c r="DO51" s="80">
        <v>957817526</v>
      </c>
      <c r="DP51" s="593">
        <f t="shared" si="21"/>
        <v>0</v>
      </c>
      <c r="DQ51" s="593">
        <f t="shared" si="22"/>
        <v>957817.52599999995</v>
      </c>
      <c r="DR51" s="593">
        <f t="shared" si="23"/>
        <v>957817.52599999995</v>
      </c>
      <c r="EI51" s="89" t="s">
        <v>452</v>
      </c>
      <c r="EJ51" s="89" t="s">
        <v>128</v>
      </c>
      <c r="EK51" s="89" t="s">
        <v>447</v>
      </c>
      <c r="EL51" s="89" t="s">
        <v>447</v>
      </c>
      <c r="EM51" s="89" t="s">
        <v>433</v>
      </c>
      <c r="EN51" s="89">
        <v>958943000</v>
      </c>
      <c r="EO51" s="89">
        <v>0</v>
      </c>
      <c r="EP51" s="89">
        <v>0</v>
      </c>
      <c r="EQ51" s="590">
        <f t="shared" si="27"/>
        <v>958943</v>
      </c>
      <c r="ER51" s="590">
        <f t="shared" si="28"/>
        <v>0</v>
      </c>
      <c r="ES51" s="590">
        <f t="shared" si="29"/>
        <v>0</v>
      </c>
      <c r="FK51" s="89" t="s">
        <v>452</v>
      </c>
      <c r="FL51" s="89" t="s">
        <v>128</v>
      </c>
      <c r="FM51" s="89" t="s">
        <v>447</v>
      </c>
      <c r="FN51" s="89" t="s">
        <v>447</v>
      </c>
      <c r="FO51" s="366" t="s">
        <v>433</v>
      </c>
      <c r="FP51" s="80">
        <v>958943000</v>
      </c>
      <c r="FQ51" s="80">
        <v>0</v>
      </c>
      <c r="FR51" s="80">
        <v>0</v>
      </c>
      <c r="FS51" s="566">
        <f t="shared" si="33"/>
        <v>958943</v>
      </c>
      <c r="FT51" s="566">
        <f t="shared" si="34"/>
        <v>0</v>
      </c>
      <c r="FU51" s="566">
        <f t="shared" si="35"/>
        <v>0</v>
      </c>
      <c r="GI51" s="679" t="s">
        <v>674</v>
      </c>
      <c r="GJ51" s="679" t="s">
        <v>675</v>
      </c>
      <c r="GK51" s="362" t="s">
        <v>447</v>
      </c>
      <c r="GL51" s="679" t="s">
        <v>447</v>
      </c>
      <c r="GM51" s="679" t="s">
        <v>433</v>
      </c>
      <c r="GN51" s="715">
        <v>0</v>
      </c>
      <c r="GO51" s="715">
        <v>22039500</v>
      </c>
      <c r="GP51" s="715">
        <v>0</v>
      </c>
      <c r="GQ51" s="716">
        <f t="shared" si="37"/>
        <v>0</v>
      </c>
      <c r="GR51" s="716">
        <f t="shared" si="38"/>
        <v>22039.5</v>
      </c>
      <c r="GS51" s="716">
        <f t="shared" si="39"/>
        <v>0</v>
      </c>
      <c r="HH51" s="775" t="s">
        <v>672</v>
      </c>
      <c r="HI51" s="775" t="s">
        <v>673</v>
      </c>
      <c r="HJ51" s="775" t="s">
        <v>447</v>
      </c>
      <c r="HK51" s="776" t="s">
        <v>447</v>
      </c>
      <c r="HL51" s="776" t="s">
        <v>433</v>
      </c>
      <c r="HM51" s="367">
        <v>0</v>
      </c>
      <c r="HN51" s="367">
        <v>12012000</v>
      </c>
      <c r="HO51" s="367">
        <v>10296000</v>
      </c>
      <c r="HP51" s="774">
        <f t="shared" si="41"/>
        <v>0</v>
      </c>
      <c r="HQ51" s="774">
        <f t="shared" si="42"/>
        <v>12012</v>
      </c>
      <c r="HR51" s="774">
        <f t="shared" si="43"/>
        <v>10296</v>
      </c>
      <c r="II51" s="362" t="s">
        <v>534</v>
      </c>
      <c r="IJ51" s="362" t="s">
        <v>537</v>
      </c>
      <c r="IK51" s="362" t="s">
        <v>447</v>
      </c>
      <c r="IL51" s="362" t="s">
        <v>447</v>
      </c>
      <c r="IM51" s="679" t="s">
        <v>433</v>
      </c>
      <c r="IN51" s="248">
        <v>0</v>
      </c>
      <c r="IO51" s="248">
        <v>98000000</v>
      </c>
      <c r="IP51" s="248">
        <v>98000000</v>
      </c>
      <c r="IQ51" s="806">
        <f t="shared" si="45"/>
        <v>0</v>
      </c>
      <c r="IR51" s="806">
        <f t="shared" si="46"/>
        <v>98000</v>
      </c>
      <c r="IS51" s="806">
        <f t="shared" si="47"/>
        <v>98000</v>
      </c>
      <c r="JG51" s="567" t="s">
        <v>534</v>
      </c>
      <c r="JH51" s="567" t="s">
        <v>537</v>
      </c>
      <c r="JI51" s="567" t="s">
        <v>447</v>
      </c>
      <c r="JJ51" s="567" t="s">
        <v>447</v>
      </c>
      <c r="JK51" s="567" t="s">
        <v>433</v>
      </c>
      <c r="JL51" s="80">
        <v>248933000</v>
      </c>
      <c r="JM51" s="80">
        <v>0</v>
      </c>
      <c r="JN51" s="80">
        <v>0</v>
      </c>
      <c r="JO51" s="169">
        <f t="shared" si="49"/>
        <v>248933</v>
      </c>
      <c r="JP51" s="169">
        <f t="shared" si="50"/>
        <v>0</v>
      </c>
      <c r="JQ51" s="169">
        <f t="shared" si="51"/>
        <v>0</v>
      </c>
    </row>
    <row r="52" spans="35:277" ht="15" customHeight="1" x14ac:dyDescent="0.25">
      <c r="BD52" s="79"/>
      <c r="BF52" s="79"/>
      <c r="EI52" s="89" t="s">
        <v>452</v>
      </c>
      <c r="EJ52" s="89" t="s">
        <v>128</v>
      </c>
      <c r="EK52" s="89" t="s">
        <v>447</v>
      </c>
      <c r="EL52" s="89" t="s">
        <v>447</v>
      </c>
      <c r="EM52" s="89" t="s">
        <v>433</v>
      </c>
      <c r="EN52" s="89">
        <v>0</v>
      </c>
      <c r="EO52" s="89">
        <v>957817526</v>
      </c>
      <c r="EP52" s="89">
        <v>957817526</v>
      </c>
      <c r="EQ52" s="590">
        <f t="shared" si="27"/>
        <v>0</v>
      </c>
      <c r="ER52" s="590">
        <f t="shared" si="28"/>
        <v>957817.52599999995</v>
      </c>
      <c r="ES52" s="590">
        <f t="shared" si="29"/>
        <v>957817.52599999995</v>
      </c>
      <c r="FK52" s="89" t="s">
        <v>452</v>
      </c>
      <c r="FL52" s="89" t="s">
        <v>128</v>
      </c>
      <c r="FM52" s="89" t="s">
        <v>447</v>
      </c>
      <c r="FN52" s="89" t="s">
        <v>447</v>
      </c>
      <c r="FO52" s="366" t="s">
        <v>433</v>
      </c>
      <c r="FP52" s="80">
        <v>0</v>
      </c>
      <c r="FQ52" s="80">
        <v>957817526</v>
      </c>
      <c r="FR52" s="80">
        <v>957817526</v>
      </c>
      <c r="FS52" s="566">
        <f t="shared" si="33"/>
        <v>0</v>
      </c>
      <c r="FT52" s="566">
        <f t="shared" si="34"/>
        <v>957817.52599999995</v>
      </c>
      <c r="FU52" s="566">
        <f t="shared" si="35"/>
        <v>957817.52599999995</v>
      </c>
      <c r="GI52" s="679" t="s">
        <v>452</v>
      </c>
      <c r="GJ52" s="679" t="s">
        <v>128</v>
      </c>
      <c r="GK52" s="362" t="s">
        <v>447</v>
      </c>
      <c r="GL52" s="679" t="s">
        <v>447</v>
      </c>
      <c r="GM52" s="679" t="s">
        <v>433</v>
      </c>
      <c r="GN52" s="715">
        <v>958943000</v>
      </c>
      <c r="GO52" s="715">
        <v>0</v>
      </c>
      <c r="GP52" s="715">
        <v>0</v>
      </c>
      <c r="GQ52" s="716">
        <f t="shared" si="37"/>
        <v>958943</v>
      </c>
      <c r="GR52" s="716">
        <f t="shared" si="38"/>
        <v>0</v>
      </c>
      <c r="GS52" s="716">
        <f t="shared" si="39"/>
        <v>0</v>
      </c>
      <c r="HH52" s="775" t="s">
        <v>674</v>
      </c>
      <c r="HI52" s="775" t="s">
        <v>675</v>
      </c>
      <c r="HJ52" s="775" t="s">
        <v>447</v>
      </c>
      <c r="HK52" s="776" t="s">
        <v>447</v>
      </c>
      <c r="HL52" s="776" t="s">
        <v>433</v>
      </c>
      <c r="HM52" s="367">
        <v>50000000</v>
      </c>
      <c r="HN52" s="367">
        <v>0</v>
      </c>
      <c r="HO52" s="367">
        <v>0</v>
      </c>
      <c r="HP52" s="774">
        <f t="shared" si="41"/>
        <v>50000</v>
      </c>
      <c r="HQ52" s="774">
        <f t="shared" si="42"/>
        <v>0</v>
      </c>
      <c r="HR52" s="774">
        <f t="shared" si="43"/>
        <v>0</v>
      </c>
      <c r="II52" s="362" t="s">
        <v>672</v>
      </c>
      <c r="IJ52" s="362" t="s">
        <v>673</v>
      </c>
      <c r="IK52" s="362" t="s">
        <v>447</v>
      </c>
      <c r="IL52" s="362" t="s">
        <v>447</v>
      </c>
      <c r="IM52" s="679" t="s">
        <v>433</v>
      </c>
      <c r="IN52" s="248">
        <v>12012000</v>
      </c>
      <c r="IO52" s="248">
        <v>0</v>
      </c>
      <c r="IP52" s="248">
        <v>0</v>
      </c>
      <c r="IQ52" s="806">
        <f t="shared" si="45"/>
        <v>12012</v>
      </c>
      <c r="IR52" s="806">
        <f t="shared" si="46"/>
        <v>0</v>
      </c>
      <c r="IS52" s="806">
        <f t="shared" si="47"/>
        <v>0</v>
      </c>
      <c r="JG52" s="567" t="s">
        <v>534</v>
      </c>
      <c r="JH52" s="567" t="s">
        <v>537</v>
      </c>
      <c r="JI52" s="567" t="s">
        <v>447</v>
      </c>
      <c r="JJ52" s="567" t="s">
        <v>447</v>
      </c>
      <c r="JK52" s="567" t="s">
        <v>433</v>
      </c>
      <c r="JL52" s="80">
        <v>0</v>
      </c>
      <c r="JM52" s="80">
        <v>248089633</v>
      </c>
      <c r="JN52" s="80">
        <v>248089633</v>
      </c>
      <c r="JO52" s="169">
        <f t="shared" si="49"/>
        <v>0</v>
      </c>
      <c r="JP52" s="169">
        <f t="shared" si="50"/>
        <v>248089.633</v>
      </c>
      <c r="JQ52" s="169">
        <f t="shared" si="51"/>
        <v>248089.633</v>
      </c>
    </row>
    <row r="53" spans="35:277" x14ac:dyDescent="0.25">
      <c r="GI53" s="679" t="s">
        <v>452</v>
      </c>
      <c r="GJ53" s="679" t="s">
        <v>128</v>
      </c>
      <c r="GK53" s="362" t="s">
        <v>447</v>
      </c>
      <c r="GL53" s="679" t="s">
        <v>447</v>
      </c>
      <c r="GM53" s="679" t="s">
        <v>433</v>
      </c>
      <c r="GN53" s="715">
        <v>0</v>
      </c>
      <c r="GO53" s="715">
        <v>957817526</v>
      </c>
      <c r="GP53" s="715">
        <v>957817526</v>
      </c>
      <c r="GQ53" s="716">
        <f t="shared" si="37"/>
        <v>0</v>
      </c>
      <c r="GR53" s="716">
        <f t="shared" si="38"/>
        <v>957817.52599999995</v>
      </c>
      <c r="GS53" s="716">
        <f t="shared" si="39"/>
        <v>957817.52599999995</v>
      </c>
      <c r="HH53" s="775" t="s">
        <v>674</v>
      </c>
      <c r="HI53" s="775" t="s">
        <v>675</v>
      </c>
      <c r="HJ53" s="775" t="s">
        <v>447</v>
      </c>
      <c r="HK53" s="776" t="s">
        <v>447</v>
      </c>
      <c r="HL53" s="776" t="s">
        <v>433</v>
      </c>
      <c r="HM53" s="367">
        <v>0</v>
      </c>
      <c r="HN53" s="367">
        <v>22039500</v>
      </c>
      <c r="HO53" s="367">
        <v>0</v>
      </c>
      <c r="HP53" s="774">
        <f t="shared" si="41"/>
        <v>0</v>
      </c>
      <c r="HQ53" s="774">
        <f t="shared" si="42"/>
        <v>22039.5</v>
      </c>
      <c r="HR53" s="774">
        <f t="shared" si="43"/>
        <v>0</v>
      </c>
      <c r="II53" s="362" t="s">
        <v>672</v>
      </c>
      <c r="IJ53" s="362" t="s">
        <v>673</v>
      </c>
      <c r="IK53" s="362" t="s">
        <v>447</v>
      </c>
      <c r="IL53" s="362" t="s">
        <v>447</v>
      </c>
      <c r="IM53" s="679" t="s">
        <v>433</v>
      </c>
      <c r="IN53" s="248">
        <v>0</v>
      </c>
      <c r="IO53" s="248">
        <v>12012000</v>
      </c>
      <c r="IP53" s="248">
        <v>12012000</v>
      </c>
      <c r="IQ53" s="806">
        <f t="shared" si="45"/>
        <v>0</v>
      </c>
      <c r="IR53" s="806">
        <f t="shared" si="46"/>
        <v>12012</v>
      </c>
      <c r="IS53" s="806">
        <f t="shared" si="47"/>
        <v>12012</v>
      </c>
      <c r="JG53" s="567" t="s">
        <v>672</v>
      </c>
      <c r="JH53" s="567" t="s">
        <v>673</v>
      </c>
      <c r="JI53" s="567" t="s">
        <v>447</v>
      </c>
      <c r="JJ53" s="567" t="s">
        <v>447</v>
      </c>
      <c r="JK53" s="567" t="s">
        <v>433</v>
      </c>
      <c r="JL53" s="248">
        <v>12012000</v>
      </c>
      <c r="JM53" s="248">
        <v>0</v>
      </c>
      <c r="JN53" s="248">
        <v>0</v>
      </c>
      <c r="JO53" s="169">
        <f t="shared" si="49"/>
        <v>12012</v>
      </c>
      <c r="JP53" s="169">
        <f t="shared" si="50"/>
        <v>0</v>
      </c>
      <c r="JQ53" s="169">
        <f t="shared" si="51"/>
        <v>0</v>
      </c>
    </row>
    <row r="54" spans="35:277" x14ac:dyDescent="0.25">
      <c r="GQ54" s="717">
        <f>SUM(GQ3:GQ53)</f>
        <v>9306980.0099999998</v>
      </c>
      <c r="GR54" s="717">
        <f>SUM(GR3:GR53)</f>
        <v>5383334.835</v>
      </c>
      <c r="GS54" s="717">
        <f>SUM(GS3:GS53)</f>
        <v>3583592.068</v>
      </c>
      <c r="HH54" s="775" t="s">
        <v>452</v>
      </c>
      <c r="HI54" s="775" t="s">
        <v>128</v>
      </c>
      <c r="HJ54" s="775" t="s">
        <v>447</v>
      </c>
      <c r="HK54" s="776" t="s">
        <v>447</v>
      </c>
      <c r="HL54" s="776" t="s">
        <v>433</v>
      </c>
      <c r="HM54" s="367">
        <v>958943000</v>
      </c>
      <c r="HN54" s="367">
        <v>0</v>
      </c>
      <c r="HO54" s="367">
        <v>0</v>
      </c>
      <c r="HP54" s="774">
        <f t="shared" si="41"/>
        <v>958943</v>
      </c>
      <c r="HQ54" s="774">
        <f t="shared" si="42"/>
        <v>0</v>
      </c>
      <c r="HR54" s="774">
        <f t="shared" si="43"/>
        <v>0</v>
      </c>
      <c r="II54" s="362" t="s">
        <v>674</v>
      </c>
      <c r="IJ54" s="362" t="s">
        <v>675</v>
      </c>
      <c r="IK54" s="362" t="s">
        <v>447</v>
      </c>
      <c r="IL54" s="362" t="s">
        <v>447</v>
      </c>
      <c r="IM54" s="679" t="s">
        <v>433</v>
      </c>
      <c r="IN54" s="248">
        <v>22039500</v>
      </c>
      <c r="IO54" s="248">
        <v>0</v>
      </c>
      <c r="IP54" s="248">
        <v>0</v>
      </c>
      <c r="IQ54" s="806">
        <f>+IN54/$IT$2*$IU$2</f>
        <v>22039.5</v>
      </c>
      <c r="IR54" s="806">
        <f t="shared" si="46"/>
        <v>0</v>
      </c>
      <c r="IS54" s="806">
        <f t="shared" si="47"/>
        <v>0</v>
      </c>
      <c r="JG54" s="567" t="s">
        <v>672</v>
      </c>
      <c r="JH54" s="567" t="s">
        <v>673</v>
      </c>
      <c r="JI54" s="567" t="s">
        <v>447</v>
      </c>
      <c r="JJ54" s="567" t="s">
        <v>447</v>
      </c>
      <c r="JK54" s="567" t="s">
        <v>433</v>
      </c>
      <c r="JL54" s="248">
        <v>0</v>
      </c>
      <c r="JM54" s="248">
        <v>12012000</v>
      </c>
      <c r="JN54" s="248">
        <v>12012000</v>
      </c>
      <c r="JO54" s="169">
        <f t="shared" si="49"/>
        <v>0</v>
      </c>
      <c r="JP54" s="169">
        <f t="shared" si="50"/>
        <v>12012</v>
      </c>
      <c r="JQ54" s="169">
        <f t="shared" si="51"/>
        <v>12012</v>
      </c>
    </row>
    <row r="55" spans="35:277" x14ac:dyDescent="0.25">
      <c r="HH55" s="775" t="s">
        <v>452</v>
      </c>
      <c r="HI55" s="775" t="s">
        <v>128</v>
      </c>
      <c r="HJ55" s="775" t="s">
        <v>447</v>
      </c>
      <c r="HK55" s="776" t="s">
        <v>447</v>
      </c>
      <c r="HL55" s="776" t="s">
        <v>433</v>
      </c>
      <c r="HM55" s="367">
        <v>0</v>
      </c>
      <c r="HN55" s="367">
        <v>957817526</v>
      </c>
      <c r="HO55" s="367">
        <v>957817526</v>
      </c>
      <c r="HP55" s="774">
        <f t="shared" si="41"/>
        <v>0</v>
      </c>
      <c r="HQ55" s="774">
        <f t="shared" si="42"/>
        <v>957817.52599999995</v>
      </c>
      <c r="HR55" s="774">
        <f t="shared" si="43"/>
        <v>957817.52599999995</v>
      </c>
      <c r="II55" s="362" t="s">
        <v>674</v>
      </c>
      <c r="IJ55" s="362" t="s">
        <v>675</v>
      </c>
      <c r="IK55" s="362" t="s">
        <v>447</v>
      </c>
      <c r="IL55" s="362" t="s">
        <v>447</v>
      </c>
      <c r="IM55" s="679" t="s">
        <v>433</v>
      </c>
      <c r="IN55" s="248">
        <v>0</v>
      </c>
      <c r="IO55" s="248">
        <v>22039500</v>
      </c>
      <c r="IP55" s="248">
        <v>0</v>
      </c>
      <c r="IQ55" s="806">
        <f t="shared" ref="IQ55:IQ57" si="55">+IN55/$IT$2*$IU$2</f>
        <v>0</v>
      </c>
      <c r="IR55" s="806">
        <f t="shared" ref="IR55:IR57" si="56">+IO55/$IT$2*$IU$2</f>
        <v>22039.5</v>
      </c>
      <c r="IS55" s="806">
        <f t="shared" ref="IS55:IS57" si="57">+IP55/$IT$2*$IU$2</f>
        <v>0</v>
      </c>
      <c r="JG55" s="567" t="s">
        <v>674</v>
      </c>
      <c r="JH55" s="567" t="s">
        <v>675</v>
      </c>
      <c r="JI55" s="567" t="s">
        <v>447</v>
      </c>
      <c r="JJ55" s="567" t="s">
        <v>447</v>
      </c>
      <c r="JK55" s="567" t="s">
        <v>433</v>
      </c>
      <c r="JL55" s="248">
        <v>22039500</v>
      </c>
      <c r="JM55" s="248">
        <v>0</v>
      </c>
      <c r="JN55" s="248">
        <v>0</v>
      </c>
      <c r="JO55" s="169">
        <f t="shared" si="49"/>
        <v>22039.5</v>
      </c>
      <c r="JP55" s="169">
        <f t="shared" si="50"/>
        <v>0</v>
      </c>
      <c r="JQ55" s="169">
        <f t="shared" si="51"/>
        <v>0</v>
      </c>
    </row>
    <row r="56" spans="35:277" x14ac:dyDescent="0.25">
      <c r="II56" s="362" t="s">
        <v>452</v>
      </c>
      <c r="IJ56" s="362" t="s">
        <v>128</v>
      </c>
      <c r="IK56" s="362" t="s">
        <v>447</v>
      </c>
      <c r="IL56" s="362" t="s">
        <v>447</v>
      </c>
      <c r="IM56" s="679" t="s">
        <v>433</v>
      </c>
      <c r="IN56" s="248">
        <v>958943000</v>
      </c>
      <c r="IO56" s="248">
        <v>0</v>
      </c>
      <c r="IP56" s="248">
        <v>0</v>
      </c>
      <c r="IQ56" s="806">
        <f t="shared" si="55"/>
        <v>958943</v>
      </c>
      <c r="IR56" s="806">
        <f t="shared" si="56"/>
        <v>0</v>
      </c>
      <c r="IS56" s="806">
        <f t="shared" si="57"/>
        <v>0</v>
      </c>
      <c r="JG56" s="567" t="s">
        <v>674</v>
      </c>
      <c r="JH56" s="567" t="s">
        <v>675</v>
      </c>
      <c r="JI56" s="567" t="s">
        <v>447</v>
      </c>
      <c r="JJ56" s="567" t="s">
        <v>447</v>
      </c>
      <c r="JK56" s="567" t="s">
        <v>433</v>
      </c>
      <c r="JL56" s="248">
        <v>0</v>
      </c>
      <c r="JM56" s="248">
        <v>22039500</v>
      </c>
      <c r="JN56" s="248">
        <v>22039500</v>
      </c>
      <c r="JO56" s="169">
        <f t="shared" si="49"/>
        <v>0</v>
      </c>
      <c r="JP56" s="169">
        <f t="shared" si="50"/>
        <v>22039.5</v>
      </c>
      <c r="JQ56" s="169">
        <f t="shared" si="51"/>
        <v>22039.5</v>
      </c>
    </row>
    <row r="57" spans="35:277" x14ac:dyDescent="0.25">
      <c r="II57" s="362" t="s">
        <v>452</v>
      </c>
      <c r="IJ57" s="362" t="s">
        <v>128</v>
      </c>
      <c r="IK57" s="362" t="s">
        <v>447</v>
      </c>
      <c r="IL57" s="362" t="s">
        <v>447</v>
      </c>
      <c r="IM57" s="679" t="s">
        <v>433</v>
      </c>
      <c r="IN57" s="248">
        <v>0</v>
      </c>
      <c r="IO57" s="248">
        <v>957817526</v>
      </c>
      <c r="IP57" s="248">
        <v>957817526</v>
      </c>
      <c r="IQ57" s="806">
        <f t="shared" si="55"/>
        <v>0</v>
      </c>
      <c r="IR57" s="806">
        <f t="shared" si="56"/>
        <v>957817.52599999995</v>
      </c>
      <c r="IS57" s="806">
        <f t="shared" si="57"/>
        <v>957817.52599999995</v>
      </c>
      <c r="JG57" s="567" t="s">
        <v>452</v>
      </c>
      <c r="JH57" s="567" t="s">
        <v>128</v>
      </c>
      <c r="JI57" s="567" t="s">
        <v>447</v>
      </c>
      <c r="JJ57" s="567" t="s">
        <v>447</v>
      </c>
      <c r="JK57" s="567" t="s">
        <v>433</v>
      </c>
      <c r="JL57" s="248">
        <v>958943000</v>
      </c>
      <c r="JM57" s="248">
        <v>0</v>
      </c>
      <c r="JN57" s="248">
        <v>0</v>
      </c>
      <c r="JO57" s="169">
        <f t="shared" si="49"/>
        <v>958943</v>
      </c>
      <c r="JP57" s="169">
        <f t="shared" si="50"/>
        <v>0</v>
      </c>
      <c r="JQ57" s="169">
        <f t="shared" si="51"/>
        <v>0</v>
      </c>
    </row>
    <row r="58" spans="35:277" x14ac:dyDescent="0.25">
      <c r="JG58" s="567" t="s">
        <v>452</v>
      </c>
      <c r="JH58" s="567" t="s">
        <v>128</v>
      </c>
      <c r="JI58" s="567" t="s">
        <v>447</v>
      </c>
      <c r="JJ58" s="567" t="s">
        <v>447</v>
      </c>
      <c r="JK58" s="567" t="s">
        <v>433</v>
      </c>
      <c r="JL58" s="248">
        <v>0</v>
      </c>
      <c r="JM58" s="248">
        <v>957817526</v>
      </c>
      <c r="JN58" s="248">
        <v>957817526</v>
      </c>
      <c r="JO58" s="169">
        <f>+JL58/$JR$2*$JS$2</f>
        <v>0</v>
      </c>
      <c r="JP58" s="169">
        <f t="shared" si="50"/>
        <v>957817.52599999995</v>
      </c>
      <c r="JQ58" s="169">
        <f t="shared" si="51"/>
        <v>957817.52599999995</v>
      </c>
    </row>
    <row r="59" spans="35:277" x14ac:dyDescent="0.25">
      <c r="JO59" s="291">
        <f>SUM(JO3:JO58)</f>
        <v>8729127.0099999998</v>
      </c>
      <c r="JP59" s="291">
        <f t="shared" ref="JP59:JQ59" si="58">SUM(JP3:JP58)</f>
        <v>8121737.9349999996</v>
      </c>
      <c r="JQ59" s="291">
        <f t="shared" si="58"/>
        <v>8045530.5429999996</v>
      </c>
    </row>
    <row r="61" spans="35:277" x14ac:dyDescent="0.25">
      <c r="JO61" s="49"/>
      <c r="JP61" s="291"/>
      <c r="JQ61" s="291"/>
    </row>
  </sheetData>
  <autoFilter ref="GI2:GT53"/>
  <mergeCells count="23">
    <mergeCell ref="IW1:JC1"/>
    <mergeCell ref="JG1:JQ1"/>
    <mergeCell ref="A1:G1"/>
    <mergeCell ref="L1:Q1"/>
    <mergeCell ref="U1:Z1"/>
    <mergeCell ref="AD1:AJ1"/>
    <mergeCell ref="AN1:AR1"/>
    <mergeCell ref="HW1:IG1"/>
    <mergeCell ref="II1:IS1"/>
    <mergeCell ref="AW1:BF1"/>
    <mergeCell ref="BK1:BO1"/>
    <mergeCell ref="DV1:EF1"/>
    <mergeCell ref="EI1:EU1"/>
    <mergeCell ref="CV1:DE1"/>
    <mergeCell ref="DI1:DR1"/>
    <mergeCell ref="BT1:CF1"/>
    <mergeCell ref="CH1:CT1"/>
    <mergeCell ref="GX1:HF1"/>
    <mergeCell ref="HH1:HR1"/>
    <mergeCell ref="FY1:GE1"/>
    <mergeCell ref="GI1:GT1"/>
    <mergeCell ref="EW1:FG1"/>
    <mergeCell ref="FK1:FU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5DFDD"/>
  </sheetPr>
  <dimension ref="A1:BR46"/>
  <sheetViews>
    <sheetView topLeftCell="BC1" workbookViewId="0">
      <selection activeCell="BI29" sqref="BI29"/>
    </sheetView>
  </sheetViews>
  <sheetFormatPr baseColWidth="10" defaultRowHeight="15" x14ac:dyDescent="0.25"/>
  <cols>
    <col min="2" max="2" width="24.7109375" customWidth="1"/>
    <col min="5" max="5" width="30.28515625" hidden="1" customWidth="1"/>
    <col min="6" max="8" width="0" hidden="1" customWidth="1"/>
    <col min="14" max="14" width="37" customWidth="1"/>
    <col min="16" max="16" width="16.7109375" customWidth="1"/>
    <col min="24" max="24" width="28.42578125" style="70" customWidth="1"/>
    <col min="25" max="27" width="0" hidden="1" customWidth="1"/>
    <col min="34" max="34" width="31.5703125" customWidth="1"/>
    <col min="36" max="36" width="22.85546875" customWidth="1"/>
    <col min="42" max="42" width="11.42578125" style="70"/>
    <col min="44" max="44" width="11.42578125" style="70"/>
    <col min="45" max="47" width="0" hidden="1" customWidth="1"/>
    <col min="53" max="53" width="9" customWidth="1"/>
    <col min="54" max="54" width="24.42578125" customWidth="1"/>
    <col min="56" max="56" width="19.5703125" customWidth="1"/>
    <col min="57" max="57" width="17.28515625" customWidth="1"/>
    <col min="61" max="61" width="15.7109375" style="1285" bestFit="1" customWidth="1"/>
    <col min="62" max="62" width="47.140625" style="1574" bestFit="1" customWidth="1"/>
    <col min="63" max="63" width="10.140625" style="1285" bestFit="1" customWidth="1"/>
    <col min="64" max="64" width="45.42578125" style="1574" bestFit="1" customWidth="1"/>
    <col min="65" max="67" width="0" hidden="1" customWidth="1"/>
  </cols>
  <sheetData>
    <row r="1" spans="1:70" x14ac:dyDescent="0.25">
      <c r="A1" s="1729" t="s">
        <v>528</v>
      </c>
      <c r="B1" s="1729"/>
      <c r="C1" s="1729"/>
      <c r="D1" s="1729"/>
      <c r="E1" s="1729"/>
      <c r="J1">
        <v>1000</v>
      </c>
      <c r="K1">
        <v>1</v>
      </c>
      <c r="M1" s="1729" t="s">
        <v>137</v>
      </c>
      <c r="N1" s="1729"/>
      <c r="O1" s="1729"/>
      <c r="P1" s="1729"/>
      <c r="Q1" s="1729"/>
      <c r="R1">
        <v>1000</v>
      </c>
      <c r="S1">
        <v>1</v>
      </c>
      <c r="U1" s="1729" t="s">
        <v>1010</v>
      </c>
      <c r="V1" s="1729"/>
      <c r="W1" s="1729"/>
      <c r="X1" s="1729"/>
      <c r="Y1" s="1729"/>
      <c r="Z1" s="1729"/>
      <c r="AA1" s="1729"/>
      <c r="AC1">
        <v>1000</v>
      </c>
      <c r="AD1">
        <v>1</v>
      </c>
      <c r="AG1" s="1762" t="s">
        <v>1014</v>
      </c>
      <c r="AH1" s="1761"/>
      <c r="AI1" s="1761"/>
      <c r="AJ1" s="1761"/>
      <c r="AK1" s="1761"/>
      <c r="AL1">
        <v>1000</v>
      </c>
      <c r="AM1">
        <v>1</v>
      </c>
      <c r="AO1" s="1761" t="s">
        <v>1013</v>
      </c>
      <c r="AP1" s="1761"/>
      <c r="AQ1" s="1761"/>
      <c r="AR1" s="1761"/>
      <c r="AS1" s="1761"/>
      <c r="AT1" s="1761"/>
      <c r="AU1" s="1761"/>
      <c r="AV1" s="1761"/>
      <c r="AW1">
        <v>1000</v>
      </c>
      <c r="AX1">
        <v>1</v>
      </c>
      <c r="BA1" t="s">
        <v>7</v>
      </c>
      <c r="BD1">
        <v>1000</v>
      </c>
      <c r="BE1">
        <v>1</v>
      </c>
      <c r="BI1" s="1285" t="s">
        <v>1029</v>
      </c>
      <c r="BP1">
        <v>1000</v>
      </c>
      <c r="BR1">
        <v>1</v>
      </c>
    </row>
    <row r="2" spans="1:70" ht="45" x14ac:dyDescent="0.25">
      <c r="A2" s="1042" t="s">
        <v>425</v>
      </c>
      <c r="B2" s="1042" t="s">
        <v>453</v>
      </c>
      <c r="C2" s="1042" t="s">
        <v>426</v>
      </c>
      <c r="D2" s="1042" t="s">
        <v>535</v>
      </c>
      <c r="E2" s="1042" t="s">
        <v>427</v>
      </c>
      <c r="F2" s="1042" t="s">
        <v>467</v>
      </c>
      <c r="G2" s="1042" t="s">
        <v>487</v>
      </c>
      <c r="H2" s="1042" t="s">
        <v>429</v>
      </c>
      <c r="I2" s="1042" t="s">
        <v>467</v>
      </c>
      <c r="J2" s="1042" t="s">
        <v>487</v>
      </c>
      <c r="K2" s="1042" t="s">
        <v>429</v>
      </c>
      <c r="M2" s="1042" t="s">
        <v>425</v>
      </c>
      <c r="N2" s="1042" t="s">
        <v>453</v>
      </c>
      <c r="O2" s="1042" t="s">
        <v>426</v>
      </c>
      <c r="P2" s="1042" t="s">
        <v>535</v>
      </c>
      <c r="Q2" s="1042" t="s">
        <v>429</v>
      </c>
      <c r="R2" s="1042" t="s">
        <v>429</v>
      </c>
      <c r="U2" s="1042" t="s">
        <v>425</v>
      </c>
      <c r="V2" s="1042" t="s">
        <v>453</v>
      </c>
      <c r="W2" s="1042" t="s">
        <v>426</v>
      </c>
      <c r="X2" s="635" t="s">
        <v>535</v>
      </c>
      <c r="Y2" s="1042" t="s">
        <v>467</v>
      </c>
      <c r="Z2" s="1042" t="s">
        <v>487</v>
      </c>
      <c r="AA2" s="1042" t="s">
        <v>429</v>
      </c>
      <c r="AB2" s="1042" t="s">
        <v>467</v>
      </c>
      <c r="AC2" s="1042" t="s">
        <v>487</v>
      </c>
      <c r="AD2" s="1042" t="s">
        <v>429</v>
      </c>
      <c r="AG2" s="1042" t="s">
        <v>425</v>
      </c>
      <c r="AH2" s="1042" t="s">
        <v>453</v>
      </c>
      <c r="AI2" s="1042" t="s">
        <v>426</v>
      </c>
      <c r="AJ2" s="1042" t="s">
        <v>535</v>
      </c>
      <c r="AK2" s="1042" t="s">
        <v>429</v>
      </c>
      <c r="AL2" s="1042" t="s">
        <v>429</v>
      </c>
      <c r="AO2" s="1042" t="s">
        <v>425</v>
      </c>
      <c r="AP2" s="1042" t="s">
        <v>453</v>
      </c>
      <c r="AQ2" s="1042" t="s">
        <v>426</v>
      </c>
      <c r="AR2" s="1042" t="s">
        <v>535</v>
      </c>
      <c r="AS2" s="1042" t="s">
        <v>467</v>
      </c>
      <c r="AT2" s="1042" t="s">
        <v>487</v>
      </c>
      <c r="AU2" s="1042" t="s">
        <v>429</v>
      </c>
      <c r="AV2" s="1042" t="s">
        <v>467</v>
      </c>
      <c r="AW2" s="1042" t="s">
        <v>487</v>
      </c>
      <c r="AX2" s="1042" t="s">
        <v>429</v>
      </c>
      <c r="BA2" s="1436" t="s">
        <v>425</v>
      </c>
      <c r="BB2" s="1436" t="s">
        <v>453</v>
      </c>
      <c r="BC2" s="1436" t="s">
        <v>426</v>
      </c>
      <c r="BD2" s="1436" t="s">
        <v>535</v>
      </c>
      <c r="BE2" s="1436" t="s">
        <v>429</v>
      </c>
      <c r="BF2" s="1436" t="str">
        <f>+BE2</f>
        <v>Monto Devengo</v>
      </c>
      <c r="BI2" s="1572" t="s">
        <v>425</v>
      </c>
      <c r="BJ2" s="1575" t="s">
        <v>453</v>
      </c>
      <c r="BK2" s="1572" t="s">
        <v>426</v>
      </c>
      <c r="BL2" s="1575" t="s">
        <v>535</v>
      </c>
      <c r="BM2" s="1424" t="s">
        <v>467</v>
      </c>
      <c r="BN2" s="1424" t="s">
        <v>487</v>
      </c>
      <c r="BO2" s="1424" t="s">
        <v>429</v>
      </c>
      <c r="BP2" s="1424" t="s">
        <v>467</v>
      </c>
      <c r="BQ2" s="1424" t="s">
        <v>487</v>
      </c>
      <c r="BR2" s="1424" t="s">
        <v>429</v>
      </c>
    </row>
    <row r="3" spans="1:70" x14ac:dyDescent="0.25">
      <c r="A3" s="362" t="s">
        <v>987</v>
      </c>
      <c r="B3" s="679" t="s">
        <v>988</v>
      </c>
      <c r="C3" s="362" t="s">
        <v>447</v>
      </c>
      <c r="D3" s="679" t="s">
        <v>447</v>
      </c>
      <c r="E3" s="679" t="s">
        <v>433</v>
      </c>
      <c r="F3" s="248">
        <v>192906000</v>
      </c>
      <c r="G3" s="248">
        <v>0</v>
      </c>
      <c r="H3" s="248">
        <v>0</v>
      </c>
      <c r="I3" s="248">
        <f>+F3/$J$1*$K$1</f>
        <v>192906</v>
      </c>
      <c r="J3" s="248">
        <f t="shared" ref="J3:K3" si="0">+G3/$J$1*$K$1</f>
        <v>0</v>
      </c>
      <c r="K3" s="248">
        <f t="shared" si="0"/>
        <v>0</v>
      </c>
      <c r="M3" s="362" t="s">
        <v>430</v>
      </c>
      <c r="N3" s="679" t="s">
        <v>454</v>
      </c>
      <c r="O3" s="362" t="s">
        <v>715</v>
      </c>
      <c r="P3" s="679" t="s">
        <v>716</v>
      </c>
      <c r="Q3" s="248">
        <v>0</v>
      </c>
      <c r="R3" s="1267">
        <f>+Q3/$R$1*$S$1</f>
        <v>0</v>
      </c>
      <c r="U3" s="362" t="s">
        <v>987</v>
      </c>
      <c r="V3" s="362" t="s">
        <v>988</v>
      </c>
      <c r="W3" s="362" t="s">
        <v>447</v>
      </c>
      <c r="X3" s="679" t="s">
        <v>447</v>
      </c>
      <c r="Y3" s="248">
        <v>192906000</v>
      </c>
      <c r="Z3" s="248">
        <v>0</v>
      </c>
      <c r="AA3" s="248">
        <v>0</v>
      </c>
      <c r="AB3" s="248">
        <f>+Y3/$AC$1*$AD$1</f>
        <v>192906</v>
      </c>
      <c r="AC3" s="248">
        <f t="shared" ref="AC3:AD3" si="1">+Z3/$AC$1*$AD$1</f>
        <v>0</v>
      </c>
      <c r="AD3" s="248">
        <f t="shared" si="1"/>
        <v>0</v>
      </c>
      <c r="AG3" s="1422" t="s">
        <v>430</v>
      </c>
      <c r="AH3" s="1422" t="s">
        <v>454</v>
      </c>
      <c r="AI3" s="1422" t="s">
        <v>457</v>
      </c>
      <c r="AJ3" s="1422" t="s">
        <v>274</v>
      </c>
      <c r="AK3" s="1423">
        <v>7800000</v>
      </c>
      <c r="AL3" s="1423">
        <f>+AK3/$AL$1*$AM$1</f>
        <v>7800</v>
      </c>
      <c r="AO3" s="1432" t="s">
        <v>987</v>
      </c>
      <c r="AP3" s="1433" t="s">
        <v>988</v>
      </c>
      <c r="AQ3" s="1432" t="s">
        <v>447</v>
      </c>
      <c r="AR3" s="1433" t="s">
        <v>447</v>
      </c>
      <c r="AS3" s="1434">
        <v>192906000</v>
      </c>
      <c r="AT3" s="1434">
        <v>0</v>
      </c>
      <c r="AU3" s="1434">
        <v>0</v>
      </c>
      <c r="AV3" s="1434">
        <f>+AS3/$AW$1*$AX$1</f>
        <v>192906</v>
      </c>
      <c r="AW3" s="1434">
        <f t="shared" ref="AW3:AX3" si="2">+AT3/$AW$1*$AX$1</f>
        <v>0</v>
      </c>
      <c r="AX3" s="1434">
        <f t="shared" si="2"/>
        <v>0</v>
      </c>
      <c r="BA3" s="567" t="s">
        <v>987</v>
      </c>
      <c r="BB3" s="567" t="s">
        <v>988</v>
      </c>
      <c r="BC3" s="567" t="s">
        <v>447</v>
      </c>
      <c r="BD3" s="567" t="s">
        <v>447</v>
      </c>
      <c r="BE3" s="1577">
        <v>192906000</v>
      </c>
      <c r="BF3" s="1578">
        <f>+BE3/$BD$1*$BE$1</f>
        <v>192906</v>
      </c>
      <c r="BI3" s="1573" t="s">
        <v>987</v>
      </c>
      <c r="BJ3" s="1576" t="s">
        <v>988</v>
      </c>
      <c r="BK3" s="1573" t="s">
        <v>447</v>
      </c>
      <c r="BL3" s="1576" t="s">
        <v>447</v>
      </c>
      <c r="BM3" s="248">
        <v>192906000</v>
      </c>
      <c r="BN3" s="248">
        <v>0</v>
      </c>
      <c r="BO3" s="248">
        <v>0</v>
      </c>
      <c r="BP3" s="169">
        <f>+BM3/$BP$1*$BR$1</f>
        <v>192906</v>
      </c>
      <c r="BQ3" s="169">
        <f t="shared" ref="BQ3:BR3" si="3">+BN3/$BP$1*$BR$1</f>
        <v>0</v>
      </c>
      <c r="BR3" s="169">
        <f t="shared" si="3"/>
        <v>0</v>
      </c>
    </row>
    <row r="4" spans="1:70" x14ac:dyDescent="0.25">
      <c r="A4" s="362" t="s">
        <v>430</v>
      </c>
      <c r="B4" s="679" t="s">
        <v>454</v>
      </c>
      <c r="C4" s="362" t="s">
        <v>457</v>
      </c>
      <c r="D4" s="679" t="s">
        <v>274</v>
      </c>
      <c r="E4" s="679" t="s">
        <v>433</v>
      </c>
      <c r="F4" s="248">
        <v>1074172000</v>
      </c>
      <c r="G4" s="248">
        <v>0</v>
      </c>
      <c r="H4" s="248">
        <v>0</v>
      </c>
      <c r="I4" s="248">
        <f t="shared" ref="I4:I36" si="4">+F4/$J$1*$K$1</f>
        <v>1074172</v>
      </c>
      <c r="J4" s="248">
        <f t="shared" ref="J4:J36" si="5">+G4/$J$1*$K$1</f>
        <v>0</v>
      </c>
      <c r="K4" s="248">
        <f t="shared" ref="K4:K36" si="6">+H4/$J$1*$K$1</f>
        <v>0</v>
      </c>
      <c r="M4" s="362" t="s">
        <v>430</v>
      </c>
      <c r="N4" s="679" t="s">
        <v>454</v>
      </c>
      <c r="O4" s="362" t="s">
        <v>628</v>
      </c>
      <c r="P4" s="679" t="s">
        <v>331</v>
      </c>
      <c r="Q4" s="248">
        <v>0</v>
      </c>
      <c r="R4" s="1267">
        <f t="shared" ref="R4:R20" si="7">+Q4/$R$1*$S$1</f>
        <v>0</v>
      </c>
      <c r="U4" s="362" t="s">
        <v>430</v>
      </c>
      <c r="V4" s="362" t="s">
        <v>454</v>
      </c>
      <c r="W4" s="362" t="s">
        <v>457</v>
      </c>
      <c r="X4" s="679" t="s">
        <v>274</v>
      </c>
      <c r="Y4" s="248">
        <v>1075022000</v>
      </c>
      <c r="Z4" s="248">
        <v>0</v>
      </c>
      <c r="AA4" s="248">
        <v>0</v>
      </c>
      <c r="AB4" s="248">
        <f t="shared" ref="AB4:AB41" si="8">+Y4/$AC$1*$AD$1</f>
        <v>1075022</v>
      </c>
      <c r="AC4" s="248">
        <f t="shared" ref="AC4:AC41" si="9">+Z4/$AC$1*$AD$1</f>
        <v>0</v>
      </c>
      <c r="AD4" s="248">
        <f t="shared" ref="AD4:AD41" si="10">+AA4/$AC$1*$AD$1</f>
        <v>0</v>
      </c>
      <c r="AG4" s="1422" t="s">
        <v>430</v>
      </c>
      <c r="AH4" s="1422" t="s">
        <v>454</v>
      </c>
      <c r="AI4" s="1422" t="s">
        <v>715</v>
      </c>
      <c r="AJ4" s="1422" t="s">
        <v>716</v>
      </c>
      <c r="AK4" s="1423">
        <v>0</v>
      </c>
      <c r="AL4" s="1423">
        <f t="shared" ref="AL4:AL16" si="11">+AK4/$AL$1*$AM$1</f>
        <v>0</v>
      </c>
      <c r="AO4" s="1432" t="s">
        <v>430</v>
      </c>
      <c r="AP4" s="1433" t="s">
        <v>454</v>
      </c>
      <c r="AQ4" s="1432" t="s">
        <v>457</v>
      </c>
      <c r="AR4" s="1433" t="s">
        <v>274</v>
      </c>
      <c r="AS4" s="1434">
        <v>1075022000</v>
      </c>
      <c r="AT4" s="1434">
        <v>0</v>
      </c>
      <c r="AU4" s="1434">
        <v>0</v>
      </c>
      <c r="AV4" s="1434">
        <f t="shared" ref="AV4:AV43" si="12">+AS4/$AW$1*$AX$1</f>
        <v>1075022</v>
      </c>
      <c r="AW4" s="1434">
        <f t="shared" ref="AW4:AW43" si="13">+AT4/$AW$1*$AX$1</f>
        <v>0</v>
      </c>
      <c r="AX4" s="1434">
        <f t="shared" ref="AX4:AX43" si="14">+AU4/$AW$1*$AX$1</f>
        <v>0</v>
      </c>
      <c r="BA4" s="567" t="s">
        <v>430</v>
      </c>
      <c r="BB4" s="567" t="s">
        <v>454</v>
      </c>
      <c r="BC4" s="567" t="s">
        <v>715</v>
      </c>
      <c r="BD4" s="567" t="s">
        <v>716</v>
      </c>
      <c r="BE4" s="1577">
        <v>2450000</v>
      </c>
      <c r="BF4" s="1578">
        <f t="shared" ref="BF4:BF10" si="15">+BE4/$BD$1*$BE$1</f>
        <v>2450</v>
      </c>
      <c r="BI4" s="1573" t="s">
        <v>987</v>
      </c>
      <c r="BJ4" s="1576" t="s">
        <v>988</v>
      </c>
      <c r="BK4" s="1573" t="s">
        <v>447</v>
      </c>
      <c r="BL4" s="1576" t="s">
        <v>447</v>
      </c>
      <c r="BM4" s="248">
        <v>0</v>
      </c>
      <c r="BN4" s="248">
        <v>192906000</v>
      </c>
      <c r="BO4" s="248">
        <v>192906000</v>
      </c>
      <c r="BP4" s="169">
        <f t="shared" ref="BP4:BP46" si="16">+BM4/$BP$1*$BR$1</f>
        <v>0</v>
      </c>
      <c r="BQ4" s="169">
        <f t="shared" ref="BQ4:BQ46" si="17">+BN4/$BP$1*$BR$1</f>
        <v>192906</v>
      </c>
      <c r="BR4" s="169">
        <f t="shared" ref="BR4:BR46" si="18">+BO4/$BP$1*$BR$1</f>
        <v>192906</v>
      </c>
    </row>
    <row r="5" spans="1:70" x14ac:dyDescent="0.25">
      <c r="A5" s="362" t="s">
        <v>430</v>
      </c>
      <c r="B5" s="679" t="s">
        <v>454</v>
      </c>
      <c r="C5" s="362" t="s">
        <v>431</v>
      </c>
      <c r="D5" s="679" t="s">
        <v>432</v>
      </c>
      <c r="E5" s="679" t="s">
        <v>433</v>
      </c>
      <c r="F5" s="248">
        <v>339360000</v>
      </c>
      <c r="G5" s="248">
        <v>0</v>
      </c>
      <c r="H5" s="248">
        <v>0</v>
      </c>
      <c r="I5" s="248">
        <f t="shared" si="4"/>
        <v>339360</v>
      </c>
      <c r="J5" s="248">
        <f t="shared" si="5"/>
        <v>0</v>
      </c>
      <c r="K5" s="248">
        <f t="shared" si="6"/>
        <v>0</v>
      </c>
      <c r="M5" s="362" t="s">
        <v>430</v>
      </c>
      <c r="N5" s="679" t="s">
        <v>454</v>
      </c>
      <c r="O5" s="362" t="s">
        <v>457</v>
      </c>
      <c r="P5" s="679" t="s">
        <v>274</v>
      </c>
      <c r="Q5" s="248">
        <v>0</v>
      </c>
      <c r="R5" s="1267">
        <f t="shared" si="7"/>
        <v>0</v>
      </c>
      <c r="U5" s="362" t="s">
        <v>430</v>
      </c>
      <c r="V5" s="362" t="s">
        <v>454</v>
      </c>
      <c r="W5" s="362" t="s">
        <v>431</v>
      </c>
      <c r="X5" s="679" t="s">
        <v>432</v>
      </c>
      <c r="Y5" s="248">
        <v>315360000</v>
      </c>
      <c r="Z5" s="248">
        <v>0</v>
      </c>
      <c r="AA5" s="248">
        <v>0</v>
      </c>
      <c r="AB5" s="248">
        <f t="shared" si="8"/>
        <v>315360</v>
      </c>
      <c r="AC5" s="248">
        <f t="shared" si="9"/>
        <v>0</v>
      </c>
      <c r="AD5" s="248">
        <f t="shared" si="10"/>
        <v>0</v>
      </c>
      <c r="AG5" s="1422" t="s">
        <v>430</v>
      </c>
      <c r="AH5" s="1422" t="s">
        <v>454</v>
      </c>
      <c r="AI5" s="1422" t="s">
        <v>447</v>
      </c>
      <c r="AJ5" s="1422" t="s">
        <v>447</v>
      </c>
      <c r="AK5" s="1423">
        <v>0</v>
      </c>
      <c r="AL5" s="1423">
        <f t="shared" si="11"/>
        <v>0</v>
      </c>
      <c r="AO5" s="1432" t="s">
        <v>430</v>
      </c>
      <c r="AP5" s="1433" t="s">
        <v>454</v>
      </c>
      <c r="AQ5" s="1432" t="s">
        <v>431</v>
      </c>
      <c r="AR5" s="1433" t="s">
        <v>432</v>
      </c>
      <c r="AS5" s="1434">
        <v>315360000</v>
      </c>
      <c r="AT5" s="1434">
        <v>0</v>
      </c>
      <c r="AU5" s="1434">
        <v>0</v>
      </c>
      <c r="AV5" s="1434">
        <f t="shared" si="12"/>
        <v>315360</v>
      </c>
      <c r="AW5" s="1434">
        <f t="shared" si="13"/>
        <v>0</v>
      </c>
      <c r="AX5" s="1434">
        <f t="shared" si="14"/>
        <v>0</v>
      </c>
      <c r="BA5" s="567" t="s">
        <v>434</v>
      </c>
      <c r="BB5" s="567" t="s">
        <v>307</v>
      </c>
      <c r="BC5" s="567" t="s">
        <v>435</v>
      </c>
      <c r="BD5" s="567" t="s">
        <v>328</v>
      </c>
      <c r="BE5" s="1577">
        <v>53485571</v>
      </c>
      <c r="BF5" s="1578">
        <f t="shared" si="15"/>
        <v>53485.571000000004</v>
      </c>
      <c r="BI5" s="1573" t="s">
        <v>430</v>
      </c>
      <c r="BJ5" s="1576" t="s">
        <v>454</v>
      </c>
      <c r="BK5" s="1573" t="s">
        <v>457</v>
      </c>
      <c r="BL5" s="1576" t="s">
        <v>274</v>
      </c>
      <c r="BM5" s="248">
        <v>1075022000</v>
      </c>
      <c r="BN5" s="248">
        <v>0</v>
      </c>
      <c r="BO5" s="248">
        <v>0</v>
      </c>
      <c r="BP5" s="169">
        <f t="shared" si="16"/>
        <v>1075022</v>
      </c>
      <c r="BQ5" s="169">
        <f t="shared" si="17"/>
        <v>0</v>
      </c>
      <c r="BR5" s="169">
        <f t="shared" si="18"/>
        <v>0</v>
      </c>
    </row>
    <row r="6" spans="1:70" x14ac:dyDescent="0.25">
      <c r="A6" s="362" t="s">
        <v>430</v>
      </c>
      <c r="B6" s="679" t="s">
        <v>454</v>
      </c>
      <c r="C6" s="362" t="s">
        <v>455</v>
      </c>
      <c r="D6" s="679" t="s">
        <v>456</v>
      </c>
      <c r="E6" s="679" t="s">
        <v>433</v>
      </c>
      <c r="F6" s="248">
        <v>70000000</v>
      </c>
      <c r="G6" s="248">
        <v>0</v>
      </c>
      <c r="H6" s="248">
        <v>0</v>
      </c>
      <c r="I6" s="248">
        <f t="shared" si="4"/>
        <v>70000</v>
      </c>
      <c r="J6" s="248">
        <f t="shared" si="5"/>
        <v>0</v>
      </c>
      <c r="K6" s="248">
        <f t="shared" si="6"/>
        <v>0</v>
      </c>
      <c r="M6" s="362" t="s">
        <v>430</v>
      </c>
      <c r="N6" s="679" t="s">
        <v>454</v>
      </c>
      <c r="O6" s="362" t="s">
        <v>457</v>
      </c>
      <c r="P6" s="679" t="s">
        <v>274</v>
      </c>
      <c r="Q6" s="248">
        <v>0</v>
      </c>
      <c r="R6" s="1267">
        <f t="shared" si="7"/>
        <v>0</v>
      </c>
      <c r="U6" s="362" t="s">
        <v>430</v>
      </c>
      <c r="V6" s="362" t="s">
        <v>454</v>
      </c>
      <c r="W6" s="362" t="s">
        <v>455</v>
      </c>
      <c r="X6" s="679" t="s">
        <v>456</v>
      </c>
      <c r="Y6" s="248">
        <v>70000000</v>
      </c>
      <c r="Z6" s="248">
        <v>0</v>
      </c>
      <c r="AA6" s="248">
        <v>0</v>
      </c>
      <c r="AB6" s="248">
        <f t="shared" si="8"/>
        <v>70000</v>
      </c>
      <c r="AC6" s="248">
        <f t="shared" si="9"/>
        <v>0</v>
      </c>
      <c r="AD6" s="248">
        <f t="shared" si="10"/>
        <v>0</v>
      </c>
      <c r="AG6" s="1422" t="s">
        <v>434</v>
      </c>
      <c r="AH6" s="1422" t="s">
        <v>307</v>
      </c>
      <c r="AI6" s="1422" t="s">
        <v>459</v>
      </c>
      <c r="AJ6" s="1422" t="s">
        <v>331</v>
      </c>
      <c r="AK6" s="1423">
        <v>0</v>
      </c>
      <c r="AL6" s="1423">
        <f t="shared" si="11"/>
        <v>0</v>
      </c>
      <c r="AO6" s="1432" t="s">
        <v>430</v>
      </c>
      <c r="AP6" s="1433" t="s">
        <v>454</v>
      </c>
      <c r="AQ6" s="1432" t="s">
        <v>455</v>
      </c>
      <c r="AR6" s="1433" t="s">
        <v>456</v>
      </c>
      <c r="AS6" s="1434">
        <v>70000000</v>
      </c>
      <c r="AT6" s="1434">
        <v>0</v>
      </c>
      <c r="AU6" s="1434">
        <v>0</v>
      </c>
      <c r="AV6" s="1434">
        <f t="shared" si="12"/>
        <v>70000</v>
      </c>
      <c r="AW6" s="1434">
        <f t="shared" si="13"/>
        <v>0</v>
      </c>
      <c r="AX6" s="1434">
        <f t="shared" si="14"/>
        <v>0</v>
      </c>
      <c r="BA6" s="567" t="s">
        <v>434</v>
      </c>
      <c r="BB6" s="567" t="s">
        <v>307</v>
      </c>
      <c r="BC6" s="567" t="s">
        <v>437</v>
      </c>
      <c r="BD6" s="567" t="s">
        <v>329</v>
      </c>
      <c r="BE6" s="1577">
        <v>10200000</v>
      </c>
      <c r="BF6" s="1578">
        <f t="shared" si="15"/>
        <v>10200</v>
      </c>
      <c r="BI6" s="1573" t="s">
        <v>430</v>
      </c>
      <c r="BJ6" s="1576" t="s">
        <v>454</v>
      </c>
      <c r="BK6" s="1573" t="s">
        <v>431</v>
      </c>
      <c r="BL6" s="1576" t="s">
        <v>432</v>
      </c>
      <c r="BM6" s="248">
        <v>315360000</v>
      </c>
      <c r="BN6" s="248">
        <v>0</v>
      </c>
      <c r="BO6" s="248">
        <v>0</v>
      </c>
      <c r="BP6" s="169">
        <f t="shared" si="16"/>
        <v>315360</v>
      </c>
      <c r="BQ6" s="169">
        <f t="shared" si="17"/>
        <v>0</v>
      </c>
      <c r="BR6" s="169">
        <f t="shared" si="18"/>
        <v>0</v>
      </c>
    </row>
    <row r="7" spans="1:70" x14ac:dyDescent="0.25">
      <c r="A7" s="362" t="s">
        <v>430</v>
      </c>
      <c r="B7" s="679" t="s">
        <v>454</v>
      </c>
      <c r="C7" s="362" t="s">
        <v>715</v>
      </c>
      <c r="D7" s="679" t="s">
        <v>716</v>
      </c>
      <c r="E7" s="679" t="s">
        <v>433</v>
      </c>
      <c r="F7" s="248">
        <v>44436000</v>
      </c>
      <c r="G7" s="248">
        <v>0</v>
      </c>
      <c r="H7" s="248">
        <v>0</v>
      </c>
      <c r="I7" s="248">
        <f t="shared" si="4"/>
        <v>44436</v>
      </c>
      <c r="J7" s="248">
        <f t="shared" si="5"/>
        <v>0</v>
      </c>
      <c r="K7" s="248">
        <f t="shared" si="6"/>
        <v>0</v>
      </c>
      <c r="M7" s="362" t="s">
        <v>430</v>
      </c>
      <c r="N7" s="679" t="s">
        <v>454</v>
      </c>
      <c r="O7" s="362" t="s">
        <v>447</v>
      </c>
      <c r="P7" s="679" t="s">
        <v>447</v>
      </c>
      <c r="Q7" s="248">
        <v>0</v>
      </c>
      <c r="R7" s="1267">
        <f t="shared" si="7"/>
        <v>0</v>
      </c>
      <c r="U7" s="362" t="s">
        <v>430</v>
      </c>
      <c r="V7" s="362" t="s">
        <v>454</v>
      </c>
      <c r="W7" s="362" t="s">
        <v>715</v>
      </c>
      <c r="X7" s="679" t="s">
        <v>716</v>
      </c>
      <c r="Y7" s="248">
        <v>66586000</v>
      </c>
      <c r="Z7" s="248">
        <v>0</v>
      </c>
      <c r="AA7" s="248">
        <v>0</v>
      </c>
      <c r="AB7" s="248">
        <f t="shared" si="8"/>
        <v>66586</v>
      </c>
      <c r="AC7" s="248">
        <f t="shared" si="9"/>
        <v>0</v>
      </c>
      <c r="AD7" s="248">
        <f t="shared" si="10"/>
        <v>0</v>
      </c>
      <c r="AG7" s="1422" t="s">
        <v>434</v>
      </c>
      <c r="AH7" s="1422" t="s">
        <v>307</v>
      </c>
      <c r="AI7" s="1422" t="s">
        <v>437</v>
      </c>
      <c r="AJ7" s="1422" t="s">
        <v>329</v>
      </c>
      <c r="AK7" s="1423">
        <v>1920000</v>
      </c>
      <c r="AL7" s="1423">
        <f t="shared" si="11"/>
        <v>1920</v>
      </c>
      <c r="AO7" s="1432" t="s">
        <v>430</v>
      </c>
      <c r="AP7" s="1433" t="s">
        <v>454</v>
      </c>
      <c r="AQ7" s="1432" t="s">
        <v>715</v>
      </c>
      <c r="AR7" s="1433" t="s">
        <v>716</v>
      </c>
      <c r="AS7" s="1434">
        <v>66586000</v>
      </c>
      <c r="AT7" s="1434">
        <v>0</v>
      </c>
      <c r="AU7" s="1434">
        <v>0</v>
      </c>
      <c r="AV7" s="1434">
        <f t="shared" si="12"/>
        <v>66586</v>
      </c>
      <c r="AW7" s="1434">
        <f t="shared" si="13"/>
        <v>0</v>
      </c>
      <c r="AX7" s="1434">
        <f t="shared" si="14"/>
        <v>0</v>
      </c>
      <c r="BA7" s="567" t="s">
        <v>434</v>
      </c>
      <c r="BB7" s="567" t="s">
        <v>307</v>
      </c>
      <c r="BC7" s="567" t="s">
        <v>436</v>
      </c>
      <c r="BD7" s="567" t="s">
        <v>339</v>
      </c>
      <c r="BE7" s="1577">
        <v>7473302</v>
      </c>
      <c r="BF7" s="1578">
        <f t="shared" si="15"/>
        <v>7473.3019999999997</v>
      </c>
      <c r="BI7" s="1573" t="s">
        <v>430</v>
      </c>
      <c r="BJ7" s="1576" t="s">
        <v>454</v>
      </c>
      <c r="BK7" s="1573" t="s">
        <v>455</v>
      </c>
      <c r="BL7" s="1576" t="s">
        <v>456</v>
      </c>
      <c r="BM7" s="248">
        <v>70000000</v>
      </c>
      <c r="BN7" s="248">
        <v>0</v>
      </c>
      <c r="BO7" s="248">
        <v>0</v>
      </c>
      <c r="BP7" s="169">
        <f t="shared" si="16"/>
        <v>70000</v>
      </c>
      <c r="BQ7" s="169">
        <f t="shared" si="17"/>
        <v>0</v>
      </c>
      <c r="BR7" s="169">
        <f t="shared" si="18"/>
        <v>0</v>
      </c>
    </row>
    <row r="8" spans="1:70" x14ac:dyDescent="0.25">
      <c r="A8" s="362" t="s">
        <v>430</v>
      </c>
      <c r="B8" s="679" t="s">
        <v>454</v>
      </c>
      <c r="C8" s="362" t="s">
        <v>628</v>
      </c>
      <c r="D8" s="679" t="s">
        <v>331</v>
      </c>
      <c r="E8" s="679" t="s">
        <v>433</v>
      </c>
      <c r="F8" s="248">
        <v>6034000</v>
      </c>
      <c r="G8" s="248">
        <v>0</v>
      </c>
      <c r="H8" s="248">
        <v>0</v>
      </c>
      <c r="I8" s="248">
        <f t="shared" si="4"/>
        <v>6034</v>
      </c>
      <c r="J8" s="248">
        <f t="shared" si="5"/>
        <v>0</v>
      </c>
      <c r="K8" s="248">
        <f t="shared" si="6"/>
        <v>0</v>
      </c>
      <c r="M8" s="362" t="s">
        <v>430</v>
      </c>
      <c r="N8" s="679" t="s">
        <v>454</v>
      </c>
      <c r="O8" s="362" t="s">
        <v>431</v>
      </c>
      <c r="P8" s="679" t="s">
        <v>432</v>
      </c>
      <c r="Q8" s="248">
        <v>0</v>
      </c>
      <c r="R8" s="1267">
        <f t="shared" si="7"/>
        <v>0</v>
      </c>
      <c r="U8" s="362" t="s">
        <v>430</v>
      </c>
      <c r="V8" s="362" t="s">
        <v>454</v>
      </c>
      <c r="W8" s="362" t="s">
        <v>628</v>
      </c>
      <c r="X8" s="679" t="s">
        <v>331</v>
      </c>
      <c r="Y8" s="248">
        <v>7034000</v>
      </c>
      <c r="Z8" s="248">
        <v>0</v>
      </c>
      <c r="AA8" s="248">
        <v>0</v>
      </c>
      <c r="AB8" s="248">
        <f t="shared" si="8"/>
        <v>7034</v>
      </c>
      <c r="AC8" s="248">
        <f t="shared" si="9"/>
        <v>0</v>
      </c>
      <c r="AD8" s="248">
        <f t="shared" si="10"/>
        <v>0</v>
      </c>
      <c r="AG8" s="1422" t="s">
        <v>434</v>
      </c>
      <c r="AH8" s="1422" t="s">
        <v>307</v>
      </c>
      <c r="AI8" s="1422" t="s">
        <v>447</v>
      </c>
      <c r="AJ8" s="1422" t="s">
        <v>447</v>
      </c>
      <c r="AK8" s="1423">
        <v>0</v>
      </c>
      <c r="AL8" s="1423">
        <f t="shared" si="11"/>
        <v>0</v>
      </c>
      <c r="AO8" s="1432" t="s">
        <v>430</v>
      </c>
      <c r="AP8" s="1433" t="s">
        <v>454</v>
      </c>
      <c r="AQ8" s="1432" t="s">
        <v>628</v>
      </c>
      <c r="AR8" s="1433" t="s">
        <v>331</v>
      </c>
      <c r="AS8" s="1434">
        <v>7034000</v>
      </c>
      <c r="AT8" s="1434">
        <v>0</v>
      </c>
      <c r="AU8" s="1434">
        <v>0</v>
      </c>
      <c r="AV8" s="1434">
        <f t="shared" si="12"/>
        <v>7034</v>
      </c>
      <c r="AW8" s="1434">
        <f t="shared" si="13"/>
        <v>0</v>
      </c>
      <c r="AX8" s="1434">
        <f t="shared" si="14"/>
        <v>0</v>
      </c>
      <c r="BA8" s="567" t="s">
        <v>434</v>
      </c>
      <c r="BB8" s="567" t="s">
        <v>307</v>
      </c>
      <c r="BC8" s="567" t="s">
        <v>458</v>
      </c>
      <c r="BD8" s="567" t="s">
        <v>330</v>
      </c>
      <c r="BE8" s="1577">
        <v>28928</v>
      </c>
      <c r="BF8" s="1578">
        <f t="shared" si="15"/>
        <v>28.928000000000001</v>
      </c>
      <c r="BI8" s="1573" t="s">
        <v>430</v>
      </c>
      <c r="BJ8" s="1576" t="s">
        <v>454</v>
      </c>
      <c r="BK8" s="1573" t="s">
        <v>715</v>
      </c>
      <c r="BL8" s="1576" t="s">
        <v>716</v>
      </c>
      <c r="BM8" s="248">
        <v>66586000</v>
      </c>
      <c r="BN8" s="248">
        <v>0</v>
      </c>
      <c r="BO8" s="248">
        <v>0</v>
      </c>
      <c r="BP8" s="169">
        <f t="shared" si="16"/>
        <v>66586</v>
      </c>
      <c r="BQ8" s="169">
        <f t="shared" si="17"/>
        <v>0</v>
      </c>
      <c r="BR8" s="169">
        <f t="shared" si="18"/>
        <v>0</v>
      </c>
    </row>
    <row r="9" spans="1:70" x14ac:dyDescent="0.25">
      <c r="A9" s="362" t="s">
        <v>430</v>
      </c>
      <c r="B9" s="679" t="s">
        <v>454</v>
      </c>
      <c r="C9" s="362" t="s">
        <v>715</v>
      </c>
      <c r="D9" s="679" t="s">
        <v>716</v>
      </c>
      <c r="E9" s="679" t="s">
        <v>433</v>
      </c>
      <c r="F9" s="248">
        <v>0</v>
      </c>
      <c r="G9" s="248">
        <v>1768000</v>
      </c>
      <c r="H9" s="248">
        <v>1768000</v>
      </c>
      <c r="I9" s="248">
        <f t="shared" si="4"/>
        <v>0</v>
      </c>
      <c r="J9" s="248">
        <f t="shared" si="5"/>
        <v>1768</v>
      </c>
      <c r="K9" s="248">
        <f t="shared" si="6"/>
        <v>1768</v>
      </c>
      <c r="M9" s="362" t="s">
        <v>434</v>
      </c>
      <c r="N9" s="679" t="s">
        <v>307</v>
      </c>
      <c r="O9" s="362" t="s">
        <v>435</v>
      </c>
      <c r="P9" s="679" t="s">
        <v>328</v>
      </c>
      <c r="Q9" s="248">
        <v>0</v>
      </c>
      <c r="R9" s="1267">
        <f t="shared" si="7"/>
        <v>0</v>
      </c>
      <c r="U9" s="362" t="s">
        <v>430</v>
      </c>
      <c r="V9" s="362" t="s">
        <v>454</v>
      </c>
      <c r="W9" s="362" t="s">
        <v>715</v>
      </c>
      <c r="X9" s="679" t="s">
        <v>716</v>
      </c>
      <c r="Y9" s="248">
        <v>0</v>
      </c>
      <c r="Z9" s="248">
        <v>1768000</v>
      </c>
      <c r="AA9" s="248">
        <v>1768000</v>
      </c>
      <c r="AB9" s="248">
        <f t="shared" si="8"/>
        <v>0</v>
      </c>
      <c r="AC9" s="248">
        <f t="shared" si="9"/>
        <v>1768</v>
      </c>
      <c r="AD9" s="248">
        <f t="shared" si="10"/>
        <v>1768</v>
      </c>
      <c r="AG9" s="1422" t="s">
        <v>434</v>
      </c>
      <c r="AH9" s="1422" t="s">
        <v>307</v>
      </c>
      <c r="AI9" s="1422" t="s">
        <v>435</v>
      </c>
      <c r="AJ9" s="1422" t="s">
        <v>328</v>
      </c>
      <c r="AK9" s="1423">
        <v>53670473</v>
      </c>
      <c r="AL9" s="1423">
        <f t="shared" si="11"/>
        <v>53670.472999999998</v>
      </c>
      <c r="AO9" s="1432" t="s">
        <v>430</v>
      </c>
      <c r="AP9" s="1433" t="s">
        <v>454</v>
      </c>
      <c r="AQ9" s="1432" t="s">
        <v>715</v>
      </c>
      <c r="AR9" s="1433" t="s">
        <v>716</v>
      </c>
      <c r="AS9" s="1434">
        <v>0</v>
      </c>
      <c r="AT9" s="1434">
        <v>7069030</v>
      </c>
      <c r="AU9" s="1434">
        <v>1768000</v>
      </c>
      <c r="AV9" s="1434">
        <f t="shared" si="12"/>
        <v>0</v>
      </c>
      <c r="AW9" s="1434">
        <f t="shared" si="13"/>
        <v>7069.03</v>
      </c>
      <c r="AX9" s="1434">
        <f t="shared" si="14"/>
        <v>1768</v>
      </c>
      <c r="BA9" s="567" t="s">
        <v>508</v>
      </c>
      <c r="BB9" s="567" t="s">
        <v>523</v>
      </c>
      <c r="BC9" s="567" t="s">
        <v>447</v>
      </c>
      <c r="BD9" s="567" t="s">
        <v>447</v>
      </c>
      <c r="BE9" s="1577">
        <v>18221000</v>
      </c>
      <c r="BF9" s="1578">
        <f t="shared" si="15"/>
        <v>18221</v>
      </c>
      <c r="BI9" s="1573" t="s">
        <v>430</v>
      </c>
      <c r="BJ9" s="1576" t="s">
        <v>454</v>
      </c>
      <c r="BK9" s="1573" t="s">
        <v>628</v>
      </c>
      <c r="BL9" s="1576" t="s">
        <v>331</v>
      </c>
      <c r="BM9" s="248">
        <v>7034000</v>
      </c>
      <c r="BN9" s="248">
        <v>0</v>
      </c>
      <c r="BO9" s="248">
        <v>0</v>
      </c>
      <c r="BP9" s="169">
        <f t="shared" si="16"/>
        <v>7034</v>
      </c>
      <c r="BQ9" s="169">
        <f t="shared" si="17"/>
        <v>0</v>
      </c>
      <c r="BR9" s="169">
        <f t="shared" si="18"/>
        <v>0</v>
      </c>
    </row>
    <row r="10" spans="1:70" x14ac:dyDescent="0.25">
      <c r="A10" s="362" t="s">
        <v>434</v>
      </c>
      <c r="B10" s="679" t="s">
        <v>307</v>
      </c>
      <c r="C10" s="362" t="s">
        <v>435</v>
      </c>
      <c r="D10" s="679" t="s">
        <v>328</v>
      </c>
      <c r="E10" s="679" t="s">
        <v>433</v>
      </c>
      <c r="F10" s="248">
        <v>2086968000</v>
      </c>
      <c r="G10" s="248">
        <v>0</v>
      </c>
      <c r="H10" s="248">
        <v>0</v>
      </c>
      <c r="I10" s="248">
        <f t="shared" si="4"/>
        <v>2086968</v>
      </c>
      <c r="J10" s="248">
        <f t="shared" si="5"/>
        <v>0</v>
      </c>
      <c r="K10" s="248">
        <f t="shared" si="6"/>
        <v>0</v>
      </c>
      <c r="M10" s="362" t="s">
        <v>434</v>
      </c>
      <c r="N10" s="679" t="s">
        <v>307</v>
      </c>
      <c r="O10" s="362" t="s">
        <v>459</v>
      </c>
      <c r="P10" s="679" t="s">
        <v>331</v>
      </c>
      <c r="Q10" s="248">
        <v>5237464</v>
      </c>
      <c r="R10" s="1267">
        <f t="shared" si="7"/>
        <v>5237.4639999999999</v>
      </c>
      <c r="U10" s="362" t="s">
        <v>430</v>
      </c>
      <c r="V10" s="362" t="s">
        <v>454</v>
      </c>
      <c r="W10" s="362" t="s">
        <v>457</v>
      </c>
      <c r="X10" s="679" t="s">
        <v>274</v>
      </c>
      <c r="Y10" s="248">
        <v>0</v>
      </c>
      <c r="Z10" s="248">
        <v>11700000</v>
      </c>
      <c r="AA10" s="248">
        <v>0</v>
      </c>
      <c r="AB10" s="248">
        <f t="shared" si="8"/>
        <v>0</v>
      </c>
      <c r="AC10" s="248">
        <f t="shared" si="9"/>
        <v>11700</v>
      </c>
      <c r="AD10" s="248">
        <f t="shared" si="10"/>
        <v>0</v>
      </c>
      <c r="AG10" s="1422" t="s">
        <v>434</v>
      </c>
      <c r="AH10" s="1422" t="s">
        <v>307</v>
      </c>
      <c r="AI10" s="1422" t="s">
        <v>436</v>
      </c>
      <c r="AJ10" s="1422" t="s">
        <v>339</v>
      </c>
      <c r="AK10" s="1423">
        <v>4830280</v>
      </c>
      <c r="AL10" s="1423">
        <f t="shared" si="11"/>
        <v>4830.28</v>
      </c>
      <c r="AO10" s="1432" t="s">
        <v>430</v>
      </c>
      <c r="AP10" s="1433" t="s">
        <v>454</v>
      </c>
      <c r="AQ10" s="1432" t="s">
        <v>457</v>
      </c>
      <c r="AR10" s="1433" t="s">
        <v>274</v>
      </c>
      <c r="AS10" s="1434">
        <v>0</v>
      </c>
      <c r="AT10" s="1434">
        <v>11700000</v>
      </c>
      <c r="AU10" s="1434">
        <v>7800000</v>
      </c>
      <c r="AV10" s="1434">
        <f t="shared" si="12"/>
        <v>0</v>
      </c>
      <c r="AW10" s="1434">
        <f t="shared" si="13"/>
        <v>11700</v>
      </c>
      <c r="AX10" s="1434">
        <f t="shared" si="14"/>
        <v>7800</v>
      </c>
      <c r="BE10" s="79">
        <f>SUM(BE3:BE9)</f>
        <v>284764801</v>
      </c>
      <c r="BF10" s="169">
        <f t="shared" si="15"/>
        <v>284764.80099999998</v>
      </c>
      <c r="BI10" s="1573" t="s">
        <v>430</v>
      </c>
      <c r="BJ10" s="1576" t="s">
        <v>454</v>
      </c>
      <c r="BK10" s="1573" t="s">
        <v>447</v>
      </c>
      <c r="BL10" s="1576" t="s">
        <v>447</v>
      </c>
      <c r="BM10" s="248">
        <v>0</v>
      </c>
      <c r="BN10" s="248">
        <v>0</v>
      </c>
      <c r="BO10" s="248">
        <v>0</v>
      </c>
      <c r="BP10" s="169">
        <f t="shared" si="16"/>
        <v>0</v>
      </c>
      <c r="BQ10" s="169">
        <f t="shared" si="17"/>
        <v>0</v>
      </c>
      <c r="BR10" s="169">
        <f t="shared" si="18"/>
        <v>0</v>
      </c>
    </row>
    <row r="11" spans="1:70" x14ac:dyDescent="0.25">
      <c r="A11" s="362" t="s">
        <v>434</v>
      </c>
      <c r="B11" s="679" t="s">
        <v>307</v>
      </c>
      <c r="C11" s="362" t="s">
        <v>436</v>
      </c>
      <c r="D11" s="679" t="s">
        <v>339</v>
      </c>
      <c r="E11" s="679" t="s">
        <v>433</v>
      </c>
      <c r="F11" s="248">
        <v>485936000</v>
      </c>
      <c r="G11" s="248">
        <v>0</v>
      </c>
      <c r="H11" s="248">
        <v>0</v>
      </c>
      <c r="I11" s="248">
        <f t="shared" si="4"/>
        <v>485936</v>
      </c>
      <c r="J11" s="248">
        <f t="shared" si="5"/>
        <v>0</v>
      </c>
      <c r="K11" s="248">
        <f t="shared" si="6"/>
        <v>0</v>
      </c>
      <c r="M11" s="362" t="s">
        <v>434</v>
      </c>
      <c r="N11" s="679" t="s">
        <v>307</v>
      </c>
      <c r="O11" s="362" t="s">
        <v>437</v>
      </c>
      <c r="P11" s="679" t="s">
        <v>329</v>
      </c>
      <c r="Q11" s="248">
        <v>1920000</v>
      </c>
      <c r="R11" s="1267">
        <f t="shared" si="7"/>
        <v>1920</v>
      </c>
      <c r="U11" s="362" t="s">
        <v>430</v>
      </c>
      <c r="V11" s="362" t="s">
        <v>454</v>
      </c>
      <c r="W11" s="362" t="s">
        <v>447</v>
      </c>
      <c r="X11" s="679" t="s">
        <v>447</v>
      </c>
      <c r="Y11" s="248">
        <v>0</v>
      </c>
      <c r="Z11" s="248">
        <v>0</v>
      </c>
      <c r="AA11" s="248">
        <v>0</v>
      </c>
      <c r="AB11" s="248">
        <f t="shared" si="8"/>
        <v>0</v>
      </c>
      <c r="AC11" s="248">
        <f t="shared" si="9"/>
        <v>0</v>
      </c>
      <c r="AD11" s="248">
        <f t="shared" si="10"/>
        <v>0</v>
      </c>
      <c r="AG11" s="1422" t="s">
        <v>508</v>
      </c>
      <c r="AH11" s="1422" t="s">
        <v>523</v>
      </c>
      <c r="AI11" s="1422" t="s">
        <v>447</v>
      </c>
      <c r="AJ11" s="1422" t="s">
        <v>447</v>
      </c>
      <c r="AK11" s="1423">
        <v>1393000</v>
      </c>
      <c r="AL11" s="1423">
        <f t="shared" si="11"/>
        <v>1393</v>
      </c>
      <c r="AO11" s="1432" t="s">
        <v>430</v>
      </c>
      <c r="AP11" s="1433" t="s">
        <v>454</v>
      </c>
      <c r="AQ11" s="1432" t="s">
        <v>447</v>
      </c>
      <c r="AR11" s="1433" t="s">
        <v>447</v>
      </c>
      <c r="AS11" s="1434">
        <v>0</v>
      </c>
      <c r="AT11" s="1434">
        <v>0</v>
      </c>
      <c r="AU11" s="1434">
        <v>0</v>
      </c>
      <c r="AV11" s="1434">
        <f t="shared" si="12"/>
        <v>0</v>
      </c>
      <c r="AW11" s="1434">
        <f t="shared" si="13"/>
        <v>0</v>
      </c>
      <c r="AX11" s="1434">
        <f t="shared" si="14"/>
        <v>0</v>
      </c>
      <c r="BI11" s="1573" t="s">
        <v>430</v>
      </c>
      <c r="BJ11" s="1576" t="s">
        <v>454</v>
      </c>
      <c r="BK11" s="1573" t="s">
        <v>457</v>
      </c>
      <c r="BL11" s="1576" t="s">
        <v>274</v>
      </c>
      <c r="BM11" s="248">
        <v>0</v>
      </c>
      <c r="BN11" s="248">
        <v>45972000</v>
      </c>
      <c r="BO11" s="248">
        <v>7800000</v>
      </c>
      <c r="BP11" s="169">
        <f t="shared" si="16"/>
        <v>0</v>
      </c>
      <c r="BQ11" s="169">
        <f t="shared" si="17"/>
        <v>45972</v>
      </c>
      <c r="BR11" s="169">
        <f t="shared" si="18"/>
        <v>7800</v>
      </c>
    </row>
    <row r="12" spans="1:70" x14ac:dyDescent="0.25">
      <c r="A12" s="362" t="s">
        <v>434</v>
      </c>
      <c r="B12" s="679" t="s">
        <v>307</v>
      </c>
      <c r="C12" s="362" t="s">
        <v>437</v>
      </c>
      <c r="D12" s="679" t="s">
        <v>329</v>
      </c>
      <c r="E12" s="679" t="s">
        <v>433</v>
      </c>
      <c r="F12" s="248">
        <v>62726000</v>
      </c>
      <c r="G12" s="248">
        <v>0</v>
      </c>
      <c r="H12" s="248">
        <v>0</v>
      </c>
      <c r="I12" s="248">
        <f t="shared" si="4"/>
        <v>62726</v>
      </c>
      <c r="J12" s="248">
        <f t="shared" si="5"/>
        <v>0</v>
      </c>
      <c r="K12" s="248">
        <f t="shared" si="6"/>
        <v>0</v>
      </c>
      <c r="M12" s="362" t="s">
        <v>434</v>
      </c>
      <c r="N12" s="679" t="s">
        <v>307</v>
      </c>
      <c r="O12" s="362" t="s">
        <v>447</v>
      </c>
      <c r="P12" s="679" t="s">
        <v>447</v>
      </c>
      <c r="Q12" s="248">
        <v>0</v>
      </c>
      <c r="R12" s="1267">
        <f t="shared" si="7"/>
        <v>0</v>
      </c>
      <c r="U12" s="362" t="s">
        <v>434</v>
      </c>
      <c r="V12" s="362" t="s">
        <v>307</v>
      </c>
      <c r="W12" s="362" t="s">
        <v>435</v>
      </c>
      <c r="X12" s="679" t="s">
        <v>328</v>
      </c>
      <c r="Y12" s="248">
        <v>2086968000</v>
      </c>
      <c r="Z12" s="248">
        <v>0</v>
      </c>
      <c r="AA12" s="248">
        <v>0</v>
      </c>
      <c r="AB12" s="248">
        <f t="shared" si="8"/>
        <v>2086968</v>
      </c>
      <c r="AC12" s="248">
        <f t="shared" si="9"/>
        <v>0</v>
      </c>
      <c r="AD12" s="248">
        <f t="shared" si="10"/>
        <v>0</v>
      </c>
      <c r="AG12" s="1422" t="s">
        <v>438</v>
      </c>
      <c r="AH12" s="1422" t="s">
        <v>335</v>
      </c>
      <c r="AI12" s="1422" t="s">
        <v>447</v>
      </c>
      <c r="AJ12" s="1422" t="s">
        <v>447</v>
      </c>
      <c r="AK12" s="1423">
        <v>0</v>
      </c>
      <c r="AL12" s="1423">
        <f t="shared" si="11"/>
        <v>0</v>
      </c>
      <c r="AO12" s="1432" t="s">
        <v>434</v>
      </c>
      <c r="AP12" s="1433" t="s">
        <v>307</v>
      </c>
      <c r="AQ12" s="1432" t="s">
        <v>435</v>
      </c>
      <c r="AR12" s="1433" t="s">
        <v>328</v>
      </c>
      <c r="AS12" s="1434">
        <v>2086968000</v>
      </c>
      <c r="AT12" s="1434">
        <v>0</v>
      </c>
      <c r="AU12" s="1434">
        <v>0</v>
      </c>
      <c r="AV12" s="1434">
        <f t="shared" si="12"/>
        <v>2086968</v>
      </c>
      <c r="AW12" s="1434">
        <f t="shared" si="13"/>
        <v>0</v>
      </c>
      <c r="AX12" s="1434">
        <f t="shared" si="14"/>
        <v>0</v>
      </c>
      <c r="BI12" s="1573" t="s">
        <v>430</v>
      </c>
      <c r="BJ12" s="1576" t="s">
        <v>454</v>
      </c>
      <c r="BK12" s="1573" t="s">
        <v>715</v>
      </c>
      <c r="BL12" s="1576" t="s">
        <v>716</v>
      </c>
      <c r="BM12" s="248">
        <v>0</v>
      </c>
      <c r="BN12" s="248">
        <v>7069030</v>
      </c>
      <c r="BO12" s="248">
        <v>4218000</v>
      </c>
      <c r="BP12" s="169">
        <f t="shared" si="16"/>
        <v>0</v>
      </c>
      <c r="BQ12" s="169">
        <f t="shared" si="17"/>
        <v>7069.03</v>
      </c>
      <c r="BR12" s="169">
        <f t="shared" si="18"/>
        <v>4218</v>
      </c>
    </row>
    <row r="13" spans="1:70" x14ac:dyDescent="0.25">
      <c r="A13" s="362" t="s">
        <v>434</v>
      </c>
      <c r="B13" s="679" t="s">
        <v>307</v>
      </c>
      <c r="C13" s="362" t="s">
        <v>459</v>
      </c>
      <c r="D13" s="679" t="s">
        <v>331</v>
      </c>
      <c r="E13" s="679" t="s">
        <v>433</v>
      </c>
      <c r="F13" s="248">
        <v>60788000</v>
      </c>
      <c r="G13" s="248">
        <v>0</v>
      </c>
      <c r="H13" s="248">
        <v>0</v>
      </c>
      <c r="I13" s="248">
        <f t="shared" si="4"/>
        <v>60788</v>
      </c>
      <c r="J13" s="248">
        <f t="shared" si="5"/>
        <v>0</v>
      </c>
      <c r="K13" s="248">
        <f t="shared" si="6"/>
        <v>0</v>
      </c>
      <c r="M13" s="362" t="s">
        <v>508</v>
      </c>
      <c r="N13" s="679" t="s">
        <v>523</v>
      </c>
      <c r="O13" s="362" t="s">
        <v>447</v>
      </c>
      <c r="P13" s="679" t="s">
        <v>447</v>
      </c>
      <c r="Q13" s="248">
        <v>5688000</v>
      </c>
      <c r="R13" s="1267">
        <f t="shared" si="7"/>
        <v>5688</v>
      </c>
      <c r="U13" s="362" t="s">
        <v>434</v>
      </c>
      <c r="V13" s="362" t="s">
        <v>307</v>
      </c>
      <c r="W13" s="362" t="s">
        <v>436</v>
      </c>
      <c r="X13" s="679" t="s">
        <v>339</v>
      </c>
      <c r="Y13" s="248">
        <v>485936000</v>
      </c>
      <c r="Z13" s="248">
        <v>0</v>
      </c>
      <c r="AA13" s="248">
        <v>0</v>
      </c>
      <c r="AB13" s="248">
        <f t="shared" si="8"/>
        <v>485936</v>
      </c>
      <c r="AC13" s="248">
        <f t="shared" si="9"/>
        <v>0</v>
      </c>
      <c r="AD13" s="248">
        <f t="shared" si="10"/>
        <v>0</v>
      </c>
      <c r="AG13" s="1422" t="s">
        <v>438</v>
      </c>
      <c r="AH13" s="1422" t="s">
        <v>335</v>
      </c>
      <c r="AI13" s="1422" t="s">
        <v>447</v>
      </c>
      <c r="AJ13" s="1422" t="s">
        <v>447</v>
      </c>
      <c r="AK13" s="1423">
        <v>0</v>
      </c>
      <c r="AL13" s="1423">
        <f t="shared" si="11"/>
        <v>0</v>
      </c>
      <c r="AO13" s="1432" t="s">
        <v>434</v>
      </c>
      <c r="AP13" s="1433" t="s">
        <v>307</v>
      </c>
      <c r="AQ13" s="1432" t="s">
        <v>436</v>
      </c>
      <c r="AR13" s="1433" t="s">
        <v>339</v>
      </c>
      <c r="AS13" s="1434">
        <v>485936000</v>
      </c>
      <c r="AT13" s="1434">
        <v>0</v>
      </c>
      <c r="AU13" s="1434">
        <v>0</v>
      </c>
      <c r="AV13" s="1434">
        <f t="shared" si="12"/>
        <v>485936</v>
      </c>
      <c r="AW13" s="1434">
        <f t="shared" si="13"/>
        <v>0</v>
      </c>
      <c r="AX13" s="1434">
        <f t="shared" si="14"/>
        <v>0</v>
      </c>
      <c r="BI13" s="1573" t="s">
        <v>434</v>
      </c>
      <c r="BJ13" s="1576" t="s">
        <v>307</v>
      </c>
      <c r="BK13" s="1573" t="s">
        <v>435</v>
      </c>
      <c r="BL13" s="1576" t="s">
        <v>328</v>
      </c>
      <c r="BM13" s="248">
        <v>2086968000</v>
      </c>
      <c r="BN13" s="248">
        <v>0</v>
      </c>
      <c r="BO13" s="248">
        <v>0</v>
      </c>
      <c r="BP13" s="169">
        <f t="shared" si="16"/>
        <v>2086968</v>
      </c>
      <c r="BQ13" s="169">
        <f t="shared" si="17"/>
        <v>0</v>
      </c>
      <c r="BR13" s="169">
        <f t="shared" si="18"/>
        <v>0</v>
      </c>
    </row>
    <row r="14" spans="1:70" x14ac:dyDescent="0.25">
      <c r="A14" s="362" t="s">
        <v>434</v>
      </c>
      <c r="B14" s="679" t="s">
        <v>307</v>
      </c>
      <c r="C14" s="362" t="s">
        <v>437</v>
      </c>
      <c r="D14" s="679" t="s">
        <v>329</v>
      </c>
      <c r="E14" s="679" t="s">
        <v>433</v>
      </c>
      <c r="F14" s="248">
        <v>0</v>
      </c>
      <c r="G14" s="248">
        <v>47880000</v>
      </c>
      <c r="H14" s="248">
        <v>1920000</v>
      </c>
      <c r="I14" s="248">
        <f t="shared" si="4"/>
        <v>0</v>
      </c>
      <c r="J14" s="248">
        <f t="shared" si="5"/>
        <v>47880</v>
      </c>
      <c r="K14" s="248">
        <f t="shared" si="6"/>
        <v>1920</v>
      </c>
      <c r="M14" s="362" t="s">
        <v>438</v>
      </c>
      <c r="N14" s="679" t="s">
        <v>335</v>
      </c>
      <c r="O14" s="362" t="s">
        <v>499</v>
      </c>
      <c r="P14" s="679" t="s">
        <v>632</v>
      </c>
      <c r="Q14" s="248">
        <v>79200000</v>
      </c>
      <c r="R14" s="1267">
        <f t="shared" si="7"/>
        <v>79200</v>
      </c>
      <c r="U14" s="362" t="s">
        <v>434</v>
      </c>
      <c r="V14" s="362" t="s">
        <v>307</v>
      </c>
      <c r="W14" s="362" t="s">
        <v>437</v>
      </c>
      <c r="X14" s="679" t="s">
        <v>329</v>
      </c>
      <c r="Y14" s="248">
        <v>62726000</v>
      </c>
      <c r="Z14" s="248">
        <v>0</v>
      </c>
      <c r="AA14" s="248">
        <v>0</v>
      </c>
      <c r="AB14" s="248">
        <f t="shared" si="8"/>
        <v>62726</v>
      </c>
      <c r="AC14" s="248">
        <f t="shared" si="9"/>
        <v>0</v>
      </c>
      <c r="AD14" s="248">
        <f t="shared" si="10"/>
        <v>0</v>
      </c>
      <c r="AG14" s="1422" t="s">
        <v>438</v>
      </c>
      <c r="AH14" s="1422" t="s">
        <v>335</v>
      </c>
      <c r="AI14" s="1422" t="s">
        <v>499</v>
      </c>
      <c r="AJ14" s="1422" t="s">
        <v>632</v>
      </c>
      <c r="AK14" s="1423">
        <v>70000000</v>
      </c>
      <c r="AL14" s="1423">
        <f t="shared" si="11"/>
        <v>70000</v>
      </c>
      <c r="AO14" s="1432" t="s">
        <v>434</v>
      </c>
      <c r="AP14" s="1433" t="s">
        <v>307</v>
      </c>
      <c r="AQ14" s="1432" t="s">
        <v>437</v>
      </c>
      <c r="AR14" s="1433" t="s">
        <v>329</v>
      </c>
      <c r="AS14" s="1434">
        <v>62726000</v>
      </c>
      <c r="AT14" s="1434">
        <v>0</v>
      </c>
      <c r="AU14" s="1434">
        <v>0</v>
      </c>
      <c r="AV14" s="1434">
        <f t="shared" si="12"/>
        <v>62726</v>
      </c>
      <c r="AW14" s="1434">
        <f t="shared" si="13"/>
        <v>0</v>
      </c>
      <c r="AX14" s="1434">
        <f t="shared" si="14"/>
        <v>0</v>
      </c>
      <c r="BI14" s="1573" t="s">
        <v>434</v>
      </c>
      <c r="BJ14" s="1576" t="s">
        <v>307</v>
      </c>
      <c r="BK14" s="1573" t="s">
        <v>436</v>
      </c>
      <c r="BL14" s="1576" t="s">
        <v>339</v>
      </c>
      <c r="BM14" s="248">
        <v>485936000</v>
      </c>
      <c r="BN14" s="248">
        <v>0</v>
      </c>
      <c r="BO14" s="248">
        <v>0</v>
      </c>
      <c r="BP14" s="169">
        <f t="shared" si="16"/>
        <v>485936</v>
      </c>
      <c r="BQ14" s="169">
        <f t="shared" si="17"/>
        <v>0</v>
      </c>
      <c r="BR14" s="169">
        <f t="shared" si="18"/>
        <v>0</v>
      </c>
    </row>
    <row r="15" spans="1:70" x14ac:dyDescent="0.25">
      <c r="A15" s="362" t="s">
        <v>434</v>
      </c>
      <c r="B15" s="679" t="s">
        <v>307</v>
      </c>
      <c r="C15" s="362" t="s">
        <v>435</v>
      </c>
      <c r="D15" s="679" t="s">
        <v>328</v>
      </c>
      <c r="E15" s="679" t="s">
        <v>433</v>
      </c>
      <c r="F15" s="248">
        <v>0</v>
      </c>
      <c r="G15" s="248">
        <v>16978585</v>
      </c>
      <c r="H15" s="248">
        <v>11633585</v>
      </c>
      <c r="I15" s="248">
        <f t="shared" si="4"/>
        <v>0</v>
      </c>
      <c r="J15" s="248">
        <f t="shared" si="5"/>
        <v>16978.584999999999</v>
      </c>
      <c r="K15" s="248">
        <f t="shared" si="6"/>
        <v>11633.584999999999</v>
      </c>
      <c r="M15" s="362" t="s">
        <v>438</v>
      </c>
      <c r="N15" s="679" t="s">
        <v>335</v>
      </c>
      <c r="O15" s="362" t="s">
        <v>629</v>
      </c>
      <c r="P15" s="679" t="s">
        <v>630</v>
      </c>
      <c r="Q15" s="248">
        <v>780000</v>
      </c>
      <c r="R15" s="1267">
        <f t="shared" si="7"/>
        <v>780</v>
      </c>
      <c r="U15" s="362" t="s">
        <v>434</v>
      </c>
      <c r="V15" s="362" t="s">
        <v>307</v>
      </c>
      <c r="W15" s="362" t="s">
        <v>459</v>
      </c>
      <c r="X15" s="679" t="s">
        <v>331</v>
      </c>
      <c r="Y15" s="248">
        <v>60788000</v>
      </c>
      <c r="Z15" s="248">
        <v>0</v>
      </c>
      <c r="AA15" s="248">
        <v>0</v>
      </c>
      <c r="AB15" s="248">
        <f t="shared" si="8"/>
        <v>60788</v>
      </c>
      <c r="AC15" s="248">
        <f t="shared" si="9"/>
        <v>0</v>
      </c>
      <c r="AD15" s="248">
        <f t="shared" si="10"/>
        <v>0</v>
      </c>
      <c r="AG15" s="1422" t="s">
        <v>465</v>
      </c>
      <c r="AH15" s="1422" t="s">
        <v>466</v>
      </c>
      <c r="AI15" s="1422" t="s">
        <v>447</v>
      </c>
      <c r="AJ15" s="1422" t="s">
        <v>447</v>
      </c>
      <c r="AK15" s="1423">
        <v>48758587</v>
      </c>
      <c r="AL15" s="1423">
        <f t="shared" si="11"/>
        <v>48758.587</v>
      </c>
      <c r="AO15" s="1432" t="s">
        <v>434</v>
      </c>
      <c r="AP15" s="1433" t="s">
        <v>307</v>
      </c>
      <c r="AQ15" s="1432" t="s">
        <v>459</v>
      </c>
      <c r="AR15" s="1433" t="s">
        <v>331</v>
      </c>
      <c r="AS15" s="1434">
        <v>60788000</v>
      </c>
      <c r="AT15" s="1434">
        <v>0</v>
      </c>
      <c r="AU15" s="1434">
        <v>0</v>
      </c>
      <c r="AV15" s="1434">
        <f t="shared" si="12"/>
        <v>60788</v>
      </c>
      <c r="AW15" s="1434">
        <f t="shared" si="13"/>
        <v>0</v>
      </c>
      <c r="AX15" s="1434">
        <f t="shared" si="14"/>
        <v>0</v>
      </c>
      <c r="BI15" s="1573" t="s">
        <v>434</v>
      </c>
      <c r="BJ15" s="1576" t="s">
        <v>307</v>
      </c>
      <c r="BK15" s="1573" t="s">
        <v>437</v>
      </c>
      <c r="BL15" s="1576" t="s">
        <v>329</v>
      </c>
      <c r="BM15" s="248">
        <v>62626000</v>
      </c>
      <c r="BN15" s="248">
        <v>0</v>
      </c>
      <c r="BO15" s="248">
        <v>0</v>
      </c>
      <c r="BP15" s="169">
        <f t="shared" si="16"/>
        <v>62626</v>
      </c>
      <c r="BQ15" s="169">
        <f t="shared" si="17"/>
        <v>0</v>
      </c>
      <c r="BR15" s="169">
        <f t="shared" si="18"/>
        <v>0</v>
      </c>
    </row>
    <row r="16" spans="1:70" x14ac:dyDescent="0.25">
      <c r="A16" s="362" t="s">
        <v>434</v>
      </c>
      <c r="B16" s="679" t="s">
        <v>307</v>
      </c>
      <c r="C16" s="362" t="s">
        <v>447</v>
      </c>
      <c r="D16" s="679" t="s">
        <v>447</v>
      </c>
      <c r="E16" s="679" t="s">
        <v>433</v>
      </c>
      <c r="F16" s="248">
        <v>0</v>
      </c>
      <c r="G16" s="248">
        <v>0</v>
      </c>
      <c r="H16" s="248">
        <v>0</v>
      </c>
      <c r="I16" s="248">
        <f t="shared" si="4"/>
        <v>0</v>
      </c>
      <c r="J16" s="248">
        <f t="shared" si="5"/>
        <v>0</v>
      </c>
      <c r="K16" s="248">
        <f t="shared" si="6"/>
        <v>0</v>
      </c>
      <c r="M16" s="362" t="s">
        <v>438</v>
      </c>
      <c r="N16" s="679" t="s">
        <v>335</v>
      </c>
      <c r="O16" s="362" t="s">
        <v>462</v>
      </c>
      <c r="P16" s="679" t="s">
        <v>633</v>
      </c>
      <c r="Q16" s="248">
        <v>55000000</v>
      </c>
      <c r="R16" s="1267">
        <f t="shared" si="7"/>
        <v>55000</v>
      </c>
      <c r="U16" s="362" t="s">
        <v>434</v>
      </c>
      <c r="V16" s="362" t="s">
        <v>307</v>
      </c>
      <c r="W16" s="362" t="s">
        <v>447</v>
      </c>
      <c r="X16" s="679" t="s">
        <v>447</v>
      </c>
      <c r="Y16" s="248">
        <v>0</v>
      </c>
      <c r="Z16" s="248">
        <v>0</v>
      </c>
      <c r="AA16" s="248">
        <v>0</v>
      </c>
      <c r="AB16" s="248">
        <f t="shared" si="8"/>
        <v>0</v>
      </c>
      <c r="AC16" s="248">
        <f t="shared" si="9"/>
        <v>0</v>
      </c>
      <c r="AD16" s="248">
        <f t="shared" si="10"/>
        <v>0</v>
      </c>
      <c r="AG16" s="1422" t="s">
        <v>452</v>
      </c>
      <c r="AH16" s="1422" t="s">
        <v>128</v>
      </c>
      <c r="AI16" s="1422" t="s">
        <v>447</v>
      </c>
      <c r="AJ16" s="1422" t="s">
        <v>447</v>
      </c>
      <c r="AK16" s="1423">
        <v>0</v>
      </c>
      <c r="AL16" s="1423">
        <f t="shared" si="11"/>
        <v>0</v>
      </c>
      <c r="AO16" s="1432" t="s">
        <v>434</v>
      </c>
      <c r="AP16" s="1433" t="s">
        <v>307</v>
      </c>
      <c r="AQ16" s="1432" t="s">
        <v>435</v>
      </c>
      <c r="AR16" s="1433" t="s">
        <v>328</v>
      </c>
      <c r="AS16" s="1434">
        <v>0</v>
      </c>
      <c r="AT16" s="1434">
        <v>476353088</v>
      </c>
      <c r="AU16" s="1434">
        <v>65304058</v>
      </c>
      <c r="AV16" s="1434">
        <f t="shared" si="12"/>
        <v>0</v>
      </c>
      <c r="AW16" s="1434">
        <f t="shared" si="13"/>
        <v>476353.08799999999</v>
      </c>
      <c r="AX16" s="1434">
        <f t="shared" si="14"/>
        <v>65304.057999999997</v>
      </c>
      <c r="BI16" s="1573" t="s">
        <v>434</v>
      </c>
      <c r="BJ16" s="1576" t="s">
        <v>307</v>
      </c>
      <c r="BK16" s="1573" t="s">
        <v>459</v>
      </c>
      <c r="BL16" s="1576" t="s">
        <v>331</v>
      </c>
      <c r="BM16" s="248">
        <v>60788000</v>
      </c>
      <c r="BN16" s="248">
        <v>0</v>
      </c>
      <c r="BO16" s="248">
        <v>0</v>
      </c>
      <c r="BP16" s="169">
        <f t="shared" si="16"/>
        <v>60788</v>
      </c>
      <c r="BQ16" s="169">
        <f t="shared" si="17"/>
        <v>0</v>
      </c>
      <c r="BR16" s="169">
        <f t="shared" si="18"/>
        <v>0</v>
      </c>
    </row>
    <row r="17" spans="1:70" x14ac:dyDescent="0.25">
      <c r="A17" s="362" t="s">
        <v>434</v>
      </c>
      <c r="B17" s="679" t="s">
        <v>307</v>
      </c>
      <c r="C17" s="362" t="s">
        <v>459</v>
      </c>
      <c r="D17" s="679" t="s">
        <v>331</v>
      </c>
      <c r="E17" s="679" t="s">
        <v>433</v>
      </c>
      <c r="F17" s="248">
        <v>0</v>
      </c>
      <c r="G17" s="248">
        <v>17613729</v>
      </c>
      <c r="H17" s="248">
        <v>738729</v>
      </c>
      <c r="I17" s="248">
        <f t="shared" si="4"/>
        <v>0</v>
      </c>
      <c r="J17" s="248">
        <f t="shared" si="5"/>
        <v>17613.728999999999</v>
      </c>
      <c r="K17" s="248">
        <f t="shared" si="6"/>
        <v>738.72900000000004</v>
      </c>
      <c r="M17" s="362" t="s">
        <v>438</v>
      </c>
      <c r="N17" s="679" t="s">
        <v>335</v>
      </c>
      <c r="O17" s="362" t="s">
        <v>447</v>
      </c>
      <c r="P17" s="679" t="s">
        <v>447</v>
      </c>
      <c r="Q17" s="248">
        <v>0</v>
      </c>
      <c r="R17" s="1267">
        <f t="shared" si="7"/>
        <v>0</v>
      </c>
      <c r="U17" s="362" t="s">
        <v>434</v>
      </c>
      <c r="V17" s="362" t="s">
        <v>307</v>
      </c>
      <c r="W17" s="362" t="s">
        <v>459</v>
      </c>
      <c r="X17" s="679" t="s">
        <v>331</v>
      </c>
      <c r="Y17" s="248">
        <v>0</v>
      </c>
      <c r="Z17" s="248">
        <v>19101193</v>
      </c>
      <c r="AA17" s="248">
        <v>5976193</v>
      </c>
      <c r="AB17" s="248">
        <f t="shared" si="8"/>
        <v>0</v>
      </c>
      <c r="AC17" s="248">
        <f t="shared" si="9"/>
        <v>19101.192999999999</v>
      </c>
      <c r="AD17" s="248">
        <f t="shared" si="10"/>
        <v>5976.1930000000002</v>
      </c>
      <c r="AO17" s="1432" t="s">
        <v>434</v>
      </c>
      <c r="AP17" s="1433" t="s">
        <v>307</v>
      </c>
      <c r="AQ17" s="1432" t="s">
        <v>459</v>
      </c>
      <c r="AR17" s="1433" t="s">
        <v>331</v>
      </c>
      <c r="AS17" s="1434">
        <v>0</v>
      </c>
      <c r="AT17" s="1434">
        <v>22552193</v>
      </c>
      <c r="AU17" s="1434">
        <v>5976193</v>
      </c>
      <c r="AV17" s="1434">
        <f t="shared" si="12"/>
        <v>0</v>
      </c>
      <c r="AW17" s="1434">
        <f t="shared" si="13"/>
        <v>22552.192999999999</v>
      </c>
      <c r="AX17" s="1434">
        <f t="shared" si="14"/>
        <v>5976.1930000000002</v>
      </c>
      <c r="BI17" s="1573" t="s">
        <v>434</v>
      </c>
      <c r="BJ17" s="1576" t="s">
        <v>307</v>
      </c>
      <c r="BK17" s="1573" t="s">
        <v>458</v>
      </c>
      <c r="BL17" s="1576" t="s">
        <v>330</v>
      </c>
      <c r="BM17" s="248">
        <v>100000</v>
      </c>
      <c r="BN17" s="248">
        <v>0</v>
      </c>
      <c r="BO17" s="248">
        <v>0</v>
      </c>
      <c r="BP17" s="169">
        <f t="shared" si="16"/>
        <v>100</v>
      </c>
      <c r="BQ17" s="169">
        <f t="shared" si="17"/>
        <v>0</v>
      </c>
      <c r="BR17" s="169">
        <f t="shared" si="18"/>
        <v>0</v>
      </c>
    </row>
    <row r="18" spans="1:70" x14ac:dyDescent="0.25">
      <c r="A18" s="362" t="s">
        <v>508</v>
      </c>
      <c r="B18" s="679" t="s">
        <v>523</v>
      </c>
      <c r="C18" s="362" t="s">
        <v>447</v>
      </c>
      <c r="D18" s="679" t="s">
        <v>447</v>
      </c>
      <c r="E18" s="679" t="s">
        <v>433</v>
      </c>
      <c r="F18" s="248">
        <v>58398000</v>
      </c>
      <c r="G18" s="248">
        <v>0</v>
      </c>
      <c r="H18" s="248">
        <v>0</v>
      </c>
      <c r="I18" s="248">
        <f t="shared" si="4"/>
        <v>58398</v>
      </c>
      <c r="J18" s="248">
        <f t="shared" si="5"/>
        <v>0</v>
      </c>
      <c r="K18" s="248">
        <f t="shared" si="6"/>
        <v>0</v>
      </c>
      <c r="M18" s="362" t="s">
        <v>438</v>
      </c>
      <c r="N18" s="679" t="s">
        <v>335</v>
      </c>
      <c r="O18" s="362" t="s">
        <v>447</v>
      </c>
      <c r="P18" s="679" t="s">
        <v>447</v>
      </c>
      <c r="Q18" s="248">
        <v>0</v>
      </c>
      <c r="R18" s="1267">
        <f t="shared" si="7"/>
        <v>0</v>
      </c>
      <c r="U18" s="362" t="s">
        <v>434</v>
      </c>
      <c r="V18" s="362" t="s">
        <v>307</v>
      </c>
      <c r="W18" s="362" t="s">
        <v>435</v>
      </c>
      <c r="X18" s="679" t="s">
        <v>328</v>
      </c>
      <c r="Y18" s="248">
        <v>0</v>
      </c>
      <c r="Z18" s="248">
        <v>103000985</v>
      </c>
      <c r="AA18" s="248">
        <v>11633585</v>
      </c>
      <c r="AB18" s="248">
        <f t="shared" si="8"/>
        <v>0</v>
      </c>
      <c r="AC18" s="248">
        <f t="shared" si="9"/>
        <v>103000.985</v>
      </c>
      <c r="AD18" s="248">
        <f t="shared" si="10"/>
        <v>11633.584999999999</v>
      </c>
      <c r="AO18" s="1432" t="s">
        <v>434</v>
      </c>
      <c r="AP18" s="1433" t="s">
        <v>307</v>
      </c>
      <c r="AQ18" s="1432" t="s">
        <v>436</v>
      </c>
      <c r="AR18" s="1433" t="s">
        <v>339</v>
      </c>
      <c r="AS18" s="1434">
        <v>0</v>
      </c>
      <c r="AT18" s="1434">
        <v>7858165</v>
      </c>
      <c r="AU18" s="1434">
        <v>4830280</v>
      </c>
      <c r="AV18" s="1434">
        <f t="shared" si="12"/>
        <v>0</v>
      </c>
      <c r="AW18" s="1434">
        <f t="shared" si="13"/>
        <v>7858.165</v>
      </c>
      <c r="AX18" s="1434">
        <f t="shared" si="14"/>
        <v>4830.28</v>
      </c>
      <c r="BI18" s="1573" t="s">
        <v>434</v>
      </c>
      <c r="BJ18" s="1576" t="s">
        <v>307</v>
      </c>
      <c r="BK18" s="1573" t="s">
        <v>437</v>
      </c>
      <c r="BL18" s="1576" t="s">
        <v>329</v>
      </c>
      <c r="BM18" s="248">
        <v>0</v>
      </c>
      <c r="BN18" s="248">
        <v>47880000</v>
      </c>
      <c r="BO18" s="248">
        <v>15960000</v>
      </c>
      <c r="BP18" s="169">
        <f t="shared" si="16"/>
        <v>0</v>
      </c>
      <c r="BQ18" s="169">
        <f t="shared" si="17"/>
        <v>47880</v>
      </c>
      <c r="BR18" s="169">
        <f t="shared" si="18"/>
        <v>15960</v>
      </c>
    </row>
    <row r="19" spans="1:70" x14ac:dyDescent="0.25">
      <c r="A19" s="362" t="s">
        <v>508</v>
      </c>
      <c r="B19" s="679" t="s">
        <v>523</v>
      </c>
      <c r="C19" s="362" t="s">
        <v>447</v>
      </c>
      <c r="D19" s="679" t="s">
        <v>447</v>
      </c>
      <c r="E19" s="679" t="s">
        <v>433</v>
      </c>
      <c r="F19" s="248">
        <v>0</v>
      </c>
      <c r="G19" s="248">
        <v>25302000</v>
      </c>
      <c r="H19" s="248">
        <v>0</v>
      </c>
      <c r="I19" s="248">
        <f t="shared" si="4"/>
        <v>0</v>
      </c>
      <c r="J19" s="248">
        <f t="shared" si="5"/>
        <v>25302</v>
      </c>
      <c r="K19" s="248">
        <f t="shared" si="6"/>
        <v>0</v>
      </c>
      <c r="M19" s="362" t="s">
        <v>465</v>
      </c>
      <c r="N19" s="679" t="s">
        <v>466</v>
      </c>
      <c r="O19" s="362" t="s">
        <v>447</v>
      </c>
      <c r="P19" s="679" t="s">
        <v>447</v>
      </c>
      <c r="Q19" s="248">
        <v>19511238</v>
      </c>
      <c r="R19" s="1267">
        <f t="shared" si="7"/>
        <v>19511.238000000001</v>
      </c>
      <c r="U19" s="362" t="s">
        <v>434</v>
      </c>
      <c r="V19" s="362" t="s">
        <v>307</v>
      </c>
      <c r="W19" s="362" t="s">
        <v>437</v>
      </c>
      <c r="X19" s="679" t="s">
        <v>329</v>
      </c>
      <c r="Y19" s="248">
        <v>0</v>
      </c>
      <c r="Z19" s="248">
        <v>47880000</v>
      </c>
      <c r="AA19" s="248">
        <v>3840000</v>
      </c>
      <c r="AB19" s="248">
        <f t="shared" si="8"/>
        <v>0</v>
      </c>
      <c r="AC19" s="248">
        <f t="shared" si="9"/>
        <v>47880</v>
      </c>
      <c r="AD19" s="248">
        <f t="shared" si="10"/>
        <v>3840</v>
      </c>
      <c r="AO19" s="1432" t="s">
        <v>434</v>
      </c>
      <c r="AP19" s="1433" t="s">
        <v>307</v>
      </c>
      <c r="AQ19" s="1432" t="s">
        <v>437</v>
      </c>
      <c r="AR19" s="1433" t="s">
        <v>329</v>
      </c>
      <c r="AS19" s="1434">
        <v>0</v>
      </c>
      <c r="AT19" s="1434">
        <v>47880000</v>
      </c>
      <c r="AU19" s="1434">
        <v>5760000</v>
      </c>
      <c r="AV19" s="1434">
        <f t="shared" si="12"/>
        <v>0</v>
      </c>
      <c r="AW19" s="1434">
        <f t="shared" si="13"/>
        <v>47880</v>
      </c>
      <c r="AX19" s="1434">
        <f t="shared" si="14"/>
        <v>5760</v>
      </c>
      <c r="BI19" s="1573" t="s">
        <v>434</v>
      </c>
      <c r="BJ19" s="1576" t="s">
        <v>307</v>
      </c>
      <c r="BK19" s="1573" t="s">
        <v>435</v>
      </c>
      <c r="BL19" s="1576" t="s">
        <v>328</v>
      </c>
      <c r="BM19" s="248">
        <v>0</v>
      </c>
      <c r="BN19" s="248">
        <v>541153088</v>
      </c>
      <c r="BO19" s="248">
        <v>118789629</v>
      </c>
      <c r="BP19" s="169">
        <f t="shared" si="16"/>
        <v>0</v>
      </c>
      <c r="BQ19" s="169">
        <f t="shared" si="17"/>
        <v>541153.08799999999</v>
      </c>
      <c r="BR19" s="169">
        <f t="shared" si="18"/>
        <v>118789.629</v>
      </c>
    </row>
    <row r="20" spans="1:70" x14ac:dyDescent="0.25">
      <c r="A20" s="362" t="s">
        <v>438</v>
      </c>
      <c r="B20" s="679" t="s">
        <v>335</v>
      </c>
      <c r="C20" s="362" t="s">
        <v>499</v>
      </c>
      <c r="D20" s="679" t="s">
        <v>632</v>
      </c>
      <c r="E20" s="679" t="s">
        <v>433</v>
      </c>
      <c r="F20" s="248">
        <v>837394000</v>
      </c>
      <c r="G20" s="248">
        <v>0</v>
      </c>
      <c r="H20" s="248">
        <v>0</v>
      </c>
      <c r="I20" s="248">
        <f t="shared" si="4"/>
        <v>837394</v>
      </c>
      <c r="J20" s="248">
        <f t="shared" si="5"/>
        <v>0</v>
      </c>
      <c r="K20" s="248">
        <f t="shared" si="6"/>
        <v>0</v>
      </c>
      <c r="M20" s="362" t="s">
        <v>534</v>
      </c>
      <c r="N20" s="679" t="s">
        <v>537</v>
      </c>
      <c r="O20" s="362" t="s">
        <v>447</v>
      </c>
      <c r="P20" s="362" t="s">
        <v>447</v>
      </c>
      <c r="Q20" s="248">
        <v>0</v>
      </c>
      <c r="R20" s="1267">
        <f t="shared" si="7"/>
        <v>0</v>
      </c>
      <c r="U20" s="362" t="s">
        <v>508</v>
      </c>
      <c r="V20" s="362" t="s">
        <v>523</v>
      </c>
      <c r="W20" s="362" t="s">
        <v>447</v>
      </c>
      <c r="X20" s="679" t="s">
        <v>447</v>
      </c>
      <c r="Y20" s="248">
        <v>58398000</v>
      </c>
      <c r="Z20" s="248">
        <v>0</v>
      </c>
      <c r="AA20" s="248">
        <v>0</v>
      </c>
      <c r="AB20" s="248">
        <f t="shared" si="8"/>
        <v>58398</v>
      </c>
      <c r="AC20" s="248">
        <f t="shared" si="9"/>
        <v>0</v>
      </c>
      <c r="AD20" s="248">
        <f t="shared" si="10"/>
        <v>0</v>
      </c>
      <c r="AO20" s="1432" t="s">
        <v>434</v>
      </c>
      <c r="AP20" s="1433" t="s">
        <v>307</v>
      </c>
      <c r="AQ20" s="1432" t="s">
        <v>447</v>
      </c>
      <c r="AR20" s="1433" t="s">
        <v>447</v>
      </c>
      <c r="AS20" s="1434">
        <v>0</v>
      </c>
      <c r="AT20" s="1434">
        <v>0</v>
      </c>
      <c r="AU20" s="1434">
        <v>0</v>
      </c>
      <c r="AV20" s="1434">
        <f t="shared" si="12"/>
        <v>0</v>
      </c>
      <c r="AW20" s="1434">
        <f t="shared" si="13"/>
        <v>0</v>
      </c>
      <c r="AX20" s="1434">
        <f t="shared" si="14"/>
        <v>0</v>
      </c>
      <c r="BI20" s="1573" t="s">
        <v>434</v>
      </c>
      <c r="BJ20" s="1576" t="s">
        <v>307</v>
      </c>
      <c r="BK20" s="1573" t="s">
        <v>458</v>
      </c>
      <c r="BL20" s="1576" t="s">
        <v>330</v>
      </c>
      <c r="BM20" s="248">
        <v>0</v>
      </c>
      <c r="BN20" s="248">
        <v>28928</v>
      </c>
      <c r="BO20" s="248">
        <v>28928</v>
      </c>
      <c r="BP20" s="169">
        <f t="shared" si="16"/>
        <v>0</v>
      </c>
      <c r="BQ20" s="169">
        <f t="shared" si="17"/>
        <v>28.928000000000001</v>
      </c>
      <c r="BR20" s="169">
        <f t="shared" si="18"/>
        <v>28.928000000000001</v>
      </c>
    </row>
    <row r="21" spans="1:70" x14ac:dyDescent="0.25">
      <c r="A21" s="362" t="s">
        <v>438</v>
      </c>
      <c r="B21" s="679" t="s">
        <v>335</v>
      </c>
      <c r="C21" s="362" t="s">
        <v>488</v>
      </c>
      <c r="D21" s="679" t="s">
        <v>631</v>
      </c>
      <c r="E21" s="679" t="s">
        <v>433</v>
      </c>
      <c r="F21" s="248">
        <v>310000000</v>
      </c>
      <c r="G21" s="248">
        <v>0</v>
      </c>
      <c r="H21" s="248">
        <v>0</v>
      </c>
      <c r="I21" s="248">
        <f t="shared" si="4"/>
        <v>310000</v>
      </c>
      <c r="J21" s="248">
        <f t="shared" si="5"/>
        <v>0</v>
      </c>
      <c r="K21" s="248">
        <f t="shared" si="6"/>
        <v>0</v>
      </c>
      <c r="U21" s="362" t="s">
        <v>508</v>
      </c>
      <c r="V21" s="362" t="s">
        <v>523</v>
      </c>
      <c r="W21" s="362" t="s">
        <v>447</v>
      </c>
      <c r="X21" s="679" t="s">
        <v>447</v>
      </c>
      <c r="Y21" s="248">
        <v>0</v>
      </c>
      <c r="Z21" s="248">
        <v>25302000</v>
      </c>
      <c r="AA21" s="248">
        <v>5688000</v>
      </c>
      <c r="AB21" s="248">
        <f t="shared" si="8"/>
        <v>0</v>
      </c>
      <c r="AC21" s="248">
        <f t="shared" si="9"/>
        <v>25302</v>
      </c>
      <c r="AD21" s="248">
        <f t="shared" si="10"/>
        <v>5688</v>
      </c>
      <c r="AO21" s="1432" t="s">
        <v>508</v>
      </c>
      <c r="AP21" s="1433" t="s">
        <v>523</v>
      </c>
      <c r="AQ21" s="1432" t="s">
        <v>447</v>
      </c>
      <c r="AR21" s="1433" t="s">
        <v>447</v>
      </c>
      <c r="AS21" s="1434">
        <v>58398000</v>
      </c>
      <c r="AT21" s="1434">
        <v>0</v>
      </c>
      <c r="AU21" s="1434">
        <v>0</v>
      </c>
      <c r="AV21" s="1434">
        <f t="shared" si="12"/>
        <v>58398</v>
      </c>
      <c r="AW21" s="1434">
        <f t="shared" si="13"/>
        <v>0</v>
      </c>
      <c r="AX21" s="1434">
        <f t="shared" si="14"/>
        <v>0</v>
      </c>
      <c r="BI21" s="1573" t="s">
        <v>434</v>
      </c>
      <c r="BJ21" s="1576" t="s">
        <v>307</v>
      </c>
      <c r="BK21" s="1573" t="s">
        <v>459</v>
      </c>
      <c r="BL21" s="1576" t="s">
        <v>331</v>
      </c>
      <c r="BM21" s="248">
        <v>0</v>
      </c>
      <c r="BN21" s="248">
        <v>23101182</v>
      </c>
      <c r="BO21" s="248">
        <v>5976193</v>
      </c>
      <c r="BP21" s="169">
        <f t="shared" si="16"/>
        <v>0</v>
      </c>
      <c r="BQ21" s="169">
        <f t="shared" si="17"/>
        <v>23101.182000000001</v>
      </c>
      <c r="BR21" s="169">
        <f t="shared" si="18"/>
        <v>5976.1930000000002</v>
      </c>
    </row>
    <row r="22" spans="1:70" x14ac:dyDescent="0.25">
      <c r="A22" s="362" t="s">
        <v>438</v>
      </c>
      <c r="B22" s="679" t="s">
        <v>335</v>
      </c>
      <c r="C22" s="362" t="s">
        <v>500</v>
      </c>
      <c r="D22" s="679" t="s">
        <v>489</v>
      </c>
      <c r="E22" s="679" t="s">
        <v>433</v>
      </c>
      <c r="F22" s="248">
        <v>300000000</v>
      </c>
      <c r="G22" s="248">
        <v>0</v>
      </c>
      <c r="H22" s="248">
        <v>0</v>
      </c>
      <c r="I22" s="248">
        <f t="shared" si="4"/>
        <v>300000</v>
      </c>
      <c r="J22" s="248">
        <f t="shared" si="5"/>
        <v>0</v>
      </c>
      <c r="K22" s="248">
        <f t="shared" si="6"/>
        <v>0</v>
      </c>
      <c r="U22" s="362" t="s">
        <v>438</v>
      </c>
      <c r="V22" s="362" t="s">
        <v>335</v>
      </c>
      <c r="W22" s="362" t="s">
        <v>499</v>
      </c>
      <c r="X22" s="679" t="s">
        <v>632</v>
      </c>
      <c r="Y22" s="248">
        <v>837394000</v>
      </c>
      <c r="Z22" s="248">
        <v>0</v>
      </c>
      <c r="AA22" s="248">
        <v>0</v>
      </c>
      <c r="AB22" s="248">
        <f t="shared" si="8"/>
        <v>837394</v>
      </c>
      <c r="AC22" s="248">
        <f t="shared" si="9"/>
        <v>0</v>
      </c>
      <c r="AD22" s="248">
        <f t="shared" si="10"/>
        <v>0</v>
      </c>
      <c r="AO22" s="1432" t="s">
        <v>508</v>
      </c>
      <c r="AP22" s="1433" t="s">
        <v>523</v>
      </c>
      <c r="AQ22" s="1432" t="s">
        <v>447</v>
      </c>
      <c r="AR22" s="1433" t="s">
        <v>447</v>
      </c>
      <c r="AS22" s="1434">
        <v>0</v>
      </c>
      <c r="AT22" s="1434">
        <v>25302000</v>
      </c>
      <c r="AU22" s="1434">
        <v>7081000</v>
      </c>
      <c r="AV22" s="1434">
        <f t="shared" si="12"/>
        <v>0</v>
      </c>
      <c r="AW22" s="1434">
        <f t="shared" si="13"/>
        <v>25302</v>
      </c>
      <c r="AX22" s="1434">
        <f t="shared" si="14"/>
        <v>7081</v>
      </c>
      <c r="BI22" s="1573" t="s">
        <v>434</v>
      </c>
      <c r="BJ22" s="1576" t="s">
        <v>307</v>
      </c>
      <c r="BK22" s="1573" t="s">
        <v>436</v>
      </c>
      <c r="BL22" s="1576" t="s">
        <v>339</v>
      </c>
      <c r="BM22" s="248">
        <v>0</v>
      </c>
      <c r="BN22" s="248">
        <v>22602770</v>
      </c>
      <c r="BO22" s="248">
        <v>12303582</v>
      </c>
      <c r="BP22" s="169">
        <f t="shared" si="16"/>
        <v>0</v>
      </c>
      <c r="BQ22" s="169">
        <f t="shared" si="17"/>
        <v>22602.77</v>
      </c>
      <c r="BR22" s="169">
        <f t="shared" si="18"/>
        <v>12303.582</v>
      </c>
    </row>
    <row r="23" spans="1:70" x14ac:dyDescent="0.25">
      <c r="A23" s="362" t="s">
        <v>438</v>
      </c>
      <c r="B23" s="679" t="s">
        <v>335</v>
      </c>
      <c r="C23" s="362" t="s">
        <v>462</v>
      </c>
      <c r="D23" s="679" t="s">
        <v>633</v>
      </c>
      <c r="E23" s="679" t="s">
        <v>433</v>
      </c>
      <c r="F23" s="248">
        <v>285000000</v>
      </c>
      <c r="G23" s="248">
        <v>0</v>
      </c>
      <c r="H23" s="248">
        <v>0</v>
      </c>
      <c r="I23" s="248">
        <f t="shared" si="4"/>
        <v>285000</v>
      </c>
      <c r="J23" s="248">
        <f t="shared" si="5"/>
        <v>0</v>
      </c>
      <c r="K23" s="248">
        <f t="shared" si="6"/>
        <v>0</v>
      </c>
      <c r="U23" s="362" t="s">
        <v>438</v>
      </c>
      <c r="V23" s="362" t="s">
        <v>335</v>
      </c>
      <c r="W23" s="362" t="s">
        <v>488</v>
      </c>
      <c r="X23" s="679" t="s">
        <v>631</v>
      </c>
      <c r="Y23" s="248">
        <v>310000000</v>
      </c>
      <c r="Z23" s="248">
        <v>0</v>
      </c>
      <c r="AA23" s="248">
        <v>0</v>
      </c>
      <c r="AB23" s="248">
        <f t="shared" si="8"/>
        <v>310000</v>
      </c>
      <c r="AC23" s="248">
        <f t="shared" si="9"/>
        <v>0</v>
      </c>
      <c r="AD23" s="248">
        <f t="shared" si="10"/>
        <v>0</v>
      </c>
      <c r="AO23" s="1432" t="s">
        <v>438</v>
      </c>
      <c r="AP23" s="1433" t="s">
        <v>335</v>
      </c>
      <c r="AQ23" s="1432" t="s">
        <v>499</v>
      </c>
      <c r="AR23" s="1433" t="s">
        <v>632</v>
      </c>
      <c r="AS23" s="1434">
        <v>837394000</v>
      </c>
      <c r="AT23" s="1434">
        <v>0</v>
      </c>
      <c r="AU23" s="1434">
        <v>0</v>
      </c>
      <c r="AV23" s="1434">
        <f t="shared" si="12"/>
        <v>837394</v>
      </c>
      <c r="AW23" s="1434">
        <f t="shared" si="13"/>
        <v>0</v>
      </c>
      <c r="AX23" s="1434">
        <f t="shared" si="14"/>
        <v>0</v>
      </c>
      <c r="BI23" s="1573" t="s">
        <v>434</v>
      </c>
      <c r="BJ23" s="1576" t="s">
        <v>307</v>
      </c>
      <c r="BK23" s="1573" t="s">
        <v>447</v>
      </c>
      <c r="BL23" s="1576" t="s">
        <v>447</v>
      </c>
      <c r="BM23" s="248">
        <v>0</v>
      </c>
      <c r="BN23" s="248">
        <v>0</v>
      </c>
      <c r="BO23" s="248">
        <v>0</v>
      </c>
      <c r="BP23" s="169">
        <f t="shared" si="16"/>
        <v>0</v>
      </c>
      <c r="BQ23" s="169">
        <f t="shared" si="17"/>
        <v>0</v>
      </c>
      <c r="BR23" s="169">
        <f t="shared" si="18"/>
        <v>0</v>
      </c>
    </row>
    <row r="24" spans="1:70" x14ac:dyDescent="0.25">
      <c r="A24" s="362" t="s">
        <v>438</v>
      </c>
      <c r="B24" s="679" t="s">
        <v>335</v>
      </c>
      <c r="C24" s="362" t="s">
        <v>629</v>
      </c>
      <c r="D24" s="679" t="s">
        <v>630</v>
      </c>
      <c r="E24" s="679" t="s">
        <v>433</v>
      </c>
      <c r="F24" s="248">
        <v>250000000</v>
      </c>
      <c r="G24" s="248">
        <v>0</v>
      </c>
      <c r="H24" s="248">
        <v>0</v>
      </c>
      <c r="I24" s="248">
        <f t="shared" si="4"/>
        <v>250000</v>
      </c>
      <c r="J24" s="248">
        <f t="shared" si="5"/>
        <v>0</v>
      </c>
      <c r="K24" s="248">
        <f t="shared" si="6"/>
        <v>0</v>
      </c>
      <c r="U24" s="362" t="s">
        <v>438</v>
      </c>
      <c r="V24" s="362" t="s">
        <v>335</v>
      </c>
      <c r="W24" s="362" t="s">
        <v>500</v>
      </c>
      <c r="X24" s="679" t="s">
        <v>489</v>
      </c>
      <c r="Y24" s="248">
        <v>300000000</v>
      </c>
      <c r="Z24" s="248">
        <v>0</v>
      </c>
      <c r="AA24" s="248">
        <v>0</v>
      </c>
      <c r="AB24" s="248">
        <f t="shared" si="8"/>
        <v>300000</v>
      </c>
      <c r="AC24" s="248">
        <f t="shared" si="9"/>
        <v>0</v>
      </c>
      <c r="AD24" s="248">
        <f t="shared" si="10"/>
        <v>0</v>
      </c>
      <c r="AO24" s="1432" t="s">
        <v>438</v>
      </c>
      <c r="AP24" s="1433" t="s">
        <v>335</v>
      </c>
      <c r="AQ24" s="1432" t="s">
        <v>488</v>
      </c>
      <c r="AR24" s="1433" t="s">
        <v>631</v>
      </c>
      <c r="AS24" s="1434">
        <v>310000000</v>
      </c>
      <c r="AT24" s="1434">
        <v>0</v>
      </c>
      <c r="AU24" s="1434">
        <v>0</v>
      </c>
      <c r="AV24" s="1434">
        <f t="shared" si="12"/>
        <v>310000</v>
      </c>
      <c r="AW24" s="1434">
        <f t="shared" si="13"/>
        <v>0</v>
      </c>
      <c r="AX24" s="1434">
        <f t="shared" si="14"/>
        <v>0</v>
      </c>
      <c r="BI24" s="1573" t="s">
        <v>508</v>
      </c>
      <c r="BJ24" s="1576" t="s">
        <v>523</v>
      </c>
      <c r="BK24" s="1573" t="s">
        <v>447</v>
      </c>
      <c r="BL24" s="1576" t="s">
        <v>447</v>
      </c>
      <c r="BM24" s="248">
        <v>58398000</v>
      </c>
      <c r="BN24" s="248">
        <v>0</v>
      </c>
      <c r="BO24" s="248">
        <v>0</v>
      </c>
      <c r="BP24" s="169">
        <f t="shared" si="16"/>
        <v>58398</v>
      </c>
      <c r="BQ24" s="169">
        <f t="shared" si="17"/>
        <v>0</v>
      </c>
      <c r="BR24" s="169">
        <f t="shared" si="18"/>
        <v>0</v>
      </c>
    </row>
    <row r="25" spans="1:70" x14ac:dyDescent="0.25">
      <c r="A25" s="362" t="s">
        <v>438</v>
      </c>
      <c r="B25" s="679" t="s">
        <v>335</v>
      </c>
      <c r="C25" s="362" t="s">
        <v>439</v>
      </c>
      <c r="D25" s="679" t="s">
        <v>492</v>
      </c>
      <c r="E25" s="679" t="s">
        <v>433</v>
      </c>
      <c r="F25" s="248">
        <v>150000000</v>
      </c>
      <c r="G25" s="248">
        <v>0</v>
      </c>
      <c r="H25" s="248">
        <v>0</v>
      </c>
      <c r="I25" s="248">
        <f t="shared" si="4"/>
        <v>150000</v>
      </c>
      <c r="J25" s="248">
        <f t="shared" si="5"/>
        <v>0</v>
      </c>
      <c r="K25" s="248">
        <f t="shared" si="6"/>
        <v>0</v>
      </c>
      <c r="U25" s="362" t="s">
        <v>438</v>
      </c>
      <c r="V25" s="362" t="s">
        <v>335</v>
      </c>
      <c r="W25" s="362" t="s">
        <v>462</v>
      </c>
      <c r="X25" s="679" t="s">
        <v>633</v>
      </c>
      <c r="Y25" s="248">
        <v>285000000</v>
      </c>
      <c r="Z25" s="248">
        <v>0</v>
      </c>
      <c r="AA25" s="248">
        <v>0</v>
      </c>
      <c r="AB25" s="248">
        <f t="shared" si="8"/>
        <v>285000</v>
      </c>
      <c r="AC25" s="248">
        <f t="shared" si="9"/>
        <v>0</v>
      </c>
      <c r="AD25" s="248">
        <f t="shared" si="10"/>
        <v>0</v>
      </c>
      <c r="AO25" s="1432" t="s">
        <v>438</v>
      </c>
      <c r="AP25" s="1433" t="s">
        <v>335</v>
      </c>
      <c r="AQ25" s="1432" t="s">
        <v>500</v>
      </c>
      <c r="AR25" s="1433" t="s">
        <v>489</v>
      </c>
      <c r="AS25" s="1434">
        <v>300000000</v>
      </c>
      <c r="AT25" s="1434">
        <v>0</v>
      </c>
      <c r="AU25" s="1434">
        <v>0</v>
      </c>
      <c r="AV25" s="1434">
        <f t="shared" si="12"/>
        <v>300000</v>
      </c>
      <c r="AW25" s="1434">
        <f t="shared" si="13"/>
        <v>0</v>
      </c>
      <c r="AX25" s="1434">
        <f t="shared" si="14"/>
        <v>0</v>
      </c>
      <c r="BI25" s="1573" t="s">
        <v>508</v>
      </c>
      <c r="BJ25" s="1576" t="s">
        <v>523</v>
      </c>
      <c r="BK25" s="1573" t="s">
        <v>447</v>
      </c>
      <c r="BL25" s="1576" t="s">
        <v>447</v>
      </c>
      <c r="BM25" s="248">
        <v>0</v>
      </c>
      <c r="BN25" s="248">
        <v>42867500</v>
      </c>
      <c r="BO25" s="248">
        <v>25302000</v>
      </c>
      <c r="BP25" s="169">
        <f t="shared" si="16"/>
        <v>0</v>
      </c>
      <c r="BQ25" s="169">
        <f t="shared" si="17"/>
        <v>42867.5</v>
      </c>
      <c r="BR25" s="169">
        <f t="shared" si="18"/>
        <v>25302</v>
      </c>
    </row>
    <row r="26" spans="1:70" x14ac:dyDescent="0.25">
      <c r="A26" s="362" t="s">
        <v>438</v>
      </c>
      <c r="B26" s="679" t="s">
        <v>335</v>
      </c>
      <c r="C26" s="362" t="s">
        <v>629</v>
      </c>
      <c r="D26" s="679" t="s">
        <v>630</v>
      </c>
      <c r="E26" s="679" t="s">
        <v>433</v>
      </c>
      <c r="F26" s="248">
        <v>0</v>
      </c>
      <c r="G26" s="248">
        <v>3120000</v>
      </c>
      <c r="H26" s="248">
        <v>0</v>
      </c>
      <c r="I26" s="248">
        <f t="shared" si="4"/>
        <v>0</v>
      </c>
      <c r="J26" s="248">
        <f t="shared" si="5"/>
        <v>3120</v>
      </c>
      <c r="K26" s="248">
        <f t="shared" si="6"/>
        <v>0</v>
      </c>
      <c r="U26" s="362" t="s">
        <v>438</v>
      </c>
      <c r="V26" s="362" t="s">
        <v>335</v>
      </c>
      <c r="W26" s="362" t="s">
        <v>629</v>
      </c>
      <c r="X26" s="679" t="s">
        <v>630</v>
      </c>
      <c r="Y26" s="248">
        <v>250000000</v>
      </c>
      <c r="Z26" s="248">
        <v>0</v>
      </c>
      <c r="AA26" s="248">
        <v>0</v>
      </c>
      <c r="AB26" s="248">
        <f t="shared" si="8"/>
        <v>250000</v>
      </c>
      <c r="AC26" s="248">
        <f t="shared" si="9"/>
        <v>0</v>
      </c>
      <c r="AD26" s="248">
        <f t="shared" si="10"/>
        <v>0</v>
      </c>
      <c r="AO26" s="1432" t="s">
        <v>438</v>
      </c>
      <c r="AP26" s="1433" t="s">
        <v>335</v>
      </c>
      <c r="AQ26" s="1432" t="s">
        <v>462</v>
      </c>
      <c r="AR26" s="1433" t="s">
        <v>633</v>
      </c>
      <c r="AS26" s="1434">
        <v>285000000</v>
      </c>
      <c r="AT26" s="1434">
        <v>0</v>
      </c>
      <c r="AU26" s="1434">
        <v>0</v>
      </c>
      <c r="AV26" s="1434">
        <f t="shared" si="12"/>
        <v>285000</v>
      </c>
      <c r="AW26" s="1434">
        <f t="shared" si="13"/>
        <v>0</v>
      </c>
      <c r="AX26" s="1434">
        <f t="shared" si="14"/>
        <v>0</v>
      </c>
      <c r="BI26" s="1573" t="s">
        <v>438</v>
      </c>
      <c r="BJ26" s="1576" t="s">
        <v>335</v>
      </c>
      <c r="BK26" s="1573" t="s">
        <v>499</v>
      </c>
      <c r="BL26" s="1576" t="s">
        <v>632</v>
      </c>
      <c r="BM26" s="248">
        <v>837394000</v>
      </c>
      <c r="BN26" s="248">
        <v>0</v>
      </c>
      <c r="BO26" s="248">
        <v>0</v>
      </c>
      <c r="BP26" s="169">
        <f t="shared" si="16"/>
        <v>837394</v>
      </c>
      <c r="BQ26" s="169">
        <f t="shared" si="17"/>
        <v>0</v>
      </c>
      <c r="BR26" s="169">
        <f t="shared" si="18"/>
        <v>0</v>
      </c>
    </row>
    <row r="27" spans="1:70" x14ac:dyDescent="0.25">
      <c r="A27" s="362" t="s">
        <v>438</v>
      </c>
      <c r="B27" s="679" t="s">
        <v>335</v>
      </c>
      <c r="C27" s="362" t="s">
        <v>447</v>
      </c>
      <c r="D27" s="679" t="s">
        <v>447</v>
      </c>
      <c r="E27" s="679" t="s">
        <v>433</v>
      </c>
      <c r="F27" s="248">
        <v>0</v>
      </c>
      <c r="G27" s="248">
        <v>0</v>
      </c>
      <c r="H27" s="248">
        <v>0</v>
      </c>
      <c r="I27" s="248">
        <f t="shared" si="4"/>
        <v>0</v>
      </c>
      <c r="J27" s="248">
        <f t="shared" si="5"/>
        <v>0</v>
      </c>
      <c r="K27" s="248">
        <f t="shared" si="6"/>
        <v>0</v>
      </c>
      <c r="U27" s="362" t="s">
        <v>438</v>
      </c>
      <c r="V27" s="362" t="s">
        <v>335</v>
      </c>
      <c r="W27" s="362" t="s">
        <v>439</v>
      </c>
      <c r="X27" s="679" t="s">
        <v>492</v>
      </c>
      <c r="Y27" s="248">
        <v>150000000</v>
      </c>
      <c r="Z27" s="248">
        <v>0</v>
      </c>
      <c r="AA27" s="248">
        <v>0</v>
      </c>
      <c r="AB27" s="248">
        <f t="shared" si="8"/>
        <v>150000</v>
      </c>
      <c r="AC27" s="248">
        <f t="shared" si="9"/>
        <v>0</v>
      </c>
      <c r="AD27" s="248">
        <f t="shared" si="10"/>
        <v>0</v>
      </c>
      <c r="AO27" s="1432" t="s">
        <v>438</v>
      </c>
      <c r="AP27" s="1433" t="s">
        <v>335</v>
      </c>
      <c r="AQ27" s="1432" t="s">
        <v>629</v>
      </c>
      <c r="AR27" s="1433" t="s">
        <v>630</v>
      </c>
      <c r="AS27" s="1434">
        <v>250000000</v>
      </c>
      <c r="AT27" s="1434">
        <v>0</v>
      </c>
      <c r="AU27" s="1434">
        <v>0</v>
      </c>
      <c r="AV27" s="1434">
        <f t="shared" si="12"/>
        <v>250000</v>
      </c>
      <c r="AW27" s="1434">
        <f t="shared" si="13"/>
        <v>0</v>
      </c>
      <c r="AX27" s="1434">
        <f t="shared" si="14"/>
        <v>0</v>
      </c>
      <c r="BI27" s="1573" t="s">
        <v>438</v>
      </c>
      <c r="BJ27" s="1576" t="s">
        <v>335</v>
      </c>
      <c r="BK27" s="1573" t="s">
        <v>500</v>
      </c>
      <c r="BL27" s="1576" t="s">
        <v>489</v>
      </c>
      <c r="BM27" s="248">
        <v>525000000</v>
      </c>
      <c r="BN27" s="248">
        <v>0</v>
      </c>
      <c r="BO27" s="248">
        <v>0</v>
      </c>
      <c r="BP27" s="169">
        <f t="shared" si="16"/>
        <v>525000</v>
      </c>
      <c r="BQ27" s="169">
        <f t="shared" si="17"/>
        <v>0</v>
      </c>
      <c r="BR27" s="169">
        <f t="shared" si="18"/>
        <v>0</v>
      </c>
    </row>
    <row r="28" spans="1:70" x14ac:dyDescent="0.25">
      <c r="A28" s="362" t="s">
        <v>438</v>
      </c>
      <c r="B28" s="679" t="s">
        <v>335</v>
      </c>
      <c r="C28" s="362" t="s">
        <v>462</v>
      </c>
      <c r="D28" s="679" t="s">
        <v>633</v>
      </c>
      <c r="E28" s="679" t="s">
        <v>433</v>
      </c>
      <c r="F28" s="248">
        <v>0</v>
      </c>
      <c r="G28" s="248">
        <v>85000000</v>
      </c>
      <c r="H28" s="248">
        <v>30000000</v>
      </c>
      <c r="I28" s="248">
        <f t="shared" si="4"/>
        <v>0</v>
      </c>
      <c r="J28" s="248">
        <f t="shared" si="5"/>
        <v>85000</v>
      </c>
      <c r="K28" s="248">
        <f t="shared" si="6"/>
        <v>30000</v>
      </c>
      <c r="U28" s="362" t="s">
        <v>438</v>
      </c>
      <c r="V28" s="362" t="s">
        <v>335</v>
      </c>
      <c r="W28" s="362" t="s">
        <v>447</v>
      </c>
      <c r="X28" s="679" t="s">
        <v>447</v>
      </c>
      <c r="Y28" s="248">
        <v>0</v>
      </c>
      <c r="Z28" s="248">
        <v>0</v>
      </c>
      <c r="AA28" s="248">
        <v>0</v>
      </c>
      <c r="AB28" s="248">
        <f t="shared" si="8"/>
        <v>0</v>
      </c>
      <c r="AC28" s="248">
        <f t="shared" si="9"/>
        <v>0</v>
      </c>
      <c r="AD28" s="248">
        <f t="shared" si="10"/>
        <v>0</v>
      </c>
      <c r="AO28" s="1432" t="s">
        <v>438</v>
      </c>
      <c r="AP28" s="1433" t="s">
        <v>335</v>
      </c>
      <c r="AQ28" s="1432" t="s">
        <v>439</v>
      </c>
      <c r="AR28" s="1433" t="s">
        <v>492</v>
      </c>
      <c r="AS28" s="1434">
        <v>150000000</v>
      </c>
      <c r="AT28" s="1434">
        <v>0</v>
      </c>
      <c r="AU28" s="1434">
        <v>0</v>
      </c>
      <c r="AV28" s="1434">
        <f t="shared" si="12"/>
        <v>150000</v>
      </c>
      <c r="AW28" s="1434">
        <f t="shared" si="13"/>
        <v>0</v>
      </c>
      <c r="AX28" s="1434">
        <f t="shared" si="14"/>
        <v>0</v>
      </c>
      <c r="BI28" s="1573" t="s">
        <v>438</v>
      </c>
      <c r="BJ28" s="1576" t="s">
        <v>335</v>
      </c>
      <c r="BK28" s="1573" t="s">
        <v>488</v>
      </c>
      <c r="BL28" s="1576" t="s">
        <v>631</v>
      </c>
      <c r="BM28" s="248">
        <v>310000000</v>
      </c>
      <c r="BN28" s="248">
        <v>0</v>
      </c>
      <c r="BO28" s="248">
        <v>0</v>
      </c>
      <c r="BP28" s="169">
        <f t="shared" si="16"/>
        <v>310000</v>
      </c>
      <c r="BQ28" s="169">
        <f t="shared" si="17"/>
        <v>0</v>
      </c>
      <c r="BR28" s="169">
        <f t="shared" si="18"/>
        <v>0</v>
      </c>
    </row>
    <row r="29" spans="1:70" x14ac:dyDescent="0.25">
      <c r="A29" s="362" t="s">
        <v>463</v>
      </c>
      <c r="B29" s="679" t="s">
        <v>464</v>
      </c>
      <c r="C29" s="362" t="s">
        <v>447</v>
      </c>
      <c r="D29" s="679" t="s">
        <v>447</v>
      </c>
      <c r="E29" s="679" t="s">
        <v>433</v>
      </c>
      <c r="F29" s="248">
        <v>520000000</v>
      </c>
      <c r="G29" s="248">
        <v>0</v>
      </c>
      <c r="H29" s="248">
        <v>0</v>
      </c>
      <c r="I29" s="248">
        <f t="shared" si="4"/>
        <v>520000</v>
      </c>
      <c r="J29" s="248">
        <f t="shared" si="5"/>
        <v>0</v>
      </c>
      <c r="K29" s="248">
        <f t="shared" si="6"/>
        <v>0</v>
      </c>
      <c r="U29" s="362" t="s">
        <v>438</v>
      </c>
      <c r="V29" s="362" t="s">
        <v>335</v>
      </c>
      <c r="W29" s="362" t="s">
        <v>447</v>
      </c>
      <c r="X29" s="679" t="s">
        <v>447</v>
      </c>
      <c r="Y29" s="248">
        <v>0</v>
      </c>
      <c r="Z29" s="248">
        <v>0</v>
      </c>
      <c r="AA29" s="248">
        <v>0</v>
      </c>
      <c r="AB29" s="248">
        <f t="shared" si="8"/>
        <v>0</v>
      </c>
      <c r="AC29" s="248">
        <f t="shared" si="9"/>
        <v>0</v>
      </c>
      <c r="AD29" s="248">
        <f t="shared" si="10"/>
        <v>0</v>
      </c>
      <c r="AO29" s="1432" t="s">
        <v>438</v>
      </c>
      <c r="AP29" s="1433" t="s">
        <v>335</v>
      </c>
      <c r="AQ29" s="1432" t="s">
        <v>629</v>
      </c>
      <c r="AR29" s="1433" t="s">
        <v>630</v>
      </c>
      <c r="AS29" s="1434">
        <v>0</v>
      </c>
      <c r="AT29" s="1434">
        <v>3120000</v>
      </c>
      <c r="AU29" s="1434">
        <v>780000</v>
      </c>
      <c r="AV29" s="1434">
        <f t="shared" si="12"/>
        <v>0</v>
      </c>
      <c r="AW29" s="1434">
        <f t="shared" si="13"/>
        <v>3120</v>
      </c>
      <c r="AX29" s="1434">
        <f t="shared" si="14"/>
        <v>780</v>
      </c>
      <c r="BI29" s="1573" t="s">
        <v>438</v>
      </c>
      <c r="BJ29" s="1576" t="s">
        <v>335</v>
      </c>
      <c r="BK29" s="1573" t="s">
        <v>462</v>
      </c>
      <c r="BL29" s="1576" t="s">
        <v>633</v>
      </c>
      <c r="BM29" s="248">
        <v>285000000</v>
      </c>
      <c r="BN29" s="248">
        <v>0</v>
      </c>
      <c r="BO29" s="248">
        <v>0</v>
      </c>
      <c r="BP29" s="169">
        <f t="shared" si="16"/>
        <v>285000</v>
      </c>
      <c r="BQ29" s="169">
        <f t="shared" si="17"/>
        <v>0</v>
      </c>
      <c r="BR29" s="169">
        <f t="shared" si="18"/>
        <v>0</v>
      </c>
    </row>
    <row r="30" spans="1:70" x14ac:dyDescent="0.25">
      <c r="A30" s="362" t="s">
        <v>465</v>
      </c>
      <c r="B30" s="679" t="s">
        <v>466</v>
      </c>
      <c r="C30" s="362" t="s">
        <v>447</v>
      </c>
      <c r="D30" s="679" t="s">
        <v>447</v>
      </c>
      <c r="E30" s="679" t="s">
        <v>433</v>
      </c>
      <c r="F30" s="248">
        <v>300292000</v>
      </c>
      <c r="G30" s="248">
        <v>0</v>
      </c>
      <c r="H30" s="248">
        <v>0</v>
      </c>
      <c r="I30" s="248">
        <f t="shared" si="4"/>
        <v>300292</v>
      </c>
      <c r="J30" s="248">
        <f t="shared" si="5"/>
        <v>0</v>
      </c>
      <c r="K30" s="248">
        <f t="shared" si="6"/>
        <v>0</v>
      </c>
      <c r="U30" s="362" t="s">
        <v>438</v>
      </c>
      <c r="V30" s="362" t="s">
        <v>335</v>
      </c>
      <c r="W30" s="362" t="s">
        <v>629</v>
      </c>
      <c r="X30" s="679" t="s">
        <v>630</v>
      </c>
      <c r="Y30" s="248">
        <v>0</v>
      </c>
      <c r="Z30" s="248">
        <v>3120000</v>
      </c>
      <c r="AA30" s="248">
        <v>780000</v>
      </c>
      <c r="AB30" s="248">
        <f t="shared" si="8"/>
        <v>0</v>
      </c>
      <c r="AC30" s="248">
        <f t="shared" si="9"/>
        <v>3120</v>
      </c>
      <c r="AD30" s="248">
        <f t="shared" si="10"/>
        <v>780</v>
      </c>
      <c r="AO30" s="1432" t="s">
        <v>438</v>
      </c>
      <c r="AP30" s="1433" t="s">
        <v>335</v>
      </c>
      <c r="AQ30" s="1432" t="s">
        <v>447</v>
      </c>
      <c r="AR30" s="1433" t="s">
        <v>447</v>
      </c>
      <c r="AS30" s="1434">
        <v>0</v>
      </c>
      <c r="AT30" s="1434">
        <v>0</v>
      </c>
      <c r="AU30" s="1434">
        <v>0</v>
      </c>
      <c r="AV30" s="1434">
        <f t="shared" si="12"/>
        <v>0</v>
      </c>
      <c r="AW30" s="1434">
        <f t="shared" si="13"/>
        <v>0</v>
      </c>
      <c r="AX30" s="1434">
        <f t="shared" si="14"/>
        <v>0</v>
      </c>
      <c r="BI30" s="1573" t="s">
        <v>438</v>
      </c>
      <c r="BJ30" s="1576" t="s">
        <v>335</v>
      </c>
      <c r="BK30" s="1573" t="s">
        <v>439</v>
      </c>
      <c r="BL30" s="1576" t="s">
        <v>492</v>
      </c>
      <c r="BM30" s="248">
        <v>150000000</v>
      </c>
      <c r="BN30" s="248">
        <v>0</v>
      </c>
      <c r="BO30" s="248">
        <v>0</v>
      </c>
      <c r="BP30" s="169">
        <f t="shared" si="16"/>
        <v>150000</v>
      </c>
      <c r="BQ30" s="169">
        <f t="shared" si="17"/>
        <v>0</v>
      </c>
      <c r="BR30" s="169">
        <f t="shared" si="18"/>
        <v>0</v>
      </c>
    </row>
    <row r="31" spans="1:70" x14ac:dyDescent="0.25">
      <c r="A31" s="362" t="s">
        <v>465</v>
      </c>
      <c r="B31" s="679" t="s">
        <v>466</v>
      </c>
      <c r="C31" s="362" t="s">
        <v>447</v>
      </c>
      <c r="D31" s="679" t="s">
        <v>447</v>
      </c>
      <c r="E31" s="679" t="s">
        <v>433</v>
      </c>
      <c r="F31" s="248">
        <v>0</v>
      </c>
      <c r="G31" s="248">
        <v>80476599</v>
      </c>
      <c r="H31" s="248">
        <v>0</v>
      </c>
      <c r="I31" s="248">
        <f t="shared" si="4"/>
        <v>0</v>
      </c>
      <c r="J31" s="248">
        <f t="shared" si="5"/>
        <v>80476.599000000002</v>
      </c>
      <c r="K31" s="248">
        <f t="shared" si="6"/>
        <v>0</v>
      </c>
      <c r="U31" s="362" t="s">
        <v>438</v>
      </c>
      <c r="V31" s="362" t="s">
        <v>335</v>
      </c>
      <c r="W31" s="362" t="s">
        <v>499</v>
      </c>
      <c r="X31" s="679" t="s">
        <v>632</v>
      </c>
      <c r="Y31" s="248">
        <v>0</v>
      </c>
      <c r="Z31" s="248">
        <v>177263100</v>
      </c>
      <c r="AA31" s="248">
        <v>79200000</v>
      </c>
      <c r="AB31" s="248">
        <f t="shared" si="8"/>
        <v>0</v>
      </c>
      <c r="AC31" s="248">
        <f t="shared" si="9"/>
        <v>177263.1</v>
      </c>
      <c r="AD31" s="248">
        <f t="shared" si="10"/>
        <v>79200</v>
      </c>
      <c r="AO31" s="1432" t="s">
        <v>438</v>
      </c>
      <c r="AP31" s="1433" t="s">
        <v>335</v>
      </c>
      <c r="AQ31" s="1432" t="s">
        <v>447</v>
      </c>
      <c r="AR31" s="1433" t="s">
        <v>447</v>
      </c>
      <c r="AS31" s="1434">
        <v>0</v>
      </c>
      <c r="AT31" s="1434">
        <v>0</v>
      </c>
      <c r="AU31" s="1434">
        <v>0</v>
      </c>
      <c r="AV31" s="1434">
        <f t="shared" si="12"/>
        <v>0</v>
      </c>
      <c r="AW31" s="1434">
        <f t="shared" si="13"/>
        <v>0</v>
      </c>
      <c r="AX31" s="1434">
        <f t="shared" si="14"/>
        <v>0</v>
      </c>
      <c r="BI31" s="1573" t="s">
        <v>438</v>
      </c>
      <c r="BJ31" s="1576" t="s">
        <v>335</v>
      </c>
      <c r="BK31" s="1573" t="s">
        <v>629</v>
      </c>
      <c r="BL31" s="1576" t="s">
        <v>630</v>
      </c>
      <c r="BM31" s="248">
        <v>25000000</v>
      </c>
      <c r="BN31" s="248">
        <v>0</v>
      </c>
      <c r="BO31" s="248">
        <v>0</v>
      </c>
      <c r="BP31" s="169">
        <f t="shared" si="16"/>
        <v>25000</v>
      </c>
      <c r="BQ31" s="169">
        <f t="shared" si="17"/>
        <v>0</v>
      </c>
      <c r="BR31" s="169">
        <f t="shared" si="18"/>
        <v>0</v>
      </c>
    </row>
    <row r="32" spans="1:70" x14ac:dyDescent="0.25">
      <c r="A32" s="362" t="s">
        <v>534</v>
      </c>
      <c r="B32" s="679" t="s">
        <v>537</v>
      </c>
      <c r="C32" s="362" t="s">
        <v>447</v>
      </c>
      <c r="D32" s="679" t="s">
        <v>447</v>
      </c>
      <c r="E32" s="679" t="s">
        <v>433</v>
      </c>
      <c r="F32" s="248">
        <v>278933000</v>
      </c>
      <c r="G32" s="248">
        <v>0</v>
      </c>
      <c r="H32" s="248">
        <v>0</v>
      </c>
      <c r="I32" s="248">
        <f t="shared" si="4"/>
        <v>278933</v>
      </c>
      <c r="J32" s="248">
        <f t="shared" si="5"/>
        <v>0</v>
      </c>
      <c r="K32" s="248">
        <f t="shared" si="6"/>
        <v>0</v>
      </c>
      <c r="U32" s="362" t="s">
        <v>438</v>
      </c>
      <c r="V32" s="362" t="s">
        <v>335</v>
      </c>
      <c r="W32" s="362" t="s">
        <v>462</v>
      </c>
      <c r="X32" s="679" t="s">
        <v>633</v>
      </c>
      <c r="Y32" s="248">
        <v>0</v>
      </c>
      <c r="Z32" s="248">
        <v>85000000</v>
      </c>
      <c r="AA32" s="248">
        <v>85000000</v>
      </c>
      <c r="AB32" s="248">
        <f t="shared" si="8"/>
        <v>0</v>
      </c>
      <c r="AC32" s="248">
        <f t="shared" si="9"/>
        <v>85000</v>
      </c>
      <c r="AD32" s="248">
        <f t="shared" si="10"/>
        <v>85000</v>
      </c>
      <c r="AO32" s="1432" t="s">
        <v>438</v>
      </c>
      <c r="AP32" s="1433" t="s">
        <v>335</v>
      </c>
      <c r="AQ32" s="1432" t="s">
        <v>462</v>
      </c>
      <c r="AR32" s="1433" t="s">
        <v>633</v>
      </c>
      <c r="AS32" s="1434">
        <v>0</v>
      </c>
      <c r="AT32" s="1434">
        <v>85000000</v>
      </c>
      <c r="AU32" s="1434">
        <v>85000000</v>
      </c>
      <c r="AV32" s="1434">
        <f t="shared" si="12"/>
        <v>0</v>
      </c>
      <c r="AW32" s="1434">
        <f t="shared" si="13"/>
        <v>85000</v>
      </c>
      <c r="AX32" s="1434">
        <f t="shared" si="14"/>
        <v>85000</v>
      </c>
      <c r="BI32" s="1573" t="s">
        <v>438</v>
      </c>
      <c r="BJ32" s="1576" t="s">
        <v>335</v>
      </c>
      <c r="BK32" s="1573" t="s">
        <v>629</v>
      </c>
      <c r="BL32" s="1576" t="s">
        <v>630</v>
      </c>
      <c r="BM32" s="248">
        <v>0</v>
      </c>
      <c r="BN32" s="248">
        <v>3120000</v>
      </c>
      <c r="BO32" s="248">
        <v>780000</v>
      </c>
      <c r="BP32" s="169">
        <f t="shared" si="16"/>
        <v>0</v>
      </c>
      <c r="BQ32" s="169">
        <f t="shared" si="17"/>
        <v>3120</v>
      </c>
      <c r="BR32" s="169">
        <f t="shared" si="18"/>
        <v>780</v>
      </c>
    </row>
    <row r="33" spans="1:70" x14ac:dyDescent="0.25">
      <c r="A33" s="362" t="s">
        <v>672</v>
      </c>
      <c r="B33" s="679" t="s">
        <v>673</v>
      </c>
      <c r="C33" s="362" t="s">
        <v>447</v>
      </c>
      <c r="D33" s="679" t="s">
        <v>447</v>
      </c>
      <c r="E33" s="679" t="s">
        <v>433</v>
      </c>
      <c r="F33" s="248">
        <v>35000000</v>
      </c>
      <c r="G33" s="248">
        <v>0</v>
      </c>
      <c r="H33" s="248">
        <v>0</v>
      </c>
      <c r="I33" s="248">
        <f t="shared" si="4"/>
        <v>35000</v>
      </c>
      <c r="J33" s="248">
        <f t="shared" si="5"/>
        <v>0</v>
      </c>
      <c r="K33" s="248">
        <f t="shared" si="6"/>
        <v>0</v>
      </c>
      <c r="U33" s="362" t="s">
        <v>463</v>
      </c>
      <c r="V33" s="362" t="s">
        <v>464</v>
      </c>
      <c r="W33" s="362" t="s">
        <v>447</v>
      </c>
      <c r="X33" s="679" t="s">
        <v>447</v>
      </c>
      <c r="Y33" s="248">
        <v>520000000</v>
      </c>
      <c r="Z33" s="248">
        <v>0</v>
      </c>
      <c r="AA33" s="248">
        <v>0</v>
      </c>
      <c r="AB33" s="248">
        <f t="shared" si="8"/>
        <v>520000</v>
      </c>
      <c r="AC33" s="248">
        <f t="shared" si="9"/>
        <v>0</v>
      </c>
      <c r="AD33" s="248">
        <f t="shared" si="10"/>
        <v>0</v>
      </c>
      <c r="AO33" s="1432" t="s">
        <v>438</v>
      </c>
      <c r="AP33" s="1433" t="s">
        <v>335</v>
      </c>
      <c r="AQ33" s="1432" t="s">
        <v>447</v>
      </c>
      <c r="AR33" s="1433" t="s">
        <v>447</v>
      </c>
      <c r="AS33" s="1434">
        <v>0</v>
      </c>
      <c r="AT33" s="1434">
        <v>0</v>
      </c>
      <c r="AU33" s="1434">
        <v>0</v>
      </c>
      <c r="AV33" s="1434">
        <f t="shared" si="12"/>
        <v>0</v>
      </c>
      <c r="AW33" s="1434">
        <f t="shared" si="13"/>
        <v>0</v>
      </c>
      <c r="AX33" s="1434">
        <f t="shared" si="14"/>
        <v>0</v>
      </c>
      <c r="BI33" s="1573" t="s">
        <v>438</v>
      </c>
      <c r="BJ33" s="1576" t="s">
        <v>335</v>
      </c>
      <c r="BK33" s="1573" t="s">
        <v>447</v>
      </c>
      <c r="BL33" s="1576" t="s">
        <v>447</v>
      </c>
      <c r="BM33" s="248">
        <v>0</v>
      </c>
      <c r="BN33" s="248">
        <v>0</v>
      </c>
      <c r="BO33" s="248">
        <v>0</v>
      </c>
      <c r="BP33" s="169">
        <f t="shared" si="16"/>
        <v>0</v>
      </c>
      <c r="BQ33" s="169">
        <f t="shared" si="17"/>
        <v>0</v>
      </c>
      <c r="BR33" s="169">
        <f t="shared" si="18"/>
        <v>0</v>
      </c>
    </row>
    <row r="34" spans="1:70" x14ac:dyDescent="0.25">
      <c r="A34" s="362" t="s">
        <v>674</v>
      </c>
      <c r="B34" s="679" t="s">
        <v>675</v>
      </c>
      <c r="C34" s="362" t="s">
        <v>447</v>
      </c>
      <c r="D34" s="679" t="s">
        <v>447</v>
      </c>
      <c r="E34" s="679" t="s">
        <v>433</v>
      </c>
      <c r="F34" s="248">
        <v>50000000</v>
      </c>
      <c r="G34" s="248">
        <v>0</v>
      </c>
      <c r="H34" s="248">
        <v>0</v>
      </c>
      <c r="I34" s="248">
        <f t="shared" si="4"/>
        <v>50000</v>
      </c>
      <c r="J34" s="248">
        <f t="shared" si="5"/>
        <v>0</v>
      </c>
      <c r="K34" s="248">
        <f t="shared" si="6"/>
        <v>0</v>
      </c>
      <c r="U34" s="362" t="s">
        <v>465</v>
      </c>
      <c r="V34" s="362" t="s">
        <v>466</v>
      </c>
      <c r="W34" s="362" t="s">
        <v>447</v>
      </c>
      <c r="X34" s="679" t="s">
        <v>447</v>
      </c>
      <c r="Y34" s="248">
        <v>300292000</v>
      </c>
      <c r="Z34" s="248">
        <v>0</v>
      </c>
      <c r="AA34" s="248">
        <v>0</v>
      </c>
      <c r="AB34" s="248">
        <f t="shared" si="8"/>
        <v>300292</v>
      </c>
      <c r="AC34" s="248">
        <f t="shared" si="9"/>
        <v>0</v>
      </c>
      <c r="AD34" s="248">
        <f t="shared" si="10"/>
        <v>0</v>
      </c>
      <c r="AO34" s="1432" t="s">
        <v>438</v>
      </c>
      <c r="AP34" s="1433" t="s">
        <v>335</v>
      </c>
      <c r="AQ34" s="1432" t="s">
        <v>499</v>
      </c>
      <c r="AR34" s="1433" t="s">
        <v>632</v>
      </c>
      <c r="AS34" s="1434">
        <v>0</v>
      </c>
      <c r="AT34" s="1434">
        <v>247263100</v>
      </c>
      <c r="AU34" s="1434">
        <v>149200000</v>
      </c>
      <c r="AV34" s="1434">
        <f t="shared" si="12"/>
        <v>0</v>
      </c>
      <c r="AW34" s="1434">
        <f t="shared" si="13"/>
        <v>247263.1</v>
      </c>
      <c r="AX34" s="1434">
        <f t="shared" si="14"/>
        <v>149200</v>
      </c>
      <c r="BI34" s="1573" t="s">
        <v>438</v>
      </c>
      <c r="BJ34" s="1576" t="s">
        <v>335</v>
      </c>
      <c r="BK34" s="1573" t="s">
        <v>462</v>
      </c>
      <c r="BL34" s="1576" t="s">
        <v>633</v>
      </c>
      <c r="BM34" s="248">
        <v>0</v>
      </c>
      <c r="BN34" s="248">
        <v>85000000</v>
      </c>
      <c r="BO34" s="248">
        <v>85000000</v>
      </c>
      <c r="BP34" s="169">
        <f t="shared" si="16"/>
        <v>0</v>
      </c>
      <c r="BQ34" s="169">
        <f t="shared" si="17"/>
        <v>85000</v>
      </c>
      <c r="BR34" s="169">
        <f t="shared" si="18"/>
        <v>85000</v>
      </c>
    </row>
    <row r="35" spans="1:70" x14ac:dyDescent="0.25">
      <c r="A35" s="362" t="s">
        <v>452</v>
      </c>
      <c r="B35" s="679" t="s">
        <v>128</v>
      </c>
      <c r="C35" s="362" t="s">
        <v>447</v>
      </c>
      <c r="D35" s="679" t="s">
        <v>447</v>
      </c>
      <c r="E35" s="679" t="s">
        <v>433</v>
      </c>
      <c r="F35" s="248">
        <v>10000</v>
      </c>
      <c r="G35" s="248">
        <v>0</v>
      </c>
      <c r="H35" s="248">
        <v>0</v>
      </c>
      <c r="I35" s="248">
        <f t="shared" si="4"/>
        <v>10</v>
      </c>
      <c r="J35" s="248">
        <f t="shared" si="5"/>
        <v>0</v>
      </c>
      <c r="K35" s="248">
        <f t="shared" si="6"/>
        <v>0</v>
      </c>
      <c r="U35" s="362" t="s">
        <v>465</v>
      </c>
      <c r="V35" s="362" t="s">
        <v>466</v>
      </c>
      <c r="W35" s="362" t="s">
        <v>447</v>
      </c>
      <c r="X35" s="679" t="s">
        <v>447</v>
      </c>
      <c r="Y35" s="248">
        <v>0</v>
      </c>
      <c r="Z35" s="248">
        <v>130476599</v>
      </c>
      <c r="AA35" s="248">
        <v>19511238</v>
      </c>
      <c r="AB35" s="248">
        <f t="shared" si="8"/>
        <v>0</v>
      </c>
      <c r="AC35" s="248">
        <f t="shared" si="9"/>
        <v>130476.599</v>
      </c>
      <c r="AD35" s="248">
        <f t="shared" si="10"/>
        <v>19511.238000000001</v>
      </c>
      <c r="AO35" s="1432" t="s">
        <v>463</v>
      </c>
      <c r="AP35" s="1433" t="s">
        <v>464</v>
      </c>
      <c r="AQ35" s="1432" t="s">
        <v>447</v>
      </c>
      <c r="AR35" s="1433" t="s">
        <v>447</v>
      </c>
      <c r="AS35" s="1434">
        <v>520000000</v>
      </c>
      <c r="AT35" s="1434">
        <v>0</v>
      </c>
      <c r="AU35" s="1434">
        <v>0</v>
      </c>
      <c r="AV35" s="1434">
        <f t="shared" si="12"/>
        <v>520000</v>
      </c>
      <c r="AW35" s="1434">
        <f t="shared" si="13"/>
        <v>0</v>
      </c>
      <c r="AX35" s="1434">
        <f t="shared" si="14"/>
        <v>0</v>
      </c>
      <c r="BI35" s="1573" t="s">
        <v>438</v>
      </c>
      <c r="BJ35" s="1576" t="s">
        <v>335</v>
      </c>
      <c r="BK35" s="1573" t="s">
        <v>447</v>
      </c>
      <c r="BL35" s="1576" t="s">
        <v>447</v>
      </c>
      <c r="BM35" s="248">
        <v>0</v>
      </c>
      <c r="BN35" s="248">
        <v>0</v>
      </c>
      <c r="BO35" s="248">
        <v>0</v>
      </c>
      <c r="BP35" s="169">
        <f t="shared" si="16"/>
        <v>0</v>
      </c>
      <c r="BQ35" s="169">
        <f t="shared" si="17"/>
        <v>0</v>
      </c>
      <c r="BR35" s="169">
        <f t="shared" si="18"/>
        <v>0</v>
      </c>
    </row>
    <row r="36" spans="1:70" x14ac:dyDescent="0.25">
      <c r="A36" s="362" t="s">
        <v>452</v>
      </c>
      <c r="B36" s="679" t="s">
        <v>128</v>
      </c>
      <c r="C36" s="362" t="s">
        <v>447</v>
      </c>
      <c r="D36" s="679" t="s">
        <v>447</v>
      </c>
      <c r="E36" s="679" t="s">
        <v>433</v>
      </c>
      <c r="F36" s="248">
        <v>0</v>
      </c>
      <c r="G36" s="248">
        <v>696449256</v>
      </c>
      <c r="H36" s="248">
        <v>696449256</v>
      </c>
      <c r="I36" s="248">
        <f t="shared" si="4"/>
        <v>0</v>
      </c>
      <c r="J36" s="248">
        <f t="shared" si="5"/>
        <v>696449.25600000005</v>
      </c>
      <c r="K36" s="248">
        <f t="shared" si="6"/>
        <v>696449.25600000005</v>
      </c>
      <c r="U36" s="362" t="s">
        <v>534</v>
      </c>
      <c r="V36" s="362" t="s">
        <v>537</v>
      </c>
      <c r="W36" s="362" t="s">
        <v>447</v>
      </c>
      <c r="X36" s="679" t="s">
        <v>447</v>
      </c>
      <c r="Y36" s="248">
        <v>278933000</v>
      </c>
      <c r="Z36" s="248">
        <v>0</v>
      </c>
      <c r="AA36" s="248">
        <v>0</v>
      </c>
      <c r="AB36" s="248">
        <f t="shared" si="8"/>
        <v>278933</v>
      </c>
      <c r="AC36" s="248">
        <f t="shared" si="9"/>
        <v>0</v>
      </c>
      <c r="AD36" s="248">
        <f t="shared" si="10"/>
        <v>0</v>
      </c>
      <c r="AO36" s="1432" t="s">
        <v>465</v>
      </c>
      <c r="AP36" s="1433" t="s">
        <v>466</v>
      </c>
      <c r="AQ36" s="1432" t="s">
        <v>447</v>
      </c>
      <c r="AR36" s="1433" t="s">
        <v>447</v>
      </c>
      <c r="AS36" s="1434">
        <v>300292000</v>
      </c>
      <c r="AT36" s="1434">
        <v>0</v>
      </c>
      <c r="AU36" s="1434">
        <v>0</v>
      </c>
      <c r="AV36" s="1434">
        <f t="shared" si="12"/>
        <v>300292</v>
      </c>
      <c r="AW36" s="1434">
        <f t="shared" si="13"/>
        <v>0</v>
      </c>
      <c r="AX36" s="1434">
        <f t="shared" si="14"/>
        <v>0</v>
      </c>
      <c r="BI36" s="1573" t="s">
        <v>438</v>
      </c>
      <c r="BJ36" s="1576" t="s">
        <v>335</v>
      </c>
      <c r="BK36" s="1573" t="s">
        <v>447</v>
      </c>
      <c r="BL36" s="1576" t="s">
        <v>447</v>
      </c>
      <c r="BM36" s="248">
        <v>0</v>
      </c>
      <c r="BN36" s="248">
        <v>0</v>
      </c>
      <c r="BO36" s="248">
        <v>0</v>
      </c>
      <c r="BP36" s="169">
        <f t="shared" si="16"/>
        <v>0</v>
      </c>
      <c r="BQ36" s="169">
        <f t="shared" si="17"/>
        <v>0</v>
      </c>
      <c r="BR36" s="169">
        <f t="shared" si="18"/>
        <v>0</v>
      </c>
    </row>
    <row r="37" spans="1:70" x14ac:dyDescent="0.25">
      <c r="U37" s="362" t="s">
        <v>534</v>
      </c>
      <c r="V37" s="362" t="s">
        <v>537</v>
      </c>
      <c r="W37" s="362" t="s">
        <v>447</v>
      </c>
      <c r="X37" s="679" t="s">
        <v>447</v>
      </c>
      <c r="Y37" s="248">
        <v>0</v>
      </c>
      <c r="Z37" s="248">
        <v>6750000</v>
      </c>
      <c r="AA37" s="248">
        <v>0</v>
      </c>
      <c r="AB37" s="248">
        <f t="shared" si="8"/>
        <v>0</v>
      </c>
      <c r="AC37" s="248">
        <f t="shared" si="9"/>
        <v>6750</v>
      </c>
      <c r="AD37" s="248">
        <f t="shared" si="10"/>
        <v>0</v>
      </c>
      <c r="AO37" s="1432" t="s">
        <v>465</v>
      </c>
      <c r="AP37" s="1433" t="s">
        <v>466</v>
      </c>
      <c r="AQ37" s="1432" t="s">
        <v>447</v>
      </c>
      <c r="AR37" s="1433" t="s">
        <v>447</v>
      </c>
      <c r="AS37" s="1434">
        <v>0</v>
      </c>
      <c r="AT37" s="1434">
        <v>130476599</v>
      </c>
      <c r="AU37" s="1434">
        <v>68269825</v>
      </c>
      <c r="AV37" s="1434">
        <f t="shared" si="12"/>
        <v>0</v>
      </c>
      <c r="AW37" s="1434">
        <f t="shared" si="13"/>
        <v>130476.599</v>
      </c>
      <c r="AX37" s="1434">
        <f t="shared" si="14"/>
        <v>68269.824999999997</v>
      </c>
      <c r="BI37" s="1573" t="s">
        <v>438</v>
      </c>
      <c r="BJ37" s="1576" t="s">
        <v>335</v>
      </c>
      <c r="BK37" s="1573" t="s">
        <v>499</v>
      </c>
      <c r="BL37" s="1576" t="s">
        <v>632</v>
      </c>
      <c r="BM37" s="248">
        <v>0</v>
      </c>
      <c r="BN37" s="248">
        <v>258663100</v>
      </c>
      <c r="BO37" s="248">
        <v>149200000</v>
      </c>
      <c r="BP37" s="169">
        <f t="shared" si="16"/>
        <v>0</v>
      </c>
      <c r="BQ37" s="169">
        <f t="shared" si="17"/>
        <v>258663.1</v>
      </c>
      <c r="BR37" s="169">
        <f t="shared" si="18"/>
        <v>149200</v>
      </c>
    </row>
    <row r="38" spans="1:70" x14ac:dyDescent="0.25">
      <c r="U38" s="362" t="s">
        <v>672</v>
      </c>
      <c r="V38" s="362" t="s">
        <v>673</v>
      </c>
      <c r="W38" s="362" t="s">
        <v>447</v>
      </c>
      <c r="X38" s="679" t="s">
        <v>447</v>
      </c>
      <c r="Y38" s="248">
        <v>35000000</v>
      </c>
      <c r="Z38" s="248">
        <v>0</v>
      </c>
      <c r="AA38" s="248">
        <v>0</v>
      </c>
      <c r="AB38" s="248">
        <f t="shared" si="8"/>
        <v>35000</v>
      </c>
      <c r="AC38" s="248">
        <f t="shared" si="9"/>
        <v>0</v>
      </c>
      <c r="AD38" s="248">
        <f t="shared" si="10"/>
        <v>0</v>
      </c>
      <c r="AO38" s="1432" t="s">
        <v>534</v>
      </c>
      <c r="AP38" s="1433" t="s">
        <v>537</v>
      </c>
      <c r="AQ38" s="1432" t="s">
        <v>447</v>
      </c>
      <c r="AR38" s="1433" t="s">
        <v>447</v>
      </c>
      <c r="AS38" s="1434">
        <v>278933000</v>
      </c>
      <c r="AT38" s="1434">
        <v>0</v>
      </c>
      <c r="AU38" s="1434">
        <v>0</v>
      </c>
      <c r="AV38" s="1434">
        <f t="shared" si="12"/>
        <v>278933</v>
      </c>
      <c r="AW38" s="1434">
        <f t="shared" si="13"/>
        <v>0</v>
      </c>
      <c r="AX38" s="1434">
        <f t="shared" si="14"/>
        <v>0</v>
      </c>
      <c r="BI38" s="1573" t="s">
        <v>463</v>
      </c>
      <c r="BJ38" s="1576" t="s">
        <v>464</v>
      </c>
      <c r="BK38" s="1573" t="s">
        <v>447</v>
      </c>
      <c r="BL38" s="1576" t="s">
        <v>447</v>
      </c>
      <c r="BM38" s="248">
        <v>520000000</v>
      </c>
      <c r="BN38" s="248">
        <v>0</v>
      </c>
      <c r="BO38" s="248">
        <v>0</v>
      </c>
      <c r="BP38" s="169">
        <f t="shared" si="16"/>
        <v>520000</v>
      </c>
      <c r="BQ38" s="169">
        <f t="shared" si="17"/>
        <v>0</v>
      </c>
      <c r="BR38" s="169">
        <f t="shared" si="18"/>
        <v>0</v>
      </c>
    </row>
    <row r="39" spans="1:70" x14ac:dyDescent="0.25">
      <c r="U39" s="362" t="s">
        <v>674</v>
      </c>
      <c r="V39" s="362" t="s">
        <v>675</v>
      </c>
      <c r="W39" s="362" t="s">
        <v>447</v>
      </c>
      <c r="X39" s="679" t="s">
        <v>447</v>
      </c>
      <c r="Y39" s="248">
        <v>50000000</v>
      </c>
      <c r="Z39" s="248">
        <v>0</v>
      </c>
      <c r="AA39" s="248">
        <v>0</v>
      </c>
      <c r="AB39" s="248">
        <f t="shared" si="8"/>
        <v>50000</v>
      </c>
      <c r="AC39" s="248">
        <f t="shared" si="9"/>
        <v>0</v>
      </c>
      <c r="AD39" s="248">
        <f t="shared" si="10"/>
        <v>0</v>
      </c>
      <c r="AO39" s="1432" t="s">
        <v>534</v>
      </c>
      <c r="AP39" s="1433" t="s">
        <v>537</v>
      </c>
      <c r="AQ39" s="1432" t="s">
        <v>447</v>
      </c>
      <c r="AR39" s="1433" t="s">
        <v>447</v>
      </c>
      <c r="AS39" s="1434">
        <v>0</v>
      </c>
      <c r="AT39" s="1434">
        <v>6750000</v>
      </c>
      <c r="AU39" s="1434">
        <v>0</v>
      </c>
      <c r="AV39" s="1434">
        <f t="shared" si="12"/>
        <v>0</v>
      </c>
      <c r="AW39" s="1434">
        <f t="shared" si="13"/>
        <v>6750</v>
      </c>
      <c r="AX39" s="1434">
        <f t="shared" si="14"/>
        <v>0</v>
      </c>
      <c r="BI39" s="1573" t="s">
        <v>465</v>
      </c>
      <c r="BJ39" s="1576" t="s">
        <v>466</v>
      </c>
      <c r="BK39" s="1573" t="s">
        <v>447</v>
      </c>
      <c r="BL39" s="1576" t="s">
        <v>447</v>
      </c>
      <c r="BM39" s="248">
        <v>300292000</v>
      </c>
      <c r="BN39" s="248">
        <v>0</v>
      </c>
      <c r="BO39" s="248">
        <v>0</v>
      </c>
      <c r="BP39" s="169">
        <f t="shared" si="16"/>
        <v>300292</v>
      </c>
      <c r="BQ39" s="169">
        <f t="shared" si="17"/>
        <v>0</v>
      </c>
      <c r="BR39" s="169">
        <f t="shared" si="18"/>
        <v>0</v>
      </c>
    </row>
    <row r="40" spans="1:70" x14ac:dyDescent="0.25">
      <c r="U40" s="362" t="s">
        <v>452</v>
      </c>
      <c r="V40" s="362" t="s">
        <v>128</v>
      </c>
      <c r="W40" s="362" t="s">
        <v>447</v>
      </c>
      <c r="X40" s="679" t="s">
        <v>447</v>
      </c>
      <c r="Y40" s="248">
        <v>10000</v>
      </c>
      <c r="Z40" s="248">
        <v>0</v>
      </c>
      <c r="AA40" s="248">
        <v>0</v>
      </c>
      <c r="AB40" s="248">
        <f t="shared" si="8"/>
        <v>10</v>
      </c>
      <c r="AC40" s="248">
        <f t="shared" si="9"/>
        <v>0</v>
      </c>
      <c r="AD40" s="248">
        <f t="shared" si="10"/>
        <v>0</v>
      </c>
      <c r="AO40" s="1432" t="s">
        <v>672</v>
      </c>
      <c r="AP40" s="1433" t="s">
        <v>673</v>
      </c>
      <c r="AQ40" s="1432" t="s">
        <v>447</v>
      </c>
      <c r="AR40" s="1433" t="s">
        <v>447</v>
      </c>
      <c r="AS40" s="1434">
        <v>35000000</v>
      </c>
      <c r="AT40" s="1434">
        <v>0</v>
      </c>
      <c r="AU40" s="1434">
        <v>0</v>
      </c>
      <c r="AV40" s="1434">
        <f t="shared" si="12"/>
        <v>35000</v>
      </c>
      <c r="AW40" s="1434">
        <f t="shared" si="13"/>
        <v>0</v>
      </c>
      <c r="AX40" s="1434">
        <f t="shared" si="14"/>
        <v>0</v>
      </c>
      <c r="BI40" s="1573" t="s">
        <v>465</v>
      </c>
      <c r="BJ40" s="1576" t="s">
        <v>466</v>
      </c>
      <c r="BK40" s="1573" t="s">
        <v>447</v>
      </c>
      <c r="BL40" s="1576" t="s">
        <v>447</v>
      </c>
      <c r="BM40" s="248">
        <v>0</v>
      </c>
      <c r="BN40" s="248">
        <v>173893030</v>
      </c>
      <c r="BO40" s="248">
        <v>68269825</v>
      </c>
      <c r="BP40" s="169">
        <f t="shared" si="16"/>
        <v>0</v>
      </c>
      <c r="BQ40" s="169">
        <f t="shared" si="17"/>
        <v>173893.03</v>
      </c>
      <c r="BR40" s="169">
        <f t="shared" si="18"/>
        <v>68269.824999999997</v>
      </c>
    </row>
    <row r="41" spans="1:70" x14ac:dyDescent="0.25">
      <c r="U41" s="362" t="s">
        <v>452</v>
      </c>
      <c r="V41" s="362" t="s">
        <v>128</v>
      </c>
      <c r="W41" s="362" t="s">
        <v>447</v>
      </c>
      <c r="X41" s="679" t="s">
        <v>447</v>
      </c>
      <c r="Y41" s="248">
        <v>0</v>
      </c>
      <c r="Z41" s="248">
        <v>696449256</v>
      </c>
      <c r="AA41" s="248">
        <v>696449256</v>
      </c>
      <c r="AB41" s="248">
        <f t="shared" si="8"/>
        <v>0</v>
      </c>
      <c r="AC41" s="248">
        <f t="shared" si="9"/>
        <v>696449.25600000005</v>
      </c>
      <c r="AD41" s="248">
        <f t="shared" si="10"/>
        <v>696449.25600000005</v>
      </c>
      <c r="AO41" s="1432" t="s">
        <v>674</v>
      </c>
      <c r="AP41" s="1433" t="s">
        <v>675</v>
      </c>
      <c r="AQ41" s="1432" t="s">
        <v>447</v>
      </c>
      <c r="AR41" s="1433" t="s">
        <v>447</v>
      </c>
      <c r="AS41" s="1434">
        <v>50000000</v>
      </c>
      <c r="AT41" s="1434">
        <v>0</v>
      </c>
      <c r="AU41" s="1434">
        <v>0</v>
      </c>
      <c r="AV41" s="1434">
        <f t="shared" si="12"/>
        <v>50000</v>
      </c>
      <c r="AW41" s="1434">
        <f t="shared" si="13"/>
        <v>0</v>
      </c>
      <c r="AX41" s="1434">
        <f t="shared" si="14"/>
        <v>0</v>
      </c>
      <c r="BI41" s="1573" t="s">
        <v>534</v>
      </c>
      <c r="BJ41" s="1576" t="s">
        <v>537</v>
      </c>
      <c r="BK41" s="1573" t="s">
        <v>447</v>
      </c>
      <c r="BL41" s="1576" t="s">
        <v>447</v>
      </c>
      <c r="BM41" s="248">
        <v>278933000</v>
      </c>
      <c r="BN41" s="248">
        <v>0</v>
      </c>
      <c r="BO41" s="248">
        <v>0</v>
      </c>
      <c r="BP41" s="169">
        <f t="shared" si="16"/>
        <v>278933</v>
      </c>
      <c r="BQ41" s="169">
        <f t="shared" si="17"/>
        <v>0</v>
      </c>
      <c r="BR41" s="169">
        <f t="shared" si="18"/>
        <v>0</v>
      </c>
    </row>
    <row r="42" spans="1:70" x14ac:dyDescent="0.25">
      <c r="AO42" s="1432" t="s">
        <v>452</v>
      </c>
      <c r="AP42" s="1433" t="s">
        <v>128</v>
      </c>
      <c r="AQ42" s="1432" t="s">
        <v>447</v>
      </c>
      <c r="AR42" s="1433" t="s">
        <v>447</v>
      </c>
      <c r="AS42" s="1434">
        <v>696450000</v>
      </c>
      <c r="AT42" s="1434">
        <v>0</v>
      </c>
      <c r="AU42" s="1434">
        <v>0</v>
      </c>
      <c r="AV42" s="1434">
        <f t="shared" si="12"/>
        <v>696450</v>
      </c>
      <c r="AW42" s="1434">
        <f t="shared" si="13"/>
        <v>0</v>
      </c>
      <c r="AX42" s="1434">
        <f t="shared" si="14"/>
        <v>0</v>
      </c>
      <c r="BI42" s="1573" t="s">
        <v>534</v>
      </c>
      <c r="BJ42" s="1576" t="s">
        <v>537</v>
      </c>
      <c r="BK42" s="1573" t="s">
        <v>447</v>
      </c>
      <c r="BL42" s="1576" t="s">
        <v>447</v>
      </c>
      <c r="BM42" s="248">
        <v>0</v>
      </c>
      <c r="BN42" s="248">
        <v>6750000</v>
      </c>
      <c r="BO42" s="248">
        <v>0</v>
      </c>
      <c r="BP42" s="169">
        <f t="shared" si="16"/>
        <v>0</v>
      </c>
      <c r="BQ42" s="169">
        <f t="shared" si="17"/>
        <v>6750</v>
      </c>
      <c r="BR42" s="169">
        <f t="shared" si="18"/>
        <v>0</v>
      </c>
    </row>
    <row r="43" spans="1:70" x14ac:dyDescent="0.25">
      <c r="AO43" s="1432" t="s">
        <v>452</v>
      </c>
      <c r="AP43" s="1433" t="s">
        <v>128</v>
      </c>
      <c r="AQ43" s="1432" t="s">
        <v>447</v>
      </c>
      <c r="AR43" s="1433" t="s">
        <v>447</v>
      </c>
      <c r="AS43" s="1434">
        <v>0</v>
      </c>
      <c r="AT43" s="1434">
        <v>696449256</v>
      </c>
      <c r="AU43" s="1434">
        <v>696449256</v>
      </c>
      <c r="AV43" s="1434">
        <f t="shared" si="12"/>
        <v>0</v>
      </c>
      <c r="AW43" s="1434">
        <f t="shared" si="13"/>
        <v>696449.25600000005</v>
      </c>
      <c r="AX43" s="1434">
        <f t="shared" si="14"/>
        <v>696449.25600000005</v>
      </c>
      <c r="BI43" s="1573" t="s">
        <v>672</v>
      </c>
      <c r="BJ43" s="1576" t="s">
        <v>673</v>
      </c>
      <c r="BK43" s="1573" t="s">
        <v>447</v>
      </c>
      <c r="BL43" s="1576" t="s">
        <v>447</v>
      </c>
      <c r="BM43" s="248">
        <v>35000000</v>
      </c>
      <c r="BN43" s="248">
        <v>0</v>
      </c>
      <c r="BO43" s="248">
        <v>0</v>
      </c>
      <c r="BP43" s="169">
        <f t="shared" si="16"/>
        <v>35000</v>
      </c>
      <c r="BQ43" s="169">
        <f t="shared" si="17"/>
        <v>0</v>
      </c>
      <c r="BR43" s="169">
        <f t="shared" si="18"/>
        <v>0</v>
      </c>
    </row>
    <row r="44" spans="1:70" x14ac:dyDescent="0.25">
      <c r="AO44" s="1435"/>
      <c r="AP44" s="1437"/>
      <c r="AQ44" s="1435"/>
      <c r="AR44" s="1437"/>
      <c r="AS44" s="1435"/>
      <c r="AT44" s="1435"/>
      <c r="AU44" s="1435"/>
      <c r="BI44" s="1573" t="s">
        <v>674</v>
      </c>
      <c r="BJ44" s="1576" t="s">
        <v>675</v>
      </c>
      <c r="BK44" s="1573" t="s">
        <v>447</v>
      </c>
      <c r="BL44" s="1576" t="s">
        <v>447</v>
      </c>
      <c r="BM44" s="248">
        <v>50000000</v>
      </c>
      <c r="BN44" s="248">
        <v>0</v>
      </c>
      <c r="BO44" s="248">
        <v>0</v>
      </c>
      <c r="BP44" s="169">
        <f t="shared" si="16"/>
        <v>50000</v>
      </c>
      <c r="BQ44" s="169">
        <f t="shared" si="17"/>
        <v>0</v>
      </c>
      <c r="BR44" s="169">
        <f t="shared" si="18"/>
        <v>0</v>
      </c>
    </row>
    <row r="45" spans="1:70" x14ac:dyDescent="0.25">
      <c r="BI45" s="1573" t="s">
        <v>452</v>
      </c>
      <c r="BJ45" s="1576" t="s">
        <v>128</v>
      </c>
      <c r="BK45" s="1573" t="s">
        <v>447</v>
      </c>
      <c r="BL45" s="1576" t="s">
        <v>447</v>
      </c>
      <c r="BM45" s="248">
        <v>696450000</v>
      </c>
      <c r="BN45" s="248">
        <v>0</v>
      </c>
      <c r="BO45" s="248">
        <v>0</v>
      </c>
      <c r="BP45" s="169">
        <f t="shared" si="16"/>
        <v>696450</v>
      </c>
      <c r="BQ45" s="169">
        <f t="shared" si="17"/>
        <v>0</v>
      </c>
      <c r="BR45" s="169">
        <f t="shared" si="18"/>
        <v>0</v>
      </c>
    </row>
    <row r="46" spans="1:70" x14ac:dyDescent="0.25">
      <c r="BI46" s="1573" t="s">
        <v>452</v>
      </c>
      <c r="BJ46" s="1576" t="s">
        <v>128</v>
      </c>
      <c r="BK46" s="1573" t="s">
        <v>447</v>
      </c>
      <c r="BL46" s="1576" t="s">
        <v>447</v>
      </c>
      <c r="BM46" s="248">
        <v>0</v>
      </c>
      <c r="BN46" s="248">
        <v>696449256</v>
      </c>
      <c r="BO46" s="248">
        <v>696449256</v>
      </c>
      <c r="BP46" s="169">
        <f t="shared" si="16"/>
        <v>0</v>
      </c>
      <c r="BQ46" s="169">
        <f t="shared" si="17"/>
        <v>696449.25600000005</v>
      </c>
      <c r="BR46" s="169">
        <f t="shared" si="18"/>
        <v>696449.25600000005</v>
      </c>
    </row>
  </sheetData>
  <mergeCells count="5">
    <mergeCell ref="AO1:AV1"/>
    <mergeCell ref="AG1:AK1"/>
    <mergeCell ref="A1:E1"/>
    <mergeCell ref="M1:Q1"/>
    <mergeCell ref="U1:AA1"/>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9A46"/>
    <pageSetUpPr fitToPage="1"/>
  </sheetPr>
  <dimension ref="A1:BD92"/>
  <sheetViews>
    <sheetView topLeftCell="A3" zoomScale="70" zoomScaleNormal="70" workbookViewId="0">
      <pane xSplit="1" ySplit="8" topLeftCell="B11" activePane="bottomRight" state="frozen"/>
      <selection activeCell="H72" sqref="H72"/>
      <selection pane="topRight" activeCell="H72" sqref="H72"/>
      <selection pane="bottomLeft" activeCell="H72" sqref="H72"/>
      <selection pane="bottomRight" activeCell="J48" sqref="J48"/>
    </sheetView>
  </sheetViews>
  <sheetFormatPr baseColWidth="10" defaultColWidth="11.42578125" defaultRowHeight="12.75" x14ac:dyDescent="0.2"/>
  <cols>
    <col min="1" max="1" width="4.28515625" style="77" customWidth="1"/>
    <col min="2" max="2" width="5.7109375" style="44" customWidth="1"/>
    <col min="3" max="3" width="6.28515625" style="45" bestFit="1" customWidth="1"/>
    <col min="4" max="4" width="5.7109375" style="46" customWidth="1"/>
    <col min="5" max="5" width="7.7109375" style="47" customWidth="1"/>
    <col min="6" max="6" width="13.140625" style="652" customWidth="1"/>
    <col min="7" max="7" width="54.7109375" style="48" customWidth="1"/>
    <col min="8" max="8" width="19.85546875" style="36" customWidth="1"/>
    <col min="9" max="9" width="19.7109375" style="36" customWidth="1"/>
    <col min="10" max="10" width="21.140625" style="36" customWidth="1"/>
    <col min="11" max="11" width="19.7109375" style="236" customWidth="1"/>
    <col min="12" max="12" width="19.7109375" style="66" customWidth="1"/>
    <col min="13" max="13" width="19.7109375" style="36" customWidth="1"/>
    <col min="14" max="14" width="19.7109375" style="228" customWidth="1"/>
    <col min="15" max="15" width="19.7109375" style="693" customWidth="1"/>
    <col min="16" max="16" width="18.7109375" style="36" customWidth="1"/>
    <col min="17" max="18" width="19.7109375" style="36" customWidth="1"/>
    <col min="19" max="19" width="18.140625" style="979" hidden="1" customWidth="1"/>
    <col min="20" max="21" width="18.140625" style="36" hidden="1" customWidth="1"/>
    <col min="22" max="24" width="19.7109375" style="36" hidden="1" customWidth="1"/>
    <col min="25" max="26" width="19.7109375" style="36" customWidth="1"/>
    <col min="27" max="34" width="19.7109375" style="36" hidden="1" customWidth="1"/>
    <col min="35" max="35" width="6.28515625" style="237" customWidth="1"/>
    <col min="36" max="36" width="11.85546875" style="1610" customWidth="1"/>
    <col min="37" max="37" width="34.7109375" style="1626" customWidth="1"/>
    <col min="38" max="38" width="24.5703125" style="1626" hidden="1" customWidth="1"/>
    <col min="39" max="39" width="21" style="1626" hidden="1" customWidth="1"/>
    <col min="40" max="40" width="21" style="237" customWidth="1"/>
    <col min="41" max="41" width="20.85546875" style="237" customWidth="1"/>
    <col min="42" max="42" width="17" style="237" customWidth="1"/>
    <col min="43" max="43" width="17" style="77" customWidth="1"/>
    <col min="44" max="56" width="11.42578125" style="77"/>
    <col min="57" max="16384" width="11.42578125" style="37"/>
  </cols>
  <sheetData>
    <row r="1" spans="2:43" s="77" customFormat="1" ht="20.100000000000001" customHeight="1" x14ac:dyDescent="0.2">
      <c r="B1" s="44"/>
      <c r="C1" s="45"/>
      <c r="D1" s="46"/>
      <c r="E1" s="47"/>
      <c r="F1" s="652"/>
      <c r="G1" s="48"/>
      <c r="H1" s="36"/>
      <c r="I1" s="36"/>
      <c r="J1" s="36"/>
      <c r="K1" s="236"/>
      <c r="L1" s="66"/>
      <c r="M1" s="36"/>
      <c r="N1" s="228"/>
      <c r="O1" s="693"/>
      <c r="P1" s="36"/>
      <c r="Q1" s="36"/>
      <c r="R1" s="36"/>
      <c r="S1" s="979"/>
      <c r="T1" s="36"/>
      <c r="U1" s="36"/>
      <c r="V1" s="36"/>
      <c r="W1" s="36"/>
      <c r="X1" s="36"/>
      <c r="Y1" s="36"/>
      <c r="Z1" s="36"/>
      <c r="AA1" s="36"/>
      <c r="AB1" s="36"/>
      <c r="AC1" s="36"/>
      <c r="AD1" s="36"/>
      <c r="AE1" s="36"/>
      <c r="AF1" s="36"/>
      <c r="AG1" s="36"/>
      <c r="AH1" s="36"/>
      <c r="AI1" s="237"/>
      <c r="AJ1" s="1610"/>
      <c r="AK1" s="1626"/>
      <c r="AL1" s="1626"/>
      <c r="AM1" s="1626"/>
      <c r="AN1" s="237"/>
      <c r="AO1" s="237"/>
      <c r="AP1" s="237"/>
    </row>
    <row r="2" spans="2:43" s="77" customFormat="1" ht="120" customHeight="1" x14ac:dyDescent="0.25">
      <c r="B2" s="327"/>
      <c r="C2" s="328"/>
      <c r="D2" s="329"/>
      <c r="E2" s="330"/>
      <c r="F2" s="646"/>
      <c r="I2" s="56"/>
      <c r="J2" s="56"/>
      <c r="K2" s="331"/>
      <c r="L2" s="347"/>
      <c r="M2" s="56"/>
      <c r="N2" s="348"/>
      <c r="O2" s="694"/>
      <c r="P2" s="569"/>
      <c r="Q2" s="569"/>
      <c r="R2" s="569"/>
      <c r="S2" s="980"/>
      <c r="T2" s="56"/>
      <c r="U2" s="56"/>
      <c r="V2" s="56"/>
      <c r="W2" s="56"/>
      <c r="X2" s="56"/>
      <c r="Y2" s="56"/>
      <c r="Z2" s="56"/>
      <c r="AA2" s="56"/>
      <c r="AB2" s="56"/>
      <c r="AC2" s="56"/>
      <c r="AD2" s="569"/>
      <c r="AE2" s="645"/>
      <c r="AF2" s="56"/>
      <c r="AG2" s="56"/>
      <c r="AH2" s="56"/>
      <c r="AI2" s="237"/>
      <c r="AJ2" s="1610"/>
      <c r="AK2" s="1626"/>
      <c r="AL2" s="1626"/>
      <c r="AM2" s="1626"/>
      <c r="AN2" s="237"/>
      <c r="AO2" s="237"/>
      <c r="AP2" s="237"/>
    </row>
    <row r="3" spans="2:43" s="75" customFormat="1" ht="19.5" customHeight="1" thickBot="1" x14ac:dyDescent="0.3"/>
    <row r="4" spans="2:43" s="312" customFormat="1" ht="21" customHeight="1" thickBot="1" x14ac:dyDescent="0.35">
      <c r="B4" s="1655" t="s">
        <v>850</v>
      </c>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799"/>
      <c r="AH4" s="804"/>
      <c r="AI4" s="588"/>
      <c r="AJ4" s="1612"/>
      <c r="AK4" s="1628"/>
      <c r="AL4" s="1628"/>
      <c r="AM4" s="1628"/>
      <c r="AN4" s="588"/>
      <c r="AO4" s="588"/>
      <c r="AP4" s="588"/>
    </row>
    <row r="5" spans="2:43" s="313" customFormat="1" ht="18" hidden="1" customHeight="1" x14ac:dyDescent="0.2">
      <c r="B5" s="659"/>
      <c r="C5" s="660"/>
      <c r="D5" s="660"/>
      <c r="E5" s="660"/>
      <c r="F5" s="660"/>
      <c r="G5" s="660"/>
      <c r="H5" s="660"/>
      <c r="I5" s="660"/>
      <c r="J5" s="660"/>
      <c r="K5" s="660"/>
      <c r="L5" s="660"/>
      <c r="M5" s="660"/>
      <c r="N5" s="660"/>
      <c r="O5" s="695"/>
      <c r="P5" s="660"/>
      <c r="Q5" s="660"/>
      <c r="R5" s="661"/>
      <c r="S5" s="981"/>
      <c r="T5" s="314"/>
      <c r="U5" s="314"/>
      <c r="V5" s="315"/>
      <c r="W5" s="315"/>
      <c r="X5" s="315"/>
      <c r="Y5" s="315"/>
      <c r="Z5" s="917"/>
      <c r="AA5" s="315"/>
      <c r="AB5" s="315"/>
      <c r="AC5" s="315"/>
      <c r="AD5" s="315"/>
      <c r="AE5" s="315"/>
      <c r="AF5" s="315"/>
      <c r="AG5" s="315"/>
      <c r="AH5" s="315"/>
      <c r="AI5" s="589"/>
      <c r="AJ5" s="1613"/>
      <c r="AK5" s="1628"/>
      <c r="AL5" s="1628"/>
      <c r="AM5" s="1628"/>
      <c r="AN5" s="589"/>
      <c r="AO5" s="589"/>
      <c r="AP5" s="589"/>
    </row>
    <row r="6" spans="2:43" s="313" customFormat="1" ht="21.75" hidden="1" customHeight="1" x14ac:dyDescent="0.25">
      <c r="B6" s="659"/>
      <c r="C6" s="660"/>
      <c r="D6" s="660"/>
      <c r="E6" s="660"/>
      <c r="F6" s="660"/>
      <c r="G6" s="660"/>
      <c r="H6" s="660"/>
      <c r="I6" s="660"/>
      <c r="J6" s="660"/>
      <c r="K6" s="660"/>
      <c r="L6" s="660"/>
      <c r="M6" s="660"/>
      <c r="N6" s="660"/>
      <c r="O6" s="695"/>
      <c r="P6" s="660"/>
      <c r="Q6" s="660"/>
      <c r="R6" s="661"/>
      <c r="S6" s="988" t="s">
        <v>273</v>
      </c>
      <c r="T6" s="315" t="s">
        <v>127</v>
      </c>
      <c r="U6" s="988" t="s">
        <v>273</v>
      </c>
      <c r="V6" s="315" t="s">
        <v>127</v>
      </c>
      <c r="W6" s="988" t="s">
        <v>273</v>
      </c>
      <c r="X6" s="315" t="s">
        <v>127</v>
      </c>
      <c r="Y6" s="988" t="s">
        <v>273</v>
      </c>
      <c r="Z6" s="315" t="s">
        <v>127</v>
      </c>
      <c r="AA6" s="315"/>
      <c r="AB6" s="315"/>
      <c r="AC6" s="315"/>
      <c r="AD6" s="315"/>
      <c r="AE6" s="315"/>
      <c r="AF6" s="315"/>
      <c r="AG6" s="315"/>
      <c r="AH6" s="315"/>
      <c r="AI6" s="589"/>
      <c r="AJ6" s="1613"/>
      <c r="AK6" s="1628"/>
      <c r="AL6" s="1628"/>
      <c r="AM6" s="1628"/>
      <c r="AN6" s="589"/>
      <c r="AO6" s="589"/>
      <c r="AP6" s="589"/>
    </row>
    <row r="7" spans="2:43" s="312" customFormat="1" ht="21" thickBot="1" x14ac:dyDescent="0.35">
      <c r="B7" s="1763" t="s">
        <v>143</v>
      </c>
      <c r="C7" s="1764"/>
      <c r="D7" s="1764"/>
      <c r="E7" s="1764"/>
      <c r="F7" s="1764"/>
      <c r="G7" s="1764"/>
      <c r="H7" s="1764"/>
      <c r="I7" s="1764"/>
      <c r="J7" s="1764"/>
      <c r="K7" s="1764"/>
      <c r="L7" s="1764"/>
      <c r="M7" s="1764"/>
      <c r="N7" s="1764"/>
      <c r="O7" s="1764"/>
      <c r="P7" s="1764"/>
      <c r="Q7" s="1764"/>
      <c r="R7" s="1764"/>
      <c r="S7" s="1764"/>
      <c r="T7" s="1764"/>
      <c r="U7" s="1764"/>
      <c r="V7" s="1764"/>
      <c r="W7" s="1764"/>
      <c r="X7" s="1764"/>
      <c r="Y7" s="1764"/>
      <c r="Z7" s="1764"/>
      <c r="AA7" s="1764"/>
      <c r="AB7" s="1764"/>
      <c r="AC7" s="1764"/>
      <c r="AD7" s="1764"/>
      <c r="AE7" s="1764"/>
      <c r="AF7" s="1764"/>
      <c r="AG7" s="363"/>
      <c r="AH7" s="805"/>
      <c r="AI7" s="591"/>
      <c r="AJ7" s="1612"/>
      <c r="AK7" s="1628"/>
      <c r="AL7" s="1628"/>
      <c r="AM7" s="1628"/>
      <c r="AN7" s="588"/>
      <c r="AO7" s="588"/>
      <c r="AP7" s="588"/>
    </row>
    <row r="8" spans="2:43" ht="18.75" thickBot="1" x14ac:dyDescent="0.3">
      <c r="B8" s="1741" t="s">
        <v>283</v>
      </c>
      <c r="C8" s="1742"/>
      <c r="D8" s="1742"/>
      <c r="E8" s="1742"/>
      <c r="F8" s="1742"/>
      <c r="G8" s="1742"/>
      <c r="H8" s="1767" t="s">
        <v>942</v>
      </c>
      <c r="I8" s="1750"/>
      <c r="J8" s="1750"/>
      <c r="K8" s="1750"/>
      <c r="L8" s="1750"/>
      <c r="M8" s="1750"/>
      <c r="N8" s="1750"/>
      <c r="O8" s="1751"/>
      <c r="P8" s="1745" t="s">
        <v>707</v>
      </c>
      <c r="Q8" s="1746"/>
      <c r="R8" s="1747"/>
      <c r="S8" s="1739"/>
      <c r="T8" s="1753"/>
      <c r="U8" s="1753"/>
      <c r="V8" s="1753"/>
      <c r="W8" s="1753"/>
      <c r="X8" s="1753"/>
      <c r="Y8" s="1753"/>
      <c r="Z8" s="1753"/>
      <c r="AA8" s="1753"/>
      <c r="AB8" s="1753"/>
      <c r="AC8" s="1753"/>
      <c r="AD8" s="1753"/>
      <c r="AE8" s="1753"/>
      <c r="AF8" s="1753"/>
      <c r="AG8" s="1753"/>
      <c r="AH8" s="1740"/>
      <c r="AI8" s="591"/>
    </row>
    <row r="9" spans="2:43" ht="16.5" thickBot="1" x14ac:dyDescent="0.3">
      <c r="B9" s="1743"/>
      <c r="C9" s="1744"/>
      <c r="D9" s="1744"/>
      <c r="E9" s="1744"/>
      <c r="F9" s="1744"/>
      <c r="G9" s="1744"/>
      <c r="H9" s="64" t="s">
        <v>130</v>
      </c>
      <c r="I9" s="51" t="s">
        <v>131</v>
      </c>
      <c r="J9" s="52" t="s">
        <v>132</v>
      </c>
      <c r="K9" s="51" t="s">
        <v>133</v>
      </c>
      <c r="L9" s="51" t="s">
        <v>789</v>
      </c>
      <c r="M9" s="201" t="s">
        <v>791</v>
      </c>
      <c r="N9" s="229" t="s">
        <v>790</v>
      </c>
      <c r="O9" s="696" t="s">
        <v>792</v>
      </c>
      <c r="P9" s="53" t="s">
        <v>130</v>
      </c>
      <c r="Q9" s="69" t="s">
        <v>131</v>
      </c>
      <c r="R9" s="53" t="s">
        <v>134</v>
      </c>
      <c r="S9" s="1768" t="s">
        <v>0</v>
      </c>
      <c r="T9" s="1769"/>
      <c r="U9" s="1770" t="s">
        <v>137</v>
      </c>
      <c r="V9" s="1771"/>
      <c r="W9" s="1770" t="s">
        <v>6</v>
      </c>
      <c r="X9" s="1772"/>
      <c r="Y9" s="1770" t="s">
        <v>7</v>
      </c>
      <c r="Z9" s="1771"/>
      <c r="AA9" s="1486" t="s">
        <v>8</v>
      </c>
      <c r="AB9" s="920" t="s">
        <v>9</v>
      </c>
      <c r="AC9" s="864" t="s">
        <v>79</v>
      </c>
      <c r="AD9" s="1486" t="s">
        <v>10</v>
      </c>
      <c r="AE9" s="920" t="s">
        <v>11</v>
      </c>
      <c r="AF9" s="864" t="s">
        <v>12</v>
      </c>
      <c r="AG9" s="1486" t="s">
        <v>13</v>
      </c>
      <c r="AH9" s="920" t="s">
        <v>14</v>
      </c>
    </row>
    <row r="10" spans="2:43" ht="57" customHeight="1" thickBot="1" x14ac:dyDescent="0.25">
      <c r="B10" s="1765"/>
      <c r="C10" s="1766"/>
      <c r="D10" s="1766"/>
      <c r="E10" s="1766"/>
      <c r="F10" s="1766"/>
      <c r="G10" s="1766"/>
      <c r="H10" s="357" t="s">
        <v>944</v>
      </c>
      <c r="I10" s="381" t="s">
        <v>943</v>
      </c>
      <c r="J10" s="358" t="s">
        <v>1019</v>
      </c>
      <c r="K10" s="527" t="s">
        <v>1020</v>
      </c>
      <c r="L10" s="270" t="s">
        <v>814</v>
      </c>
      <c r="M10" s="270" t="s">
        <v>813</v>
      </c>
      <c r="N10" s="270" t="s">
        <v>811</v>
      </c>
      <c r="O10" s="697" t="s">
        <v>812</v>
      </c>
      <c r="P10" s="610" t="s">
        <v>1030</v>
      </c>
      <c r="Q10" s="611" t="s">
        <v>1017</v>
      </c>
      <c r="R10" s="1600" t="s">
        <v>1018</v>
      </c>
      <c r="S10" s="1078" t="s">
        <v>941</v>
      </c>
      <c r="T10" s="128" t="s">
        <v>709</v>
      </c>
      <c r="U10" s="1078" t="s">
        <v>941</v>
      </c>
      <c r="V10" s="128" t="s">
        <v>709</v>
      </c>
      <c r="W10" s="1361" t="s">
        <v>941</v>
      </c>
      <c r="X10" s="1268" t="s">
        <v>709</v>
      </c>
      <c r="Y10" s="1377" t="s">
        <v>941</v>
      </c>
      <c r="Z10" s="128" t="s">
        <v>709</v>
      </c>
      <c r="AA10" s="308" t="s">
        <v>709</v>
      </c>
      <c r="AB10" s="140" t="s">
        <v>709</v>
      </c>
      <c r="AC10" s="382" t="s">
        <v>709</v>
      </c>
      <c r="AD10" s="389" t="s">
        <v>709</v>
      </c>
      <c r="AE10" s="223" t="s">
        <v>709</v>
      </c>
      <c r="AF10" s="391" t="s">
        <v>709</v>
      </c>
      <c r="AG10" s="308" t="s">
        <v>709</v>
      </c>
      <c r="AH10" s="223" t="s">
        <v>709</v>
      </c>
      <c r="AI10" s="657"/>
      <c r="AJ10" s="1625"/>
      <c r="AK10" s="1580"/>
      <c r="AL10" s="1580"/>
      <c r="AM10" s="1580"/>
      <c r="AN10" s="657"/>
      <c r="AO10" s="657"/>
      <c r="AP10" s="657"/>
    </row>
    <row r="11" spans="2:43" s="390" customFormat="1" ht="20.100000000000001" customHeight="1" x14ac:dyDescent="0.25">
      <c r="B11" s="1013" t="s">
        <v>91</v>
      </c>
      <c r="C11" s="1014" t="s">
        <v>92</v>
      </c>
      <c r="D11" s="1015" t="s">
        <v>93</v>
      </c>
      <c r="E11" s="1015" t="s">
        <v>94</v>
      </c>
      <c r="F11" s="1016"/>
      <c r="G11" s="1017" t="s">
        <v>144</v>
      </c>
      <c r="H11" s="1018">
        <f>+H12+H23+H25+H27+H29+H32+H52</f>
        <v>271469048</v>
      </c>
      <c r="I11" s="1019">
        <f>+I12+I29+I32+I52+I54+I25+I23</f>
        <v>271447243</v>
      </c>
      <c r="J11" s="1019">
        <f ca="1">+J12+J29+J32+J52+J54+J25+J23</f>
        <v>107574799.59900001</v>
      </c>
      <c r="K11" s="1020">
        <f ca="1">IFERROR(J11/I11,"0.00%")</f>
        <v>0.39630094750676842</v>
      </c>
      <c r="L11" s="1021">
        <f ca="1">+L12+L29+L32+L52+L54+L25+L23</f>
        <v>113941124.605</v>
      </c>
      <c r="M11" s="1020">
        <f ca="1">+IFERROR(L11/I11,0)</f>
        <v>0.41975421575749805</v>
      </c>
      <c r="N11" s="1022">
        <f t="shared" ref="N11:N24" ca="1" si="0">+I11-L11</f>
        <v>157506118.39499998</v>
      </c>
      <c r="O11" s="1023">
        <f ca="1">+IFERROR(N11/I11,0)</f>
        <v>0.58024578424250184</v>
      </c>
      <c r="P11" s="1018">
        <f>+P12+P23+P29+P32+P52+P54+P27+P25</f>
        <v>213358051.875</v>
      </c>
      <c r="Q11" s="1019">
        <f ca="1">+Q12+Q23+Q27+Q29+Q32+Q52+Q25</f>
        <v>101213162.70586899</v>
      </c>
      <c r="R11" s="1601">
        <f ca="1">IFERROR(Q11/P11,"0.00%")</f>
        <v>0.4743817344431262</v>
      </c>
      <c r="S11" s="1024">
        <f>+S12+S23+S25+S27+S29+S32+S52+S54</f>
        <v>5334671.1740000006</v>
      </c>
      <c r="T11" s="1025">
        <f>+T12+T32+T52</f>
        <v>45245804.607412994</v>
      </c>
      <c r="U11" s="1026">
        <f>+U12+U23+U25+U27+U29+U32+U52+U54</f>
        <v>66296129.201000005</v>
      </c>
      <c r="V11" s="1026">
        <f>+V12+V32+V52</f>
        <v>12986226.269500999</v>
      </c>
      <c r="W11" s="1475">
        <f>+W14+W23+W25+W29+W32+W52</f>
        <v>7465288.9120000005</v>
      </c>
      <c r="X11" s="1033">
        <f>+X14+X23+X25+X29+X32+X52</f>
        <v>36031620.538718998</v>
      </c>
      <c r="Y11" s="1027">
        <f>+Y12+Y29+Y32+Y52+Y54</f>
        <v>28478710.311999999</v>
      </c>
      <c r="Z11" s="1447">
        <f>+Z12+Z29+Z32+Z52+Z54</f>
        <v>6949511.290236</v>
      </c>
      <c r="AA11" s="1029">
        <f>+AA12+AA23+AA27+AA29+AA32+AA52</f>
        <v>3046676.2510000002</v>
      </c>
      <c r="AB11" s="1030">
        <f>+AB54+AB52+AB32+AB29+AB25+AB12</f>
        <v>3237627.6949999998</v>
      </c>
      <c r="AC11" s="1031">
        <f>+AC12+AC25+AC29+AC32+AC52</f>
        <v>14396727.232000001</v>
      </c>
      <c r="AD11" s="1027">
        <f>+AD12+AD23+AD27+AD29+AD32+AD52+AD54</f>
        <v>67027571.594000004</v>
      </c>
      <c r="AE11" s="1028">
        <f>+AE12+AE29+AE32+AE52+AE54</f>
        <v>7113176.9009999996</v>
      </c>
      <c r="AF11" s="1032">
        <f>+AF12+AF23+AF25+AF27+AF29+AF32+AF52+AF54</f>
        <v>14920395.665000001</v>
      </c>
      <c r="AG11" s="1033">
        <f>+AG12+AG29+AG32+AG52+AG54+AG23</f>
        <v>55170938.167999998</v>
      </c>
      <c r="AH11" s="1028">
        <f>+AH12+AH29+AH32+AH25+AH52+AH54+AH23+AH27</f>
        <v>57729162.658999994</v>
      </c>
      <c r="AI11" s="526"/>
      <c r="AJ11" s="1625"/>
      <c r="AK11" s="1580"/>
      <c r="AL11" s="1580"/>
      <c r="AM11" s="1580"/>
      <c r="AN11" s="657"/>
      <c r="AO11" s="657"/>
      <c r="AP11" s="657"/>
    </row>
    <row r="12" spans="2:43" s="390" customFormat="1" ht="15" customHeight="1" x14ac:dyDescent="0.25">
      <c r="B12" s="428" t="s">
        <v>1</v>
      </c>
      <c r="C12" s="136" t="s">
        <v>2</v>
      </c>
      <c r="D12" s="131"/>
      <c r="E12" s="457"/>
      <c r="F12" s="990"/>
      <c r="G12" s="498" t="s">
        <v>148</v>
      </c>
      <c r="H12" s="424">
        <f>+H13+H14</f>
        <v>78685773</v>
      </c>
      <c r="I12" s="420">
        <f>+I13+I14</f>
        <v>78685773</v>
      </c>
      <c r="J12" s="420">
        <f ca="1">+J13+J14</f>
        <v>75656466.807999998</v>
      </c>
      <c r="K12" s="133">
        <f ca="1">IFERROR(J12/I12,"0.00%")</f>
        <v>0.96150122091321388</v>
      </c>
      <c r="L12" s="231">
        <f>+L13+L14</f>
        <v>75818231.546000004</v>
      </c>
      <c r="M12" s="235">
        <f>+IFERROR(L12/I12,0)</f>
        <v>0.96355705301389116</v>
      </c>
      <c r="N12" s="231">
        <f t="shared" si="0"/>
        <v>2867541.4539999962</v>
      </c>
      <c r="O12" s="698">
        <f t="shared" ref="O12:O54" si="1">+IFERROR(N12/I12,0)</f>
        <v>3.6442946986108865E-2</v>
      </c>
      <c r="P12" s="424">
        <f>+P13+P14</f>
        <v>77918087.088</v>
      </c>
      <c r="Q12" s="420">
        <f>+Q13+Q14</f>
        <v>74916022.129740998</v>
      </c>
      <c r="R12" s="1602">
        <f>IFERROR(Q12/P12,"0.00%")</f>
        <v>0.96147152643944533</v>
      </c>
      <c r="S12" s="982">
        <f>+S13+S14</f>
        <v>17155.245999999999</v>
      </c>
      <c r="T12" s="425">
        <f>+T14</f>
        <v>39103154.351951994</v>
      </c>
      <c r="U12" s="475">
        <f>+U14+U13</f>
        <v>55424035.535999998</v>
      </c>
      <c r="V12" s="475">
        <f>+V14</f>
        <v>7883841.8084349995</v>
      </c>
      <c r="W12" s="460">
        <f>+W13+W14</f>
        <v>144005.80899999998</v>
      </c>
      <c r="X12" s="423">
        <f>+X13+X14</f>
        <v>27821098.644977</v>
      </c>
      <c r="Y12" s="433">
        <f t="shared" ref="Y12:AB12" si="2">+Y14</f>
        <v>20071270.217</v>
      </c>
      <c r="Z12" s="1440">
        <f t="shared" si="2"/>
        <v>107927.324377</v>
      </c>
      <c r="AA12" s="388">
        <f>+AA14+AA13</f>
        <v>462199.57500000001</v>
      </c>
      <c r="AB12" s="502">
        <f t="shared" si="2"/>
        <v>191966.253</v>
      </c>
      <c r="AC12" s="644">
        <f>+AC14</f>
        <v>130107.15100000001</v>
      </c>
      <c r="AD12" s="433">
        <f t="shared" ref="AD12:AG12" si="3">+AD13+AD14</f>
        <v>1158595.0499999998</v>
      </c>
      <c r="AE12" s="502">
        <f t="shared" si="3"/>
        <v>125250.969</v>
      </c>
      <c r="AF12" s="387">
        <f>+AF13+AF14</f>
        <v>670280.33799999999</v>
      </c>
      <c r="AG12" s="432">
        <f t="shared" si="3"/>
        <v>1880503.827</v>
      </c>
      <c r="AH12" s="502">
        <f>+AH14</f>
        <v>398964.17700000003</v>
      </c>
      <c r="AJ12" s="1625"/>
      <c r="AK12" s="1580"/>
      <c r="AL12" s="1580"/>
      <c r="AM12" s="1580"/>
      <c r="AN12" s="657"/>
      <c r="AO12" s="657"/>
      <c r="AP12" s="657"/>
    </row>
    <row r="13" spans="2:43" s="390" customFormat="1" ht="15" customHeight="1" x14ac:dyDescent="0.25">
      <c r="B13" s="428" t="s">
        <v>2</v>
      </c>
      <c r="C13" s="136">
        <v>2</v>
      </c>
      <c r="D13" s="131"/>
      <c r="E13" s="132"/>
      <c r="F13" s="990"/>
      <c r="G13" s="498" t="s">
        <v>86</v>
      </c>
      <c r="H13" s="424">
        <v>0</v>
      </c>
      <c r="I13" s="420">
        <v>0</v>
      </c>
      <c r="J13" s="420">
        <v>0</v>
      </c>
      <c r="K13" s="133" t="str">
        <f t="shared" ref="K13:K54" si="4">IFERROR(J13/I13,"0.00%")</f>
        <v>0.00%</v>
      </c>
      <c r="L13" s="231">
        <v>0</v>
      </c>
      <c r="M13" s="994">
        <f t="shared" ref="M13:M54" si="5">+IFERROR(L13/I13,0)</f>
        <v>0</v>
      </c>
      <c r="N13" s="231">
        <f t="shared" si="0"/>
        <v>0</v>
      </c>
      <c r="O13" s="698">
        <f t="shared" si="1"/>
        <v>0</v>
      </c>
      <c r="P13" s="424">
        <v>0</v>
      </c>
      <c r="Q13" s="420">
        <v>0</v>
      </c>
      <c r="R13" s="1602" t="str">
        <f t="shared" ref="R13:R54" si="6">IFERROR(Q13/P13,"0.00%")</f>
        <v>0.00%</v>
      </c>
      <c r="S13" s="982">
        <v>0</v>
      </c>
      <c r="T13" s="425">
        <v>0</v>
      </c>
      <c r="U13" s="475">
        <v>0</v>
      </c>
      <c r="V13" s="475">
        <v>0</v>
      </c>
      <c r="W13" s="460">
        <v>0</v>
      </c>
      <c r="X13" s="423">
        <v>0</v>
      </c>
      <c r="Y13" s="433">
        <v>0</v>
      </c>
      <c r="Z13" s="1440">
        <v>0</v>
      </c>
      <c r="AA13" s="388">
        <v>0</v>
      </c>
      <c r="AB13" s="502">
        <v>0</v>
      </c>
      <c r="AC13" s="644">
        <v>0</v>
      </c>
      <c r="AD13" s="433">
        <v>0</v>
      </c>
      <c r="AE13" s="502">
        <v>0</v>
      </c>
      <c r="AF13" s="387">
        <v>0</v>
      </c>
      <c r="AG13" s="433">
        <v>0</v>
      </c>
      <c r="AH13" s="502">
        <v>0</v>
      </c>
      <c r="AJ13" s="1625"/>
      <c r="AK13" s="1580"/>
      <c r="AL13" s="1580"/>
      <c r="AM13" s="1580"/>
      <c r="AN13" s="657"/>
      <c r="AO13" s="657"/>
      <c r="AP13" s="657"/>
    </row>
    <row r="14" spans="2:43" s="390" customFormat="1" ht="15" customHeight="1" x14ac:dyDescent="0.25">
      <c r="B14" s="428" t="s">
        <v>2</v>
      </c>
      <c r="C14" s="136">
        <v>3</v>
      </c>
      <c r="D14" s="131"/>
      <c r="E14" s="132"/>
      <c r="F14" s="990"/>
      <c r="G14" s="498" t="s">
        <v>314</v>
      </c>
      <c r="H14" s="424">
        <f>+H16+H15</f>
        <v>78685773</v>
      </c>
      <c r="I14" s="420">
        <f>+I16+I15</f>
        <v>78685773</v>
      </c>
      <c r="J14" s="420">
        <f ca="1">+J16+J15</f>
        <v>75656466.807999998</v>
      </c>
      <c r="K14" s="996">
        <f t="shared" ca="1" si="4"/>
        <v>0.96150122091321388</v>
      </c>
      <c r="L14" s="420">
        <f>+L16+L15</f>
        <v>75818231.546000004</v>
      </c>
      <c r="M14" s="994">
        <f t="shared" si="5"/>
        <v>0.96355705301389116</v>
      </c>
      <c r="N14" s="231">
        <f t="shared" si="0"/>
        <v>2867541.4539999962</v>
      </c>
      <c r="O14" s="698">
        <f t="shared" si="1"/>
        <v>3.6442946986108865E-2</v>
      </c>
      <c r="P14" s="424">
        <f>+P16+P15</f>
        <v>77918087.088</v>
      </c>
      <c r="Q14" s="420">
        <f>+Q15+Q16</f>
        <v>74916022.129740998</v>
      </c>
      <c r="R14" s="1602">
        <f t="shared" si="6"/>
        <v>0.96147152643944533</v>
      </c>
      <c r="S14" s="983">
        <f>+S15+S16</f>
        <v>17155.245999999999</v>
      </c>
      <c r="T14" s="425">
        <f>+SUM(T15+T16)</f>
        <v>39103154.351951994</v>
      </c>
      <c r="U14" s="475">
        <f>+SUM(U15+U16)</f>
        <v>55424035.535999998</v>
      </c>
      <c r="V14" s="475">
        <f>+SUM(V15+V16)</f>
        <v>7883841.8084349995</v>
      </c>
      <c r="W14" s="460">
        <f>+W15+W16</f>
        <v>144005.80899999998</v>
      </c>
      <c r="X14" s="423">
        <f>+X15+X16</f>
        <v>27821098.644977</v>
      </c>
      <c r="Y14" s="433">
        <f>+Y16+Y15</f>
        <v>20071270.217</v>
      </c>
      <c r="Z14" s="1440">
        <f>+Z16+Z15</f>
        <v>107927.324377</v>
      </c>
      <c r="AA14" s="388">
        <f>+AA16+AA15</f>
        <v>462199.57500000001</v>
      </c>
      <c r="AB14" s="502">
        <f t="shared" ref="AB14:AH14" si="7">+AB15+AB16</f>
        <v>191966.253</v>
      </c>
      <c r="AC14" s="644">
        <f t="shared" si="7"/>
        <v>130107.15100000001</v>
      </c>
      <c r="AD14" s="433">
        <f t="shared" si="7"/>
        <v>1158595.0499999998</v>
      </c>
      <c r="AE14" s="502">
        <f t="shared" si="7"/>
        <v>125250.969</v>
      </c>
      <c r="AF14" s="387">
        <f t="shared" si="7"/>
        <v>670280.33799999999</v>
      </c>
      <c r="AG14" s="433">
        <f>+AG15+AG16</f>
        <v>1880503.827</v>
      </c>
      <c r="AH14" s="502">
        <f t="shared" si="7"/>
        <v>398964.17700000003</v>
      </c>
      <c r="AJ14" s="1625"/>
      <c r="AK14" s="1580"/>
      <c r="AL14" s="1580"/>
      <c r="AM14" s="1580"/>
      <c r="AN14" s="657"/>
      <c r="AO14" s="657"/>
      <c r="AP14" s="657"/>
      <c r="AQ14" s="1630"/>
    </row>
    <row r="15" spans="2:43" s="489" customFormat="1" ht="15" customHeight="1" x14ac:dyDescent="0.25">
      <c r="B15" s="428" t="s">
        <v>2</v>
      </c>
      <c r="C15" s="136"/>
      <c r="D15" s="143">
        <v>403</v>
      </c>
      <c r="E15" s="143"/>
      <c r="F15" s="990" t="s">
        <v>219</v>
      </c>
      <c r="G15" s="498" t="s">
        <v>220</v>
      </c>
      <c r="H15" s="424">
        <f>+'P03 2023'!I3+'P03 2023'!I4</f>
        <v>74875016</v>
      </c>
      <c r="I15" s="420">
        <f>+'P03 2023'!BR3+'P03 2023'!BR4</f>
        <v>74875016</v>
      </c>
      <c r="J15" s="420">
        <f ca="1">SUMIF(S$6:$AH6,"ok",S15:AG15)</f>
        <v>74875005.333000004</v>
      </c>
      <c r="K15" s="996">
        <f t="shared" ca="1" si="4"/>
        <v>0.99999985753592369</v>
      </c>
      <c r="L15" s="420">
        <f>+'P03 2023'!BS5+'P03 2023'!BS7</f>
        <v>74875005.333000004</v>
      </c>
      <c r="M15" s="994">
        <f t="shared" si="5"/>
        <v>0.99999985753592369</v>
      </c>
      <c r="N15" s="231">
        <f t="shared" si="0"/>
        <v>10.666999995708466</v>
      </c>
      <c r="O15" s="698">
        <f t="shared" si="1"/>
        <v>1.4246407634435051E-7</v>
      </c>
      <c r="P15" s="424">
        <f>+'P03 2022'!BN3+'P03 2022'!BN5</f>
        <v>74875015.728</v>
      </c>
      <c r="Q15" s="430">
        <f>SUMIF($S$6:$AH$6,"si",S15:AH15)</f>
        <v>74379258.572562993</v>
      </c>
      <c r="R15" s="1602">
        <f t="shared" si="6"/>
        <v>0.99337887076728026</v>
      </c>
      <c r="S15" s="983">
        <f>+'P03 2023'!K3++'P03 2023'!K4</f>
        <v>0</v>
      </c>
      <c r="T15" s="427">
        <f>+'P03 2022'!H6+'P03 2022'!H7</f>
        <v>39075410.723767996</v>
      </c>
      <c r="U15" s="937">
        <f>+'P03 2023'!W4</f>
        <v>54954324</v>
      </c>
      <c r="V15" s="937">
        <f>+'P03 2022'!R3</f>
        <v>7850172.8534859996</v>
      </c>
      <c r="W15" s="426">
        <v>0</v>
      </c>
      <c r="X15" s="1271">
        <f>+'P03 2022'!AJ3</f>
        <v>27453674.995308999</v>
      </c>
      <c r="Y15" s="426">
        <f>+'P03 2023'!BI3</f>
        <v>19920681.333000001</v>
      </c>
      <c r="Z15" s="439">
        <v>0</v>
      </c>
      <c r="AA15" s="469">
        <f>+'P03 2022'!CD5</f>
        <v>427004.48100000003</v>
      </c>
      <c r="AB15" s="930">
        <f>+'P03 2022'!DD4</f>
        <v>39357.447999999997</v>
      </c>
      <c r="AC15" s="932">
        <v>0</v>
      </c>
      <c r="AD15" s="490">
        <v>0</v>
      </c>
      <c r="AE15" s="930">
        <v>0</v>
      </c>
      <c r="AF15" s="927">
        <v>0</v>
      </c>
      <c r="AG15" s="491">
        <f>+'P03 2022'!IM3</f>
        <v>157707.94500000001</v>
      </c>
      <c r="AH15" s="921">
        <v>0</v>
      </c>
      <c r="AI15" s="526"/>
      <c r="AJ15" s="1625"/>
      <c r="AK15" s="1580"/>
      <c r="AL15" s="1580"/>
      <c r="AM15" s="1580"/>
      <c r="AN15" s="657"/>
      <c r="AO15" s="657"/>
      <c r="AP15" s="657"/>
    </row>
    <row r="16" spans="2:43" s="408" customFormat="1" ht="15" customHeight="1" x14ac:dyDescent="0.25">
      <c r="B16" s="428" t="s">
        <v>2</v>
      </c>
      <c r="C16" s="136"/>
      <c r="D16" s="143">
        <v>406</v>
      </c>
      <c r="E16" s="143"/>
      <c r="F16" s="990" t="s">
        <v>256</v>
      </c>
      <c r="G16" s="498" t="s">
        <v>264</v>
      </c>
      <c r="H16" s="424">
        <f>SUM(H17:H22)</f>
        <v>3810757</v>
      </c>
      <c r="I16" s="420">
        <f>SUM(I17:I22)</f>
        <v>3810757</v>
      </c>
      <c r="J16" s="420">
        <f ca="1">SUMIF(S$6:$AH7,"ok",S16:AG16)</f>
        <v>781461.47499999986</v>
      </c>
      <c r="K16" s="996">
        <f t="shared" ca="1" si="4"/>
        <v>0.20506725435392492</v>
      </c>
      <c r="L16" s="420">
        <f>SUM(L17:L22)</f>
        <v>943226.21299999999</v>
      </c>
      <c r="M16" s="994">
        <f t="shared" si="5"/>
        <v>0.24751675664441475</v>
      </c>
      <c r="N16" s="231">
        <f t="shared" si="0"/>
        <v>2867530.787</v>
      </c>
      <c r="O16" s="698">
        <f t="shared" si="1"/>
        <v>0.75248324335558525</v>
      </c>
      <c r="P16" s="429">
        <f>SUM(P17:P22)</f>
        <v>3043071.3600000003</v>
      </c>
      <c r="Q16" s="459">
        <f>+SUM(Q17:Q22)</f>
        <v>536763.55717799999</v>
      </c>
      <c r="R16" s="1602">
        <f t="shared" si="6"/>
        <v>0.17638875125754525</v>
      </c>
      <c r="S16" s="982">
        <f>SUM(S17:S22)</f>
        <v>17155.245999999999</v>
      </c>
      <c r="T16" s="439">
        <f>+SUM(T17:T22)</f>
        <v>27743.628184000001</v>
      </c>
      <c r="U16" s="476">
        <f>SUM(U17:U22)</f>
        <v>469711.53599999996</v>
      </c>
      <c r="V16" s="476">
        <f t="shared" ref="V16:X16" si="8">+SUM(V17:V22)</f>
        <v>33668.954948999999</v>
      </c>
      <c r="W16" s="458">
        <f>SUM(W17:W22)</f>
        <v>144005.80899999998</v>
      </c>
      <c r="X16" s="437">
        <f t="shared" si="8"/>
        <v>367423.649668</v>
      </c>
      <c r="Y16" s="458">
        <f>+SUM(Y17:Y22)</f>
        <v>150588.88400000002</v>
      </c>
      <c r="Z16" s="439">
        <f>+SUM(Z17:Z22)</f>
        <v>107927.324377</v>
      </c>
      <c r="AA16" s="469">
        <f t="shared" ref="AA16:AC16" si="9">+SUM(AA17:AA22)</f>
        <v>35195.093999999997</v>
      </c>
      <c r="AB16" s="501">
        <f>SUM(AB17:AB22)</f>
        <v>152608.80499999999</v>
      </c>
      <c r="AC16" s="597">
        <f t="shared" si="9"/>
        <v>130107.15100000001</v>
      </c>
      <c r="AD16" s="491">
        <f>+SUM(AD17:AD22)</f>
        <v>1158595.0499999998</v>
      </c>
      <c r="AE16" s="476">
        <f>+SUM(AE17:AE22)</f>
        <v>125250.969</v>
      </c>
      <c r="AF16" s="436">
        <f>SUM(AF17:AF22)</f>
        <v>670280.33799999999</v>
      </c>
      <c r="AG16" s="491">
        <f>SUM(AG17:AG22)</f>
        <v>1722795.882</v>
      </c>
      <c r="AH16" s="921">
        <f>SUM(AH17:AH22)</f>
        <v>398964.17700000003</v>
      </c>
      <c r="AI16" s="526"/>
      <c r="AJ16" s="1632"/>
      <c r="AK16" s="1633"/>
      <c r="AL16" s="1633"/>
      <c r="AM16" s="1633"/>
      <c r="AN16" s="1634"/>
      <c r="AO16" s="1634"/>
      <c r="AP16" s="1634"/>
    </row>
    <row r="17" spans="2:45" s="390" customFormat="1" ht="15" customHeight="1" x14ac:dyDescent="0.25">
      <c r="B17" s="492"/>
      <c r="C17" s="144"/>
      <c r="D17" s="145"/>
      <c r="E17" s="145">
        <v>1</v>
      </c>
      <c r="F17" s="647" t="s">
        <v>722</v>
      </c>
      <c r="G17" s="583" t="s">
        <v>276</v>
      </c>
      <c r="H17" s="493">
        <f>+'P03 2023'!I5</f>
        <v>2653409</v>
      </c>
      <c r="I17" s="1638">
        <f>+'P03 2023'!BR8</f>
        <v>2653409</v>
      </c>
      <c r="J17" s="467">
        <f ca="1">SUMIF(S$6:$AH$6,"ok",S17:AG17)</f>
        <v>713136.3899999999</v>
      </c>
      <c r="K17" s="1649">
        <f t="shared" ca="1" si="4"/>
        <v>0.26876233177772441</v>
      </c>
      <c r="L17" s="467">
        <f>+'P03 2023'!BS16</f>
        <v>713136.39</v>
      </c>
      <c r="M17" s="1650">
        <f t="shared" si="5"/>
        <v>0.26876233177772446</v>
      </c>
      <c r="N17" s="230">
        <f t="shared" si="0"/>
        <v>1940272.6099999999</v>
      </c>
      <c r="O17" s="1651">
        <f t="shared" si="1"/>
        <v>0.73123766822227554</v>
      </c>
      <c r="P17" s="479">
        <f>+'P03 2022'!BN7</f>
        <v>1924688.236175</v>
      </c>
      <c r="Q17" s="1445">
        <f>SUMIF($S$6:$AH$6,"SI",S17:AH17)</f>
        <v>416459.44316899998</v>
      </c>
      <c r="R17" s="1648">
        <f t="shared" si="6"/>
        <v>0.21637761136663064</v>
      </c>
      <c r="S17" s="984">
        <f>+'P03 2023'!K5</f>
        <v>0</v>
      </c>
      <c r="T17" s="998">
        <v>0</v>
      </c>
      <c r="U17" s="1261">
        <f>+'P03 2023'!W5</f>
        <v>452855.08299999998</v>
      </c>
      <c r="V17" s="938">
        <v>0</v>
      </c>
      <c r="W17" s="935">
        <f>+'P03 2023'!AO8</f>
        <v>128681.308</v>
      </c>
      <c r="X17" s="1615">
        <f>+'P03 2022'!AI7</f>
        <v>322544.88136900001</v>
      </c>
      <c r="Y17" s="1619">
        <f>+'P03 2023'!BI6</f>
        <v>131599.99900000001</v>
      </c>
      <c r="Z17" s="1547">
        <f>+'P03 2022'!BC4</f>
        <v>93914.561799999996</v>
      </c>
      <c r="AA17" s="464">
        <f>+'P03 2022'!CD7</f>
        <v>23000</v>
      </c>
      <c r="AB17" s="922">
        <f>+'P03 2022'!DD9</f>
        <v>60102.368999999999</v>
      </c>
      <c r="AC17" s="691">
        <f>+'P03 2022'!EE6</f>
        <v>109029.40300000001</v>
      </c>
      <c r="AD17" s="466">
        <f>+'P03 2022'!FG6</f>
        <v>1142191.0649999999</v>
      </c>
      <c r="AE17" s="922">
        <f>+'P03 2022'!GI7</f>
        <v>84958.081000000006</v>
      </c>
      <c r="AF17" s="462">
        <f>+'P03 2022'!HK3</f>
        <v>652018.63500000001</v>
      </c>
      <c r="AG17" s="466">
        <f>+'P03 2022'!IM7</f>
        <v>1347412.858</v>
      </c>
      <c r="AH17" s="922">
        <f>+'P03 2022'!JK4</f>
        <v>190231.663</v>
      </c>
      <c r="AI17" s="658"/>
      <c r="AJ17" s="1632"/>
      <c r="AK17" s="1633"/>
      <c r="AL17" s="1633"/>
      <c r="AM17" s="1633"/>
      <c r="AN17" s="1634"/>
      <c r="AO17" s="1635"/>
      <c r="AP17" s="1635"/>
      <c r="AQ17" s="1630"/>
    </row>
    <row r="18" spans="2:45" s="390" customFormat="1" ht="15" customHeight="1" x14ac:dyDescent="0.25">
      <c r="B18" s="492"/>
      <c r="C18" s="144"/>
      <c r="D18" s="145"/>
      <c r="E18" s="145">
        <v>2</v>
      </c>
      <c r="F18" s="647" t="s">
        <v>723</v>
      </c>
      <c r="G18" s="583" t="s">
        <v>277</v>
      </c>
      <c r="H18" s="493">
        <f>+'P03 2023'!I8</f>
        <v>285477</v>
      </c>
      <c r="I18" s="467">
        <f>+'P03 2023'!BR11</f>
        <v>282477</v>
      </c>
      <c r="J18" s="467">
        <f ca="1">SUMIF(S$6:$AH$6,"ok",S18:AG18)</f>
        <v>66535.842999999993</v>
      </c>
      <c r="K18" s="1649">
        <f t="shared" ca="1" si="4"/>
        <v>0.23554428502143535</v>
      </c>
      <c r="L18" s="467">
        <f>+'P03 2023'!BS19</f>
        <v>202905.603</v>
      </c>
      <c r="M18" s="1650">
        <f t="shared" si="5"/>
        <v>0.71830840387004957</v>
      </c>
      <c r="N18" s="230">
        <f t="shared" si="0"/>
        <v>79571.396999999997</v>
      </c>
      <c r="O18" s="1651">
        <f t="shared" si="1"/>
        <v>0.28169159612995037</v>
      </c>
      <c r="P18" s="479">
        <f>+'P03 2022'!BN9</f>
        <v>335701.77799999999</v>
      </c>
      <c r="Q18" s="1445">
        <f t="shared" ref="Q18:Q22" si="10">SUMIF($S$6:$AH$6,"SI",S18:AH18)</f>
        <v>96456.528581999999</v>
      </c>
      <c r="R18" s="1648">
        <f t="shared" si="6"/>
        <v>0.28732802416673525</v>
      </c>
      <c r="S18" s="984">
        <f>+'P03 2023'!K14</f>
        <v>17123.797999999999</v>
      </c>
      <c r="T18" s="998">
        <f>+'P03 2022'!H17</f>
        <v>27565.740449000001</v>
      </c>
      <c r="U18" s="1261">
        <f>+'P03 2023'!W6</f>
        <v>15923.798000000001</v>
      </c>
      <c r="V18" s="938">
        <f>+'P03 2022'!Q6</f>
        <v>27565.740449000001</v>
      </c>
      <c r="W18" s="935">
        <f>+'P03 2023'!AO5</f>
        <v>15162.027</v>
      </c>
      <c r="X18" s="1615">
        <f>+'P03 2022'!AI6</f>
        <v>27312.285107</v>
      </c>
      <c r="Y18" s="1619">
        <f>+'P03 2023'!BI4</f>
        <v>18326.22</v>
      </c>
      <c r="Z18" s="1547">
        <f>+'P03 2022'!BC3</f>
        <v>14012.762577</v>
      </c>
      <c r="AA18" s="464">
        <f>+'P03 2022'!CD8</f>
        <v>12195.093999999999</v>
      </c>
      <c r="AB18" s="922">
        <f>+'P03 2022'!DD6</f>
        <v>20931.436000000002</v>
      </c>
      <c r="AC18" s="691">
        <f>+'P03 2022'!EE5</f>
        <v>21026.092000000001</v>
      </c>
      <c r="AD18" s="466">
        <f>+'P03 2022'!FG7</f>
        <v>16352.329</v>
      </c>
      <c r="AE18" s="922">
        <f>+'P03 2022'!GI5</f>
        <v>19854.919999999998</v>
      </c>
      <c r="AF18" s="462">
        <f>+'P03 2022'!HK4</f>
        <v>18145.475999999999</v>
      </c>
      <c r="AG18" s="466">
        <f>+'P03 2022'!IM6</f>
        <v>18145.475999999999</v>
      </c>
      <c r="AH18" s="922">
        <f>+'P03 2022'!JK3</f>
        <v>21453.079000000002</v>
      </c>
      <c r="AI18" s="658"/>
      <c r="AJ18" s="1632"/>
      <c r="AK18" s="1633"/>
      <c r="AL18" s="1633"/>
      <c r="AM18" s="1633"/>
      <c r="AN18" s="1634"/>
      <c r="AO18" s="1635"/>
      <c r="AP18" s="1635"/>
    </row>
    <row r="19" spans="2:45" s="390" customFormat="1" ht="15" customHeight="1" x14ac:dyDescent="0.25">
      <c r="B19" s="492"/>
      <c r="C19" s="144"/>
      <c r="D19" s="145"/>
      <c r="E19" s="145">
        <v>3</v>
      </c>
      <c r="F19" s="647" t="s">
        <v>724</v>
      </c>
      <c r="G19" s="583" t="s">
        <v>278</v>
      </c>
      <c r="H19" s="493">
        <f>+'P03 2023'!I9</f>
        <v>3000</v>
      </c>
      <c r="I19" s="467">
        <f>+'P03 2023'!BR13</f>
        <v>3000</v>
      </c>
      <c r="J19" s="467">
        <f ca="1">SUMIF(S$6:$AH$6,"ok",S19:AG19)</f>
        <v>450.49599999999998</v>
      </c>
      <c r="K19" s="1649">
        <f t="shared" ca="1" si="4"/>
        <v>0.15016533333333332</v>
      </c>
      <c r="L19" s="467">
        <f>+'P03 2023'!BS15</f>
        <v>2200</v>
      </c>
      <c r="M19" s="1650">
        <f t="shared" si="5"/>
        <v>0.73333333333333328</v>
      </c>
      <c r="N19" s="230">
        <f t="shared" si="0"/>
        <v>800</v>
      </c>
      <c r="O19" s="1651">
        <f t="shared" si="1"/>
        <v>0.26666666666666666</v>
      </c>
      <c r="P19" s="479">
        <f>+'P03 2022'!BN11</f>
        <v>1594.5</v>
      </c>
      <c r="Q19" s="1445">
        <f t="shared" si="10"/>
        <v>438.14096199999994</v>
      </c>
      <c r="R19" s="1648">
        <f t="shared" si="6"/>
        <v>0.27478266666666662</v>
      </c>
      <c r="S19" s="984">
        <f>+'P03 2023'!K12</f>
        <v>31.448</v>
      </c>
      <c r="T19" s="998">
        <f>+'P03 2022'!H15</f>
        <v>177.88773499999999</v>
      </c>
      <c r="U19" s="1261">
        <f>+'P03 2023'!W9</f>
        <v>93.908000000000001</v>
      </c>
      <c r="V19" s="938">
        <f>+'P03 2022'!Q5</f>
        <v>150.432571</v>
      </c>
      <c r="W19" s="935">
        <f>+'P03 2023'!AO7</f>
        <v>162.47399999999999</v>
      </c>
      <c r="X19" s="1615">
        <f>+'P03 2022'!AI9</f>
        <v>109.82065599999999</v>
      </c>
      <c r="Y19" s="1619">
        <f>+'P03 2023'!BI7</f>
        <v>162.666</v>
      </c>
      <c r="Z19" s="465">
        <v>0</v>
      </c>
      <c r="AA19" s="464">
        <v>0</v>
      </c>
      <c r="AB19" s="922">
        <v>0</v>
      </c>
      <c r="AC19" s="691">
        <f>+'P03 2022'!EE3</f>
        <v>51.655999999999999</v>
      </c>
      <c r="AD19" s="466">
        <f>+'P03 2022'!FG4</f>
        <v>51.655999999999999</v>
      </c>
      <c r="AE19" s="922">
        <f>+'P03 2022'!GI9</f>
        <v>77.483999999999995</v>
      </c>
      <c r="AF19" s="462">
        <f>+'P03 2022'!HK6</f>
        <v>116.227</v>
      </c>
      <c r="AG19" s="466">
        <f>+'P03 2022'!IM9</f>
        <v>25.827999999999999</v>
      </c>
      <c r="AH19" s="922">
        <f>+'P03 2022'!JK5</f>
        <v>144.63999999999999</v>
      </c>
      <c r="AI19" s="658"/>
      <c r="AJ19" s="1632"/>
      <c r="AK19" s="1633"/>
      <c r="AL19" s="1633"/>
      <c r="AM19" s="1633"/>
      <c r="AN19" s="1634"/>
      <c r="AO19" s="1634"/>
      <c r="AP19" s="1634"/>
      <c r="AR19" s="1630"/>
    </row>
    <row r="20" spans="2:45" s="390" customFormat="1" ht="15" customHeight="1" x14ac:dyDescent="0.25">
      <c r="B20" s="492"/>
      <c r="C20" s="144"/>
      <c r="D20" s="145"/>
      <c r="E20" s="145">
        <v>4</v>
      </c>
      <c r="F20" s="647" t="s">
        <v>725</v>
      </c>
      <c r="G20" s="583" t="s">
        <v>279</v>
      </c>
      <c r="H20" s="493">
        <f>+'P03 2023'!I10</f>
        <v>1500</v>
      </c>
      <c r="I20" s="467">
        <f>+'P03 2023'!BR12</f>
        <v>4500</v>
      </c>
      <c r="J20" s="467">
        <f ca="1">SUMIF(S$6:$AH$6,"ok",S20:AG20)</f>
        <v>499.99900000000002</v>
      </c>
      <c r="K20" s="1649">
        <f t="shared" ca="1" si="4"/>
        <v>0.1111108888888889</v>
      </c>
      <c r="L20" s="467">
        <f>+'P03 2023'!BS14</f>
        <v>1950.0139999999999</v>
      </c>
      <c r="M20" s="1650">
        <f t="shared" si="5"/>
        <v>0.43333644444444441</v>
      </c>
      <c r="N20" s="230">
        <f t="shared" si="0"/>
        <v>2549.9859999999999</v>
      </c>
      <c r="O20" s="1651">
        <f t="shared" si="1"/>
        <v>0.56666355555555548</v>
      </c>
      <c r="P20" s="479">
        <f>+'P03 2022'!BN13</f>
        <v>2551.1999999999998</v>
      </c>
      <c r="Q20" s="1445">
        <f t="shared" si="10"/>
        <v>1538.749902</v>
      </c>
      <c r="R20" s="1648">
        <f t="shared" si="6"/>
        <v>0.60314750000000006</v>
      </c>
      <c r="S20" s="984">
        <f>+'P03 2023'!K10</f>
        <v>0</v>
      </c>
      <c r="T20" s="998">
        <v>0</v>
      </c>
      <c r="U20" s="1261">
        <v>0</v>
      </c>
      <c r="V20" s="938">
        <v>0</v>
      </c>
      <c r="W20" s="935">
        <v>0</v>
      </c>
      <c r="X20" s="1615">
        <f>+'P03 2022'!AI5</f>
        <v>1538.749902</v>
      </c>
      <c r="Y20" s="1619">
        <f>+'P03 2023'!BI5</f>
        <v>499.99900000000002</v>
      </c>
      <c r="Z20" s="465">
        <v>0</v>
      </c>
      <c r="AA20" s="464">
        <v>0</v>
      </c>
      <c r="AB20" s="922">
        <v>0</v>
      </c>
      <c r="AC20" s="691">
        <v>0</v>
      </c>
      <c r="AD20" s="466">
        <v>0</v>
      </c>
      <c r="AE20" s="922">
        <v>0</v>
      </c>
      <c r="AF20" s="462">
        <f>+'P03 2022'!HK5</f>
        <v>0</v>
      </c>
      <c r="AG20" s="466">
        <v>0</v>
      </c>
      <c r="AH20" s="922">
        <v>0</v>
      </c>
      <c r="AI20" s="658"/>
      <c r="AJ20" s="1632"/>
      <c r="AK20" s="1633"/>
      <c r="AL20" s="1633"/>
      <c r="AM20" s="1633"/>
      <c r="AN20" s="1634"/>
      <c r="AO20" s="1635"/>
      <c r="AP20" s="1635"/>
    </row>
    <row r="21" spans="2:45" s="390" customFormat="1" ht="15" customHeight="1" x14ac:dyDescent="0.25">
      <c r="B21" s="492"/>
      <c r="C21" s="144"/>
      <c r="D21" s="145"/>
      <c r="E21" s="145">
        <v>5</v>
      </c>
      <c r="F21" s="647" t="s">
        <v>726</v>
      </c>
      <c r="G21" s="583" t="s">
        <v>340</v>
      </c>
      <c r="H21" s="493">
        <f>+'P03 2023'!I7</f>
        <v>300000</v>
      </c>
      <c r="I21" s="467">
        <f>+'P03 2023'!BR10</f>
        <v>300000</v>
      </c>
      <c r="J21" s="467">
        <f ca="1">SUMIF(S$6:$AH$6,"ok",S21:AG21)</f>
        <v>838.74699999999996</v>
      </c>
      <c r="K21" s="1649">
        <f t="shared" ca="1" si="4"/>
        <v>2.7958233333333334E-3</v>
      </c>
      <c r="L21" s="467">
        <f>+'P03 2023'!BS18</f>
        <v>23034.205999999998</v>
      </c>
      <c r="M21" s="1650">
        <f t="shared" si="5"/>
        <v>7.6780686666666667E-2</v>
      </c>
      <c r="N21" s="230">
        <f t="shared" si="0"/>
        <v>276965.79399999999</v>
      </c>
      <c r="O21" s="1651">
        <f t="shared" si="1"/>
        <v>0.92321931333333329</v>
      </c>
      <c r="P21" s="479">
        <f>+'P03 2022'!BN15</f>
        <v>211164.71082499999</v>
      </c>
      <c r="Q21" s="1445">
        <f t="shared" si="10"/>
        <v>21870.694562999997</v>
      </c>
      <c r="R21" s="1648">
        <f t="shared" si="6"/>
        <v>0.1035717307004249</v>
      </c>
      <c r="S21" s="984">
        <f>+'P03 2023'!K7</f>
        <v>0</v>
      </c>
      <c r="T21" s="998">
        <v>0</v>
      </c>
      <c r="U21" s="1261">
        <f>+'P03 2023'!W7</f>
        <v>838.74699999999996</v>
      </c>
      <c r="V21" s="938">
        <f>+'P03 2022'!Q7</f>
        <v>5952.7819289999998</v>
      </c>
      <c r="W21" s="935">
        <v>0</v>
      </c>
      <c r="X21" s="1615">
        <f>+'P03 2022'!AI8</f>
        <v>15917.912633999998</v>
      </c>
      <c r="Y21" s="1619">
        <v>0</v>
      </c>
      <c r="Z21" s="465">
        <v>0</v>
      </c>
      <c r="AA21" s="464">
        <v>0</v>
      </c>
      <c r="AB21" s="922">
        <f>+'P03 2022'!DD5</f>
        <v>71575</v>
      </c>
      <c r="AC21" s="691">
        <v>0</v>
      </c>
      <c r="AD21" s="466">
        <v>0</v>
      </c>
      <c r="AE21" s="922">
        <f>+'P03 2022'!GI6</f>
        <v>20360.484</v>
      </c>
      <c r="AF21" s="462">
        <v>0</v>
      </c>
      <c r="AG21" s="466">
        <v>0</v>
      </c>
      <c r="AH21" s="922">
        <f>+'P03 2022'!JK7</f>
        <v>11758.439</v>
      </c>
      <c r="AI21" s="658"/>
      <c r="AJ21" s="1632"/>
      <c r="AK21" s="1633"/>
      <c r="AL21" s="1633"/>
      <c r="AM21" s="1633"/>
      <c r="AN21" s="1634"/>
      <c r="AO21" s="1635"/>
      <c r="AP21" s="1635"/>
    </row>
    <row r="22" spans="2:45" s="390" customFormat="1" ht="15" customHeight="1" x14ac:dyDescent="0.25">
      <c r="B22" s="492"/>
      <c r="C22" s="144"/>
      <c r="D22" s="145"/>
      <c r="E22" s="145">
        <v>6</v>
      </c>
      <c r="F22" s="647" t="s">
        <v>727</v>
      </c>
      <c r="G22" s="583" t="s">
        <v>341</v>
      </c>
      <c r="H22" s="493">
        <f>+'P03 2023'!I6</f>
        <v>567371</v>
      </c>
      <c r="I22" s="467">
        <f>+'P03 2023'!BR9</f>
        <v>567371</v>
      </c>
      <c r="J22" s="467">
        <f ca="1">SUMIF(S$6:$AH$6,"ok",S22:AG22)</f>
        <v>0</v>
      </c>
      <c r="K22" s="1649">
        <f t="shared" ca="1" si="4"/>
        <v>0</v>
      </c>
      <c r="L22" s="467">
        <v>0</v>
      </c>
      <c r="M22" s="1650">
        <f t="shared" si="5"/>
        <v>0</v>
      </c>
      <c r="N22" s="230">
        <f t="shared" si="0"/>
        <v>567371</v>
      </c>
      <c r="O22" s="1651">
        <f t="shared" si="1"/>
        <v>1</v>
      </c>
      <c r="P22" s="479">
        <f>+'P03 2022'!BN17</f>
        <v>567370.93499999994</v>
      </c>
      <c r="Q22" s="1445">
        <f t="shared" si="10"/>
        <v>0</v>
      </c>
      <c r="R22" s="1648">
        <f t="shared" si="6"/>
        <v>0</v>
      </c>
      <c r="S22" s="984">
        <f>+'P03 2023'!K6</f>
        <v>0</v>
      </c>
      <c r="T22" s="998">
        <v>0</v>
      </c>
      <c r="U22" s="1261">
        <v>0</v>
      </c>
      <c r="V22" s="938">
        <v>0</v>
      </c>
      <c r="W22" s="935">
        <v>0</v>
      </c>
      <c r="X22" s="1615">
        <v>0</v>
      </c>
      <c r="Y22" s="1619">
        <v>0</v>
      </c>
      <c r="Z22" s="465">
        <v>0</v>
      </c>
      <c r="AA22" s="464">
        <v>0</v>
      </c>
      <c r="AB22" s="922">
        <v>0</v>
      </c>
      <c r="AC22" s="691">
        <v>0</v>
      </c>
      <c r="AD22" s="466">
        <v>0</v>
      </c>
      <c r="AE22" s="922">
        <v>0</v>
      </c>
      <c r="AF22" s="462">
        <v>0</v>
      </c>
      <c r="AG22" s="466">
        <f>+'P03 2022'!IM10</f>
        <v>357211.72</v>
      </c>
      <c r="AH22" s="922">
        <f>+'P03 2022'!JK6</f>
        <v>175376.356</v>
      </c>
      <c r="AI22" s="658"/>
      <c r="AJ22" s="1632"/>
      <c r="AK22" s="1633"/>
      <c r="AL22" s="1633"/>
      <c r="AM22" s="1633"/>
      <c r="AN22" s="1634"/>
      <c r="AO22" s="1634"/>
      <c r="AP22" s="1634"/>
    </row>
    <row r="23" spans="2:45" s="390" customFormat="1" ht="15" customHeight="1" x14ac:dyDescent="0.25">
      <c r="B23" s="428">
        <v>25</v>
      </c>
      <c r="C23" s="136" t="s">
        <v>2</v>
      </c>
      <c r="D23" s="131"/>
      <c r="E23" s="494"/>
      <c r="F23" s="497"/>
      <c r="G23" s="498" t="s">
        <v>542</v>
      </c>
      <c r="H23" s="424">
        <f>+H24</f>
        <v>10</v>
      </c>
      <c r="I23" s="420">
        <f>+I24</f>
        <v>10</v>
      </c>
      <c r="J23" s="430">
        <f ca="1">SUMIF(S$6:$AH13,"ok",S23:AG23)</f>
        <v>0</v>
      </c>
      <c r="K23" s="996">
        <f t="shared" ca="1" si="4"/>
        <v>0</v>
      </c>
      <c r="L23" s="430">
        <f ca="1">SUMIF(V$6:$AW13,"ok",V23:AI23)</f>
        <v>0</v>
      </c>
      <c r="M23" s="994">
        <f t="shared" ca="1" si="5"/>
        <v>0</v>
      </c>
      <c r="N23" s="430">
        <f t="shared" ca="1" si="0"/>
        <v>10</v>
      </c>
      <c r="O23" s="698">
        <f t="shared" ca="1" si="1"/>
        <v>1</v>
      </c>
      <c r="P23" s="429">
        <f>+P24</f>
        <v>10.629999999999999</v>
      </c>
      <c r="Q23" s="430">
        <f>+Q24</f>
        <v>0</v>
      </c>
      <c r="R23" s="1602">
        <f t="shared" si="6"/>
        <v>0</v>
      </c>
      <c r="S23" s="982">
        <f>+S24</f>
        <v>0</v>
      </c>
      <c r="T23" s="999">
        <v>0</v>
      </c>
      <c r="U23" s="1262">
        <v>0</v>
      </c>
      <c r="V23" s="475">
        <v>0</v>
      </c>
      <c r="W23" s="460">
        <v>0</v>
      </c>
      <c r="X23" s="432">
        <v>0</v>
      </c>
      <c r="Y23" s="433">
        <v>0</v>
      </c>
      <c r="Z23" s="1440">
        <v>0</v>
      </c>
      <c r="AA23" s="469">
        <f>+AA24</f>
        <v>0</v>
      </c>
      <c r="AB23" s="501">
        <f>+AB24</f>
        <v>0</v>
      </c>
      <c r="AC23" s="597">
        <f>+AC24</f>
        <v>0</v>
      </c>
      <c r="AD23" s="491">
        <v>0</v>
      </c>
      <c r="AE23" s="501">
        <v>0</v>
      </c>
      <c r="AF23" s="470">
        <v>0</v>
      </c>
      <c r="AG23" s="491">
        <f>+AG24</f>
        <v>5862708.5899999999</v>
      </c>
      <c r="AH23" s="501">
        <f>+AH24</f>
        <v>2839081.41</v>
      </c>
      <c r="AJ23" s="1632"/>
      <c r="AK23" s="1633"/>
      <c r="AL23" s="1633"/>
      <c r="AM23" s="1633"/>
      <c r="AN23" s="1634"/>
      <c r="AO23" s="1634"/>
      <c r="AP23" s="1634"/>
    </row>
    <row r="24" spans="2:45" s="390" customFormat="1" ht="15" customHeight="1" x14ac:dyDescent="0.25">
      <c r="B24" s="492"/>
      <c r="C24" s="144">
        <v>99</v>
      </c>
      <c r="D24" s="145"/>
      <c r="E24" s="145"/>
      <c r="F24" s="647" t="s">
        <v>728</v>
      </c>
      <c r="G24" s="584" t="s">
        <v>543</v>
      </c>
      <c r="H24" s="493">
        <f>+'P03 2023'!I15</f>
        <v>10</v>
      </c>
      <c r="I24" s="230">
        <f>+'P03 2023'!BR20</f>
        <v>10</v>
      </c>
      <c r="J24" s="467">
        <f ca="1">SUMIF(S$6:$AH$6,"ok",S24:AG24)</f>
        <v>0</v>
      </c>
      <c r="K24" s="997">
        <f t="shared" ca="1" si="4"/>
        <v>0</v>
      </c>
      <c r="L24" s="1639">
        <f>+'P03 2023'!BS20</f>
        <v>0</v>
      </c>
      <c r="M24" s="995">
        <f t="shared" si="5"/>
        <v>0</v>
      </c>
      <c r="N24" s="230">
        <f t="shared" si="0"/>
        <v>10</v>
      </c>
      <c r="O24" s="699">
        <f t="shared" si="1"/>
        <v>1</v>
      </c>
      <c r="P24" s="479">
        <f>+'P03 2022'!BN20</f>
        <v>10.629999999999999</v>
      </c>
      <c r="Q24" s="835">
        <f>SUMIF($S$6:$AH$6,"SI",S24:AH24)</f>
        <v>0</v>
      </c>
      <c r="R24" s="1603">
        <f t="shared" si="6"/>
        <v>0</v>
      </c>
      <c r="S24" s="984">
        <v>0</v>
      </c>
      <c r="T24" s="998">
        <v>0</v>
      </c>
      <c r="U24" s="1261">
        <v>0</v>
      </c>
      <c r="V24" s="938">
        <v>0</v>
      </c>
      <c r="W24" s="935">
        <v>0</v>
      </c>
      <c r="X24" s="463">
        <v>0</v>
      </c>
      <c r="Y24" s="466">
        <v>0</v>
      </c>
      <c r="Z24" s="465">
        <v>0</v>
      </c>
      <c r="AA24" s="464">
        <v>0</v>
      </c>
      <c r="AB24" s="922">
        <v>0</v>
      </c>
      <c r="AC24" s="691">
        <v>0</v>
      </c>
      <c r="AD24" s="466">
        <v>0</v>
      </c>
      <c r="AE24" s="922">
        <v>0</v>
      </c>
      <c r="AF24" s="462">
        <v>0</v>
      </c>
      <c r="AG24" s="466">
        <f>+'P03 2022'!IM17</f>
        <v>5862708.5899999999</v>
      </c>
      <c r="AH24" s="923">
        <f>+'P03 2022'!JK8</f>
        <v>2839081.41</v>
      </c>
      <c r="AI24" s="526"/>
      <c r="AJ24" s="1632"/>
      <c r="AK24" s="1633"/>
      <c r="AL24" s="1633"/>
      <c r="AM24" s="1633"/>
      <c r="AN24" s="1634"/>
      <c r="AO24" s="1634"/>
      <c r="AP24" s="1634"/>
      <c r="AS24" s="1630"/>
    </row>
    <row r="25" spans="2:45" s="390" customFormat="1" ht="15" customHeight="1" x14ac:dyDescent="0.25">
      <c r="B25" s="428">
        <v>26</v>
      </c>
      <c r="C25" s="136" t="s">
        <v>2</v>
      </c>
      <c r="D25" s="131"/>
      <c r="E25" s="494"/>
      <c r="F25" s="497"/>
      <c r="G25" s="498" t="s">
        <v>289</v>
      </c>
      <c r="H25" s="424">
        <f>+H26</f>
        <v>0</v>
      </c>
      <c r="I25" s="420">
        <f>+I26</f>
        <v>0</v>
      </c>
      <c r="J25" s="430">
        <f ca="1">SUMIF(S$6:$AH14,"ok",S25:AG25)</f>
        <v>0</v>
      </c>
      <c r="K25" s="996" t="str">
        <f t="shared" ca="1" si="4"/>
        <v>0.00%</v>
      </c>
      <c r="L25" s="420">
        <f>+L26</f>
        <v>0</v>
      </c>
      <c r="M25" s="994">
        <f t="shared" si="5"/>
        <v>0</v>
      </c>
      <c r="N25" s="231">
        <f t="shared" ref="N25:N54" si="11">+I25-L25</f>
        <v>0</v>
      </c>
      <c r="O25" s="698">
        <f t="shared" si="1"/>
        <v>0</v>
      </c>
      <c r="P25" s="429">
        <f>+P26</f>
        <v>0</v>
      </c>
      <c r="Q25" s="430">
        <f ca="1">+Q26</f>
        <v>0</v>
      </c>
      <c r="R25" s="1602" t="str">
        <f t="shared" ca="1" si="6"/>
        <v>0.00%</v>
      </c>
      <c r="S25" s="982">
        <f>+S26</f>
        <v>0</v>
      </c>
      <c r="T25" s="999">
        <v>0</v>
      </c>
      <c r="U25" s="1262">
        <v>0</v>
      </c>
      <c r="V25" s="475">
        <v>0</v>
      </c>
      <c r="W25" s="460">
        <v>0</v>
      </c>
      <c r="X25" s="432">
        <v>0</v>
      </c>
      <c r="Y25" s="433">
        <v>0</v>
      </c>
      <c r="Z25" s="1440">
        <v>0</v>
      </c>
      <c r="AA25" s="469">
        <v>0</v>
      </c>
      <c r="AB25" s="501">
        <f>+AB26</f>
        <v>0</v>
      </c>
      <c r="AC25" s="597">
        <f>+AC26</f>
        <v>0</v>
      </c>
      <c r="AD25" s="491">
        <v>0</v>
      </c>
      <c r="AE25" s="501">
        <v>0</v>
      </c>
      <c r="AF25" s="470">
        <v>0</v>
      </c>
      <c r="AG25" s="491">
        <v>0</v>
      </c>
      <c r="AH25" s="501">
        <v>0</v>
      </c>
      <c r="AJ25" s="1632"/>
      <c r="AK25" s="1633"/>
      <c r="AL25" s="1633"/>
      <c r="AM25" s="1633"/>
      <c r="AN25" s="1634"/>
      <c r="AO25" s="1634"/>
      <c r="AP25" s="1634"/>
      <c r="AS25" s="1630"/>
    </row>
    <row r="26" spans="2:45" s="390" customFormat="1" ht="15" customHeight="1" x14ac:dyDescent="0.25">
      <c r="B26" s="492" t="s">
        <v>2</v>
      </c>
      <c r="C26" s="144">
        <v>1</v>
      </c>
      <c r="D26" s="142"/>
      <c r="E26" s="488"/>
      <c r="F26" s="647" t="s">
        <v>320</v>
      </c>
      <c r="G26" s="583" t="s">
        <v>290</v>
      </c>
      <c r="H26" s="493">
        <v>0</v>
      </c>
      <c r="I26" s="467">
        <v>0</v>
      </c>
      <c r="J26" s="467">
        <f ca="1">SUMIF(S$6:$AH$6,"ok",S26:AG26)</f>
        <v>0</v>
      </c>
      <c r="K26" s="997" t="str">
        <f t="shared" ca="1" si="4"/>
        <v>0.00%</v>
      </c>
      <c r="L26" s="230">
        <v>0</v>
      </c>
      <c r="M26" s="995">
        <f t="shared" si="5"/>
        <v>0</v>
      </c>
      <c r="N26" s="230">
        <f>+I26-L26</f>
        <v>0</v>
      </c>
      <c r="O26" s="699">
        <f t="shared" si="1"/>
        <v>0</v>
      </c>
      <c r="P26" s="479">
        <v>0</v>
      </c>
      <c r="Q26" s="467">
        <f ca="1">SUMIF(X$6:$AH13,"SI",X26:AH26)</f>
        <v>0</v>
      </c>
      <c r="R26" s="1603" t="str">
        <f t="shared" ca="1" si="6"/>
        <v>0.00%</v>
      </c>
      <c r="S26" s="984">
        <v>0</v>
      </c>
      <c r="T26" s="998">
        <v>0</v>
      </c>
      <c r="U26" s="1261">
        <v>0</v>
      </c>
      <c r="V26" s="938">
        <v>0</v>
      </c>
      <c r="W26" s="935">
        <v>0</v>
      </c>
      <c r="X26" s="463">
        <v>0</v>
      </c>
      <c r="Y26" s="466">
        <v>0</v>
      </c>
      <c r="Z26" s="465">
        <v>0</v>
      </c>
      <c r="AA26" s="464">
        <v>0</v>
      </c>
      <c r="AB26" s="922">
        <v>0</v>
      </c>
      <c r="AC26" s="691">
        <v>0</v>
      </c>
      <c r="AD26" s="466">
        <v>0</v>
      </c>
      <c r="AE26" s="922">
        <v>0</v>
      </c>
      <c r="AF26" s="462">
        <v>0</v>
      </c>
      <c r="AG26" s="466">
        <v>0</v>
      </c>
      <c r="AH26" s="922">
        <v>0</v>
      </c>
      <c r="AJ26" s="1636"/>
      <c r="AK26" s="1637"/>
      <c r="AL26" s="1637"/>
      <c r="AM26" s="1637"/>
      <c r="AN26" s="1635"/>
      <c r="AO26" s="1635"/>
      <c r="AP26" s="1635"/>
    </row>
    <row r="27" spans="2:45" s="390" customFormat="1" ht="15" customHeight="1" x14ac:dyDescent="0.25">
      <c r="B27" s="496">
        <v>30</v>
      </c>
      <c r="C27" s="225"/>
      <c r="D27" s="226"/>
      <c r="E27" s="497"/>
      <c r="F27" s="497"/>
      <c r="G27" s="498" t="s">
        <v>670</v>
      </c>
      <c r="H27" s="421">
        <f>+H28</f>
        <v>0</v>
      </c>
      <c r="I27" s="422">
        <f>+I28</f>
        <v>0</v>
      </c>
      <c r="J27" s="430">
        <f ca="1">SUMIF(S$6:$AH15,"ok",S27:AG27)</f>
        <v>0</v>
      </c>
      <c r="K27" s="996" t="str">
        <f t="shared" ca="1" si="4"/>
        <v>0.00%</v>
      </c>
      <c r="L27" s="232">
        <f>+L28</f>
        <v>0</v>
      </c>
      <c r="M27" s="994">
        <f t="shared" si="5"/>
        <v>0</v>
      </c>
      <c r="N27" s="231">
        <f t="shared" si="11"/>
        <v>0</v>
      </c>
      <c r="O27" s="698">
        <f t="shared" si="1"/>
        <v>0</v>
      </c>
      <c r="P27" s="429">
        <f>+P28</f>
        <v>0</v>
      </c>
      <c r="Q27" s="430">
        <f>+Q28</f>
        <v>0</v>
      </c>
      <c r="R27" s="1602" t="str">
        <f t="shared" si="6"/>
        <v>0.00%</v>
      </c>
      <c r="S27" s="982">
        <f>+S28</f>
        <v>0</v>
      </c>
      <c r="T27" s="999">
        <v>0</v>
      </c>
      <c r="U27" s="1262">
        <v>0</v>
      </c>
      <c r="V27" s="937">
        <v>0</v>
      </c>
      <c r="W27" s="426">
        <v>0</v>
      </c>
      <c r="X27" s="1616">
        <v>0</v>
      </c>
      <c r="Y27" s="1620">
        <v>0</v>
      </c>
      <c r="Z27" s="1441">
        <v>0</v>
      </c>
      <c r="AA27" s="469">
        <v>0</v>
      </c>
      <c r="AB27" s="501">
        <f>+AB28</f>
        <v>0</v>
      </c>
      <c r="AC27" s="597">
        <f>+AC28</f>
        <v>0</v>
      </c>
      <c r="AD27" s="491">
        <v>0</v>
      </c>
      <c r="AE27" s="501">
        <v>0</v>
      </c>
      <c r="AF27" s="470">
        <v>0</v>
      </c>
      <c r="AG27" s="491">
        <v>0</v>
      </c>
      <c r="AH27" s="501">
        <v>0</v>
      </c>
    </row>
    <row r="28" spans="2:45" s="390" customFormat="1" ht="15" customHeight="1" x14ac:dyDescent="0.25">
      <c r="B28" s="492"/>
      <c r="C28" s="144">
        <v>10</v>
      </c>
      <c r="D28" s="142"/>
      <c r="E28" s="488"/>
      <c r="F28" s="647"/>
      <c r="G28" s="583" t="s">
        <v>671</v>
      </c>
      <c r="H28" s="493">
        <v>0</v>
      </c>
      <c r="I28" s="467">
        <v>0</v>
      </c>
      <c r="J28" s="467">
        <f ca="1">SUMIF(S$6:$AH16,"ok",S28:AG28)</f>
        <v>0</v>
      </c>
      <c r="K28" s="997" t="str">
        <f t="shared" ca="1" si="4"/>
        <v>0.00%</v>
      </c>
      <c r="L28" s="230">
        <v>0</v>
      </c>
      <c r="M28" s="995">
        <f t="shared" si="5"/>
        <v>0</v>
      </c>
      <c r="N28" s="230">
        <f>+I28-L28</f>
        <v>0</v>
      </c>
      <c r="O28" s="699">
        <f t="shared" si="1"/>
        <v>0</v>
      </c>
      <c r="P28" s="479">
        <v>0</v>
      </c>
      <c r="Q28" s="467">
        <v>0</v>
      </c>
      <c r="R28" s="1603" t="str">
        <f t="shared" si="6"/>
        <v>0.00%</v>
      </c>
      <c r="S28" s="984">
        <v>0</v>
      </c>
      <c r="T28" s="998">
        <v>0</v>
      </c>
      <c r="U28" s="1261">
        <v>0</v>
      </c>
      <c r="V28" s="938">
        <v>0</v>
      </c>
      <c r="W28" s="935">
        <v>0</v>
      </c>
      <c r="X28" s="463">
        <v>0</v>
      </c>
      <c r="Y28" s="466">
        <v>0</v>
      </c>
      <c r="Z28" s="465">
        <v>0</v>
      </c>
      <c r="AA28" s="464">
        <v>0</v>
      </c>
      <c r="AB28" s="922">
        <v>0</v>
      </c>
      <c r="AC28" s="691">
        <v>0</v>
      </c>
      <c r="AD28" s="466">
        <v>0</v>
      </c>
      <c r="AE28" s="922">
        <v>0</v>
      </c>
      <c r="AF28" s="462">
        <v>0</v>
      </c>
      <c r="AG28" s="466">
        <v>0</v>
      </c>
      <c r="AH28" s="922">
        <v>0</v>
      </c>
      <c r="AJ28" s="1625"/>
      <c r="AK28" s="1580"/>
      <c r="AL28" s="1580"/>
      <c r="AM28" s="1580"/>
      <c r="AN28" s="657"/>
      <c r="AO28" s="657"/>
      <c r="AP28" s="657"/>
    </row>
    <row r="29" spans="2:45" s="390" customFormat="1" ht="15" customHeight="1" x14ac:dyDescent="0.25">
      <c r="B29" s="428">
        <v>32</v>
      </c>
      <c r="C29" s="136">
        <v>4</v>
      </c>
      <c r="D29" s="131"/>
      <c r="E29" s="494"/>
      <c r="F29" s="497"/>
      <c r="G29" s="498" t="s">
        <v>145</v>
      </c>
      <c r="H29" s="424">
        <f>+H30</f>
        <v>5667935</v>
      </c>
      <c r="I29" s="420">
        <f>+I30</f>
        <v>5667935</v>
      </c>
      <c r="J29" s="430">
        <f ca="1">SUMIF(S$6:$AH17,"ok",S29:AG29)</f>
        <v>322320.96100000001</v>
      </c>
      <c r="K29" s="996">
        <f t="shared" ca="1" si="4"/>
        <v>5.6867441316811151E-2</v>
      </c>
      <c r="L29" s="231">
        <f>+L30</f>
        <v>322320.96100000001</v>
      </c>
      <c r="M29" s="994">
        <f t="shared" si="5"/>
        <v>5.6867441316811151E-2</v>
      </c>
      <c r="N29" s="231">
        <f>+I29-L29</f>
        <v>5345614.0389999999</v>
      </c>
      <c r="O29" s="698">
        <f t="shared" si="1"/>
        <v>0.94313255868318879</v>
      </c>
      <c r="P29" s="429">
        <f>+P30+P31</f>
        <v>9728520.7239999995</v>
      </c>
      <c r="Q29" s="430">
        <f>+Q30</f>
        <v>0</v>
      </c>
      <c r="R29" s="1602">
        <f t="shared" si="6"/>
        <v>0</v>
      </c>
      <c r="S29" s="982">
        <f>+S30+S31</f>
        <v>0</v>
      </c>
      <c r="T29" s="999">
        <v>0</v>
      </c>
      <c r="U29" s="1262">
        <f>+U30</f>
        <v>322320.96100000001</v>
      </c>
      <c r="V29" s="937">
        <v>0</v>
      </c>
      <c r="W29" s="426">
        <v>0</v>
      </c>
      <c r="X29" s="423">
        <v>0</v>
      </c>
      <c r="Y29" s="491">
        <f>+Y30</f>
        <v>0</v>
      </c>
      <c r="Z29" s="1548">
        <f>+Z30</f>
        <v>0</v>
      </c>
      <c r="AA29" s="499">
        <v>0</v>
      </c>
      <c r="AB29" s="930">
        <f>+AB30+AB31</f>
        <v>0</v>
      </c>
      <c r="AC29" s="932">
        <f>+AC30+AC31</f>
        <v>0</v>
      </c>
      <c r="AD29" s="490">
        <v>0</v>
      </c>
      <c r="AE29" s="501">
        <v>0</v>
      </c>
      <c r="AF29" s="470">
        <v>0</v>
      </c>
      <c r="AG29" s="491">
        <v>0</v>
      </c>
      <c r="AH29" s="501">
        <v>0</v>
      </c>
      <c r="AJ29" s="1625"/>
      <c r="AK29" s="1580"/>
      <c r="AL29" s="1580"/>
      <c r="AM29" s="1580"/>
      <c r="AN29" s="657"/>
      <c r="AO29" s="657"/>
      <c r="AP29" s="657"/>
    </row>
    <row r="30" spans="2:45" s="390" customFormat="1" ht="15" customHeight="1" x14ac:dyDescent="0.25">
      <c r="B30" s="492" t="s">
        <v>2</v>
      </c>
      <c r="C30" s="144"/>
      <c r="D30" s="142"/>
      <c r="E30" s="488"/>
      <c r="F30" s="647" t="s">
        <v>224</v>
      </c>
      <c r="G30" s="583" t="s">
        <v>146</v>
      </c>
      <c r="H30" s="493">
        <f>+'P03 2023'!I16</f>
        <v>5667935</v>
      </c>
      <c r="I30" s="467">
        <f>+'P03 2023'!BR21</f>
        <v>5667935</v>
      </c>
      <c r="J30" s="467">
        <f ca="1">SUMIF(S$6:$AH18,"ok",S30:AG30)</f>
        <v>322320.96100000001</v>
      </c>
      <c r="K30" s="1649">
        <f t="shared" ca="1" si="4"/>
        <v>5.6867441316811151E-2</v>
      </c>
      <c r="L30" s="1640">
        <f>+'P03 2023'!BS22</f>
        <v>322320.96100000001</v>
      </c>
      <c r="M30" s="1650">
        <f t="shared" si="5"/>
        <v>5.6867441316811151E-2</v>
      </c>
      <c r="N30" s="230">
        <f>+I30-L30</f>
        <v>5345614.0389999999</v>
      </c>
      <c r="O30" s="1651">
        <f t="shared" si="1"/>
        <v>0.94313255868318879</v>
      </c>
      <c r="P30" s="479">
        <f>+'P03 2022'!BN22</f>
        <v>9728520.7239999995</v>
      </c>
      <c r="Q30" s="835">
        <f>SUMIF($S$6:$AH$6,"SI",S30:AH30)</f>
        <v>0</v>
      </c>
      <c r="R30" s="1648">
        <f t="shared" si="6"/>
        <v>0</v>
      </c>
      <c r="S30" s="984">
        <v>0</v>
      </c>
      <c r="T30" s="998">
        <v>0</v>
      </c>
      <c r="U30" s="1261">
        <f>+'P03 2023'!W10</f>
        <v>322320.96100000001</v>
      </c>
      <c r="V30" s="938">
        <v>0</v>
      </c>
      <c r="W30" s="935">
        <v>0</v>
      </c>
      <c r="X30" s="1617">
        <v>0</v>
      </c>
      <c r="Y30" s="935">
        <v>0</v>
      </c>
      <c r="Z30" s="465">
        <v>0</v>
      </c>
      <c r="AA30" s="464">
        <v>0</v>
      </c>
      <c r="AB30" s="934">
        <v>0</v>
      </c>
      <c r="AC30" s="933">
        <v>0</v>
      </c>
      <c r="AD30" s="586">
        <v>0</v>
      </c>
      <c r="AE30" s="922">
        <v>0</v>
      </c>
      <c r="AF30" s="462">
        <v>0</v>
      </c>
      <c r="AG30" s="466">
        <v>0</v>
      </c>
      <c r="AH30" s="922">
        <v>0</v>
      </c>
      <c r="AI30" s="526"/>
      <c r="AJ30" s="1625"/>
      <c r="AK30" s="1580"/>
      <c r="AL30" s="1580"/>
      <c r="AM30" s="1580"/>
      <c r="AN30" s="657"/>
      <c r="AO30" s="657"/>
      <c r="AP30" s="657"/>
    </row>
    <row r="31" spans="2:45" s="390" customFormat="1" ht="15" customHeight="1" x14ac:dyDescent="0.25">
      <c r="B31" s="492"/>
      <c r="C31" s="144"/>
      <c r="D31" s="142"/>
      <c r="E31" s="488"/>
      <c r="F31" s="647" t="s">
        <v>804</v>
      </c>
      <c r="G31" s="583" t="s">
        <v>658</v>
      </c>
      <c r="H31" s="493">
        <v>0</v>
      </c>
      <c r="I31" s="467">
        <v>0</v>
      </c>
      <c r="J31" s="467">
        <v>0</v>
      </c>
      <c r="K31" s="1649" t="str">
        <f t="shared" si="4"/>
        <v>0.00%</v>
      </c>
      <c r="L31" s="500">
        <v>0</v>
      </c>
      <c r="M31" s="1650">
        <f t="shared" si="5"/>
        <v>0</v>
      </c>
      <c r="N31" s="230">
        <v>0</v>
      </c>
      <c r="O31" s="1651">
        <f t="shared" si="1"/>
        <v>0</v>
      </c>
      <c r="P31" s="479">
        <v>0</v>
      </c>
      <c r="Q31" s="835">
        <f>SUMIF($S$6:$AH$6,"SI",S31:AH31)</f>
        <v>0</v>
      </c>
      <c r="R31" s="1648" t="str">
        <f t="shared" si="6"/>
        <v>0.00%</v>
      </c>
      <c r="S31" s="984">
        <v>0</v>
      </c>
      <c r="T31" s="998">
        <v>0</v>
      </c>
      <c r="U31" s="1261">
        <v>0</v>
      </c>
      <c r="V31" s="938">
        <v>0</v>
      </c>
      <c r="W31" s="935">
        <v>0</v>
      </c>
      <c r="X31" s="1617">
        <v>0</v>
      </c>
      <c r="Y31" s="935">
        <v>0</v>
      </c>
      <c r="Z31" s="465">
        <v>0</v>
      </c>
      <c r="AA31" s="464">
        <v>0</v>
      </c>
      <c r="AB31" s="934">
        <v>0</v>
      </c>
      <c r="AC31" s="933">
        <v>0</v>
      </c>
      <c r="AD31" s="466">
        <v>0</v>
      </c>
      <c r="AE31" s="922">
        <v>0</v>
      </c>
      <c r="AF31" s="462">
        <v>0</v>
      </c>
      <c r="AG31" s="466">
        <v>0</v>
      </c>
      <c r="AH31" s="922">
        <v>0</v>
      </c>
      <c r="AJ31" s="1625"/>
      <c r="AK31" s="1580"/>
      <c r="AL31" s="1580"/>
      <c r="AM31" s="1580"/>
      <c r="AN31" s="657"/>
      <c r="AO31" s="657"/>
      <c r="AP31" s="657"/>
    </row>
    <row r="32" spans="2:45" s="390" customFormat="1" ht="15" customHeight="1" x14ac:dyDescent="0.25">
      <c r="B32" s="428" t="s">
        <v>4</v>
      </c>
      <c r="C32" s="136" t="s">
        <v>2</v>
      </c>
      <c r="D32" s="131"/>
      <c r="E32" s="494"/>
      <c r="F32" s="497"/>
      <c r="G32" s="498" t="s">
        <v>150</v>
      </c>
      <c r="H32" s="424">
        <f>+H36</f>
        <v>187115320</v>
      </c>
      <c r="I32" s="420">
        <f>+I36+I33</f>
        <v>187075320</v>
      </c>
      <c r="J32" s="420">
        <f ca="1">SUMIF(S$6:$AH20,"ok",S32:AG32)</f>
        <v>31577807.615000002</v>
      </c>
      <c r="K32" s="996">
        <f t="shared" ca="1" si="4"/>
        <v>0.16879729306356392</v>
      </c>
      <c r="L32" s="420">
        <f>+L33+L36</f>
        <v>37782367.883000001</v>
      </c>
      <c r="M32" s="994">
        <f t="shared" si="5"/>
        <v>0.20196340106754862</v>
      </c>
      <c r="N32" s="231">
        <f t="shared" ref="N32:N51" si="12">+I32-L32</f>
        <v>149292952.11699998</v>
      </c>
      <c r="O32" s="698">
        <f t="shared" si="1"/>
        <v>0.79803659893245127</v>
      </c>
      <c r="P32" s="429">
        <f>+P36+P33</f>
        <v>125711422.803</v>
      </c>
      <c r="Q32" s="430">
        <f>+Q36+Q33</f>
        <v>25124101.818039998</v>
      </c>
      <c r="R32" s="1602">
        <f t="shared" si="6"/>
        <v>0.19985536125393716</v>
      </c>
      <c r="S32" s="982">
        <f>+S33+S36</f>
        <v>5299311.7130000005</v>
      </c>
      <c r="T32" s="999">
        <f t="shared" ref="T32" si="13">+T36</f>
        <v>4966414.7034569997</v>
      </c>
      <c r="U32" s="1262">
        <f>+U33+U36</f>
        <v>10549772.704</v>
      </c>
      <c r="V32" s="937">
        <f>+V33+V36</f>
        <v>5105581.2549820002</v>
      </c>
      <c r="W32" s="460">
        <f>+W33+W36</f>
        <v>7321283.1030000001</v>
      </c>
      <c r="X32" s="423">
        <f>+X36</f>
        <v>8210521.8937419988</v>
      </c>
      <c r="Y32" s="1622">
        <f>+Y33+Y36</f>
        <v>8407440.0950000007</v>
      </c>
      <c r="Z32" s="1548">
        <f t="shared" ref="Z32:AA32" si="14">+Z36</f>
        <v>6841583.9658589996</v>
      </c>
      <c r="AA32" s="469">
        <f t="shared" si="14"/>
        <v>2584476.676</v>
      </c>
      <c r="AB32" s="501">
        <f>+AB36+AB33</f>
        <v>3685105.3219999997</v>
      </c>
      <c r="AC32" s="597">
        <f t="shared" ref="AC32:AE32" si="15">+AC36</f>
        <v>14266620.081</v>
      </c>
      <c r="AD32" s="491">
        <f t="shared" si="15"/>
        <v>65868976.544000007</v>
      </c>
      <c r="AE32" s="501">
        <f t="shared" si="15"/>
        <v>6987925.932</v>
      </c>
      <c r="AF32" s="470">
        <f>+AF33+AF36</f>
        <v>14250115.327000001</v>
      </c>
      <c r="AG32" s="468">
        <f>+AG36+AG33</f>
        <v>47427725.750999995</v>
      </c>
      <c r="AH32" s="501">
        <f>+AH33+AH36</f>
        <v>54491117.071999997</v>
      </c>
      <c r="AJ32" s="1625"/>
      <c r="AK32" s="1580"/>
      <c r="AL32" s="1580"/>
      <c r="AM32" s="1580"/>
      <c r="AN32" s="657"/>
      <c r="AO32" s="657"/>
      <c r="AP32" s="657"/>
    </row>
    <row r="33" spans="2:46" s="390" customFormat="1" ht="15" customHeight="1" x14ac:dyDescent="0.25">
      <c r="B33" s="428"/>
      <c r="C33" s="136" t="s">
        <v>441</v>
      </c>
      <c r="D33" s="131"/>
      <c r="E33" s="494"/>
      <c r="F33" s="497"/>
      <c r="G33" s="498" t="s">
        <v>86</v>
      </c>
      <c r="H33" s="424">
        <v>0</v>
      </c>
      <c r="I33" s="420">
        <f>+I34+I35</f>
        <v>0</v>
      </c>
      <c r="J33" s="420">
        <f ca="1">SUMIF(S$6:$AH21,"ok",S33:AG33)</f>
        <v>0</v>
      </c>
      <c r="K33" s="996" t="str">
        <f t="shared" ca="1" si="4"/>
        <v>0.00%</v>
      </c>
      <c r="L33" s="420">
        <f>+L34+L35</f>
        <v>0</v>
      </c>
      <c r="M33" s="994">
        <f t="shared" si="5"/>
        <v>0</v>
      </c>
      <c r="N33" s="231">
        <f t="shared" si="12"/>
        <v>0</v>
      </c>
      <c r="O33" s="698">
        <f t="shared" si="1"/>
        <v>0</v>
      </c>
      <c r="P33" s="429">
        <f>+P35+P34</f>
        <v>0</v>
      </c>
      <c r="Q33" s="430">
        <f>+Q35+Q34</f>
        <v>0</v>
      </c>
      <c r="R33" s="1602" t="str">
        <f t="shared" si="6"/>
        <v>0.00%</v>
      </c>
      <c r="S33" s="982">
        <f>SUM(S34:S35)</f>
        <v>0</v>
      </c>
      <c r="T33" s="999">
        <v>0</v>
      </c>
      <c r="U33" s="1262">
        <f>+U34+U35</f>
        <v>0</v>
      </c>
      <c r="V33" s="937">
        <v>0</v>
      </c>
      <c r="W33" s="426">
        <v>0</v>
      </c>
      <c r="X33" s="423">
        <v>0</v>
      </c>
      <c r="Y33" s="460">
        <v>0</v>
      </c>
      <c r="Z33" s="1440">
        <v>0</v>
      </c>
      <c r="AA33" s="469">
        <v>0</v>
      </c>
      <c r="AB33" s="501">
        <v>0</v>
      </c>
      <c r="AC33" s="597">
        <v>0</v>
      </c>
      <c r="AD33" s="491">
        <v>0</v>
      </c>
      <c r="AE33" s="501">
        <v>0</v>
      </c>
      <c r="AF33" s="470">
        <v>0</v>
      </c>
      <c r="AG33" s="468">
        <f>+AG35</f>
        <v>0</v>
      </c>
      <c r="AH33" s="501">
        <f>+AH34</f>
        <v>881025</v>
      </c>
      <c r="AJ33" s="1625"/>
      <c r="AK33" s="1580"/>
      <c r="AL33" s="1580"/>
      <c r="AM33" s="1580"/>
      <c r="AN33" s="657"/>
      <c r="AO33" s="657"/>
      <c r="AP33" s="657"/>
    </row>
    <row r="34" spans="2:46" s="390" customFormat="1" ht="15" customHeight="1" x14ac:dyDescent="0.25">
      <c r="B34" s="807"/>
      <c r="C34" s="369"/>
      <c r="D34" s="808"/>
      <c r="E34" s="488"/>
      <c r="F34" s="1443" t="s">
        <v>913</v>
      </c>
      <c r="G34" s="583" t="s">
        <v>507</v>
      </c>
      <c r="H34" s="764">
        <v>0</v>
      </c>
      <c r="I34" s="467">
        <v>0</v>
      </c>
      <c r="J34" s="835">
        <f ca="1">SUMIF(S$6:$AH22,"ok",S34:AG34)</f>
        <v>0</v>
      </c>
      <c r="K34" s="1649" t="str">
        <f t="shared" ca="1" si="4"/>
        <v>0.00%</v>
      </c>
      <c r="L34" s="765">
        <v>0</v>
      </c>
      <c r="M34" s="1650">
        <f t="shared" si="5"/>
        <v>0</v>
      </c>
      <c r="N34" s="230">
        <f>+I34-L34</f>
        <v>0</v>
      </c>
      <c r="O34" s="1651">
        <f t="shared" si="1"/>
        <v>0</v>
      </c>
      <c r="P34" s="479">
        <v>0</v>
      </c>
      <c r="Q34" s="766">
        <f>SUMIF($S$6:$AH$6,"SI",S34:AH34)</f>
        <v>0</v>
      </c>
      <c r="R34" s="1648" t="str">
        <f t="shared" si="6"/>
        <v>0.00%</v>
      </c>
      <c r="S34" s="984">
        <v>0</v>
      </c>
      <c r="T34" s="998">
        <v>0</v>
      </c>
      <c r="U34" s="1261">
        <v>0</v>
      </c>
      <c r="V34" s="938">
        <v>0</v>
      </c>
      <c r="W34" s="935">
        <v>0</v>
      </c>
      <c r="X34" s="1653">
        <v>0</v>
      </c>
      <c r="Y34" s="1623">
        <v>0</v>
      </c>
      <c r="Z34" s="1624">
        <v>0</v>
      </c>
      <c r="AA34" s="809"/>
      <c r="AB34" s="931"/>
      <c r="AC34" s="811"/>
      <c r="AD34" s="810"/>
      <c r="AE34" s="931"/>
      <c r="AF34" s="928"/>
      <c r="AG34" s="691">
        <v>0</v>
      </c>
      <c r="AH34" s="923">
        <f>+'P03 2022'!JK9</f>
        <v>881025</v>
      </c>
      <c r="AJ34" s="1625"/>
      <c r="AK34" s="1580"/>
      <c r="AL34" s="1580"/>
      <c r="AM34" s="1580"/>
      <c r="AN34" s="657"/>
      <c r="AO34" s="657"/>
      <c r="AP34" s="657"/>
      <c r="AQ34" s="1630"/>
    </row>
    <row r="35" spans="2:46" s="770" customFormat="1" ht="15" customHeight="1" x14ac:dyDescent="0.25">
      <c r="B35" s="760"/>
      <c r="C35" s="761"/>
      <c r="D35" s="762"/>
      <c r="E35" s="763"/>
      <c r="F35" s="1443" t="s">
        <v>912</v>
      </c>
      <c r="G35" s="583" t="s">
        <v>704</v>
      </c>
      <c r="H35" s="764">
        <v>0</v>
      </c>
      <c r="I35" s="467">
        <v>0</v>
      </c>
      <c r="J35" s="467">
        <v>0</v>
      </c>
      <c r="K35" s="1649" t="str">
        <f t="shared" si="4"/>
        <v>0.00%</v>
      </c>
      <c r="L35" s="765">
        <v>0</v>
      </c>
      <c r="M35" s="1650">
        <f t="shared" si="5"/>
        <v>0</v>
      </c>
      <c r="N35" s="230">
        <f t="shared" si="12"/>
        <v>0</v>
      </c>
      <c r="O35" s="1651">
        <f t="shared" si="1"/>
        <v>0</v>
      </c>
      <c r="P35" s="479">
        <v>0</v>
      </c>
      <c r="Q35" s="766">
        <f>SUMIF($S$6:$AH$6,"SI",S35:AH35)</f>
        <v>0</v>
      </c>
      <c r="R35" s="1648" t="str">
        <f t="shared" si="6"/>
        <v>0.00%</v>
      </c>
      <c r="S35" s="984">
        <v>0</v>
      </c>
      <c r="T35" s="1000">
        <v>0</v>
      </c>
      <c r="U35" s="1263">
        <v>0</v>
      </c>
      <c r="V35" s="939">
        <v>0</v>
      </c>
      <c r="W35" s="1438">
        <v>0</v>
      </c>
      <c r="X35" s="1618">
        <v>0</v>
      </c>
      <c r="Y35" s="1621">
        <v>0</v>
      </c>
      <c r="Z35" s="1442">
        <v>0</v>
      </c>
      <c r="AA35" s="767"/>
      <c r="AB35" s="924"/>
      <c r="AC35" s="769"/>
      <c r="AD35" s="768"/>
      <c r="AE35" s="924"/>
      <c r="AF35" s="929">
        <v>0</v>
      </c>
      <c r="AG35" s="768">
        <v>0</v>
      </c>
      <c r="AH35" s="924">
        <v>0</v>
      </c>
      <c r="AI35" s="390"/>
      <c r="AJ35" s="1625"/>
      <c r="AK35" s="1580"/>
      <c r="AL35" s="1580"/>
      <c r="AM35" s="1580"/>
      <c r="AN35" s="657"/>
      <c r="AO35" s="657"/>
      <c r="AP35" s="657"/>
      <c r="AT35" s="1631"/>
    </row>
    <row r="36" spans="2:46" s="390" customFormat="1" ht="15" customHeight="1" x14ac:dyDescent="0.25">
      <c r="B36" s="428"/>
      <c r="C36" s="136">
        <v>3</v>
      </c>
      <c r="D36" s="131"/>
      <c r="E36" s="494"/>
      <c r="F36" s="497"/>
      <c r="G36" s="498" t="s">
        <v>211</v>
      </c>
      <c r="H36" s="424">
        <f>+H50+H51++H37+H42+H49</f>
        <v>187115320</v>
      </c>
      <c r="I36" s="420">
        <f t="shared" ref="I36:AH36" si="16">+I50+I51++I37+I42+I49</f>
        <v>187075320</v>
      </c>
      <c r="J36" s="420">
        <f t="shared" ca="1" si="16"/>
        <v>31577807.615000002</v>
      </c>
      <c r="K36" s="996">
        <f t="shared" ca="1" si="4"/>
        <v>0.16879729306356392</v>
      </c>
      <c r="L36" s="420">
        <f t="shared" si="16"/>
        <v>37782367.883000001</v>
      </c>
      <c r="M36" s="994">
        <f t="shared" si="5"/>
        <v>0.20196340106754862</v>
      </c>
      <c r="N36" s="420">
        <f t="shared" si="16"/>
        <v>149292952.11699998</v>
      </c>
      <c r="O36" s="698">
        <f t="shared" si="1"/>
        <v>0.79803659893245127</v>
      </c>
      <c r="P36" s="424">
        <f t="shared" si="16"/>
        <v>125711422.803</v>
      </c>
      <c r="Q36" s="430">
        <f t="shared" si="16"/>
        <v>25124101.818039998</v>
      </c>
      <c r="R36" s="1602">
        <f t="shared" si="6"/>
        <v>0.19985536125393716</v>
      </c>
      <c r="S36" s="424">
        <f t="shared" si="16"/>
        <v>5299311.7130000005</v>
      </c>
      <c r="T36" s="475">
        <f t="shared" si="16"/>
        <v>4966414.7034569997</v>
      </c>
      <c r="U36" s="424">
        <f>+U37+U42+U49+U50+U51+U52</f>
        <v>10549772.704</v>
      </c>
      <c r="V36" s="475">
        <f t="shared" si="16"/>
        <v>5105581.2549820002</v>
      </c>
      <c r="W36" s="460">
        <f>+W37+W42+W49+W50+W51</f>
        <v>7321283.1030000001</v>
      </c>
      <c r="X36" s="423">
        <f t="shared" si="16"/>
        <v>8210521.8937419988</v>
      </c>
      <c r="Y36" s="460">
        <f>+Y37+Y42+Y49+Y50+Y51</f>
        <v>8407440.0950000007</v>
      </c>
      <c r="Z36" s="425">
        <f t="shared" si="16"/>
        <v>6841583.9658589996</v>
      </c>
      <c r="AA36" s="424">
        <f t="shared" si="16"/>
        <v>2584476.676</v>
      </c>
      <c r="AB36" s="424">
        <f t="shared" si="16"/>
        <v>3685105.3219999997</v>
      </c>
      <c r="AC36" s="424">
        <f t="shared" si="16"/>
        <v>14266620.081</v>
      </c>
      <c r="AD36" s="424">
        <f t="shared" si="16"/>
        <v>65868976.544000007</v>
      </c>
      <c r="AE36" s="424">
        <f t="shared" si="16"/>
        <v>6987925.932</v>
      </c>
      <c r="AF36" s="424">
        <f t="shared" si="16"/>
        <v>14250115.327000001</v>
      </c>
      <c r="AG36" s="424">
        <f t="shared" si="16"/>
        <v>47427725.750999995</v>
      </c>
      <c r="AH36" s="475">
        <f t="shared" si="16"/>
        <v>53610092.071999997</v>
      </c>
      <c r="AJ36" s="1625"/>
      <c r="AK36" s="1580"/>
      <c r="AL36" s="1580"/>
      <c r="AM36" s="1580"/>
      <c r="AN36" s="657"/>
      <c r="AO36" s="657"/>
      <c r="AP36" s="657"/>
      <c r="AS36" s="1630"/>
    </row>
    <row r="37" spans="2:46" s="390" customFormat="1" ht="15" customHeight="1" x14ac:dyDescent="0.25">
      <c r="B37" s="428"/>
      <c r="C37" s="136"/>
      <c r="D37" s="131">
        <v>5</v>
      </c>
      <c r="E37" s="494"/>
      <c r="F37" s="497"/>
      <c r="G37" s="498" t="s">
        <v>967</v>
      </c>
      <c r="H37" s="424">
        <f>SUM(H38:H41)</f>
        <v>90277278</v>
      </c>
      <c r="I37" s="420">
        <f t="shared" ref="I37:AH37" si="17">SUM(I38:I41)</f>
        <v>90277278</v>
      </c>
      <c r="J37" s="420">
        <f t="shared" ca="1" si="17"/>
        <v>16895025.823000003</v>
      </c>
      <c r="K37" s="996">
        <f t="shared" ca="1" si="4"/>
        <v>0.18714593746390984</v>
      </c>
      <c r="L37" s="420">
        <f t="shared" si="17"/>
        <v>21568672.844999999</v>
      </c>
      <c r="M37" s="994">
        <f t="shared" si="5"/>
        <v>0.23891585261354467</v>
      </c>
      <c r="N37" s="420">
        <f t="shared" si="17"/>
        <v>68708605.155000001</v>
      </c>
      <c r="O37" s="698">
        <f t="shared" si="1"/>
        <v>0.76108414738645536</v>
      </c>
      <c r="P37" s="424">
        <f t="shared" si="17"/>
        <v>51663497.611000001</v>
      </c>
      <c r="Q37" s="430">
        <f t="shared" si="17"/>
        <v>14044735.920452001</v>
      </c>
      <c r="R37" s="1602">
        <f t="shared" si="6"/>
        <v>0.27185027282128199</v>
      </c>
      <c r="S37" s="424">
        <f t="shared" si="17"/>
        <v>5121955.6190000009</v>
      </c>
      <c r="T37" s="475">
        <f t="shared" si="17"/>
        <v>4470659.390199</v>
      </c>
      <c r="U37" s="424">
        <f>SUM(U38:U41)</f>
        <v>3793151.8249999997</v>
      </c>
      <c r="V37" s="475">
        <f t="shared" si="17"/>
        <v>1734571.3548019999</v>
      </c>
      <c r="W37" s="475">
        <f>SUM(W38:W41)</f>
        <v>3448872.4360000002</v>
      </c>
      <c r="X37" s="423">
        <f>SUM(X38:X41)</f>
        <v>2938290.4624729999</v>
      </c>
      <c r="Y37" s="460">
        <f t="shared" si="17"/>
        <v>4531045.9430000009</v>
      </c>
      <c r="Z37" s="425">
        <f t="shared" si="17"/>
        <v>4901214.7129779998</v>
      </c>
      <c r="AA37" s="424">
        <f t="shared" si="17"/>
        <v>414706.15899999999</v>
      </c>
      <c r="AB37" s="424">
        <f t="shared" si="17"/>
        <v>932427.06299999997</v>
      </c>
      <c r="AC37" s="424">
        <f t="shared" si="17"/>
        <v>6632602.3760000002</v>
      </c>
      <c r="AD37" s="424">
        <f t="shared" si="17"/>
        <v>27764543.897</v>
      </c>
      <c r="AE37" s="424">
        <f t="shared" si="17"/>
        <v>3904036.9</v>
      </c>
      <c r="AF37" s="424">
        <f t="shared" si="17"/>
        <v>4743668.4069999997</v>
      </c>
      <c r="AG37" s="424">
        <f t="shared" si="17"/>
        <v>24305348.416999999</v>
      </c>
      <c r="AH37" s="475">
        <f t="shared" si="17"/>
        <v>23764198.877999999</v>
      </c>
      <c r="AJ37" s="1625"/>
      <c r="AK37" s="1580"/>
      <c r="AL37" s="1580"/>
      <c r="AM37" s="1580"/>
      <c r="AN37" s="657"/>
      <c r="AO37" s="657"/>
      <c r="AP37" s="657"/>
    </row>
    <row r="38" spans="2:46" s="390" customFormat="1" ht="15" customHeight="1" x14ac:dyDescent="0.25">
      <c r="B38" s="492"/>
      <c r="C38" s="144"/>
      <c r="D38" s="145"/>
      <c r="E38" s="757">
        <v>1</v>
      </c>
      <c r="F38" s="647" t="s">
        <v>969</v>
      </c>
      <c r="G38" s="583" t="s">
        <v>676</v>
      </c>
      <c r="H38" s="493">
        <f>+'P03 2023'!I17</f>
        <v>42112712</v>
      </c>
      <c r="I38" s="467">
        <f>+'P03 2023'!BR23</f>
        <v>42112712</v>
      </c>
      <c r="J38" s="467">
        <f ca="1">SUMIF(S$6:$AH$6,"ok",S38:AG38)</f>
        <v>0</v>
      </c>
      <c r="K38" s="1649">
        <f t="shared" ca="1" si="4"/>
        <v>0</v>
      </c>
      <c r="L38" s="1640">
        <f>+'P03 2023'!BS24</f>
        <v>70000</v>
      </c>
      <c r="M38" s="1650">
        <f t="shared" si="5"/>
        <v>1.6622059391473054E-3</v>
      </c>
      <c r="N38" s="230">
        <f>+I38-L38</f>
        <v>42042712</v>
      </c>
      <c r="O38" s="1651">
        <f t="shared" si="1"/>
        <v>0.99833779406085266</v>
      </c>
      <c r="P38" s="479">
        <f>+'P03 2022'!BN27</f>
        <v>13123731.5625</v>
      </c>
      <c r="Q38" s="835">
        <f>SUMIF($S$6:$AH$6,"SI",S38:AH38)</f>
        <v>0</v>
      </c>
      <c r="R38" s="1648">
        <f t="shared" si="6"/>
        <v>0</v>
      </c>
      <c r="S38" s="984">
        <v>0</v>
      </c>
      <c r="T38" s="998">
        <v>0</v>
      </c>
      <c r="U38" s="1261">
        <v>0</v>
      </c>
      <c r="V38" s="938">
        <v>0</v>
      </c>
      <c r="W38" s="935">
        <v>0</v>
      </c>
      <c r="X38" s="1617">
        <v>0</v>
      </c>
      <c r="Y38" s="465">
        <v>0</v>
      </c>
      <c r="Z38" s="465">
        <v>0</v>
      </c>
      <c r="AA38" s="464">
        <f>+'P03 2022'!CD11</f>
        <v>77268.932000000001</v>
      </c>
      <c r="AB38" s="922">
        <f>+'P03 2022'!DD12</f>
        <v>309726.63299999997</v>
      </c>
      <c r="AC38" s="662">
        <f>+'P03 2022'!EE9</f>
        <v>1001560.428</v>
      </c>
      <c r="AD38" s="466">
        <f>+'P03 2022'!FG12</f>
        <v>687438.22100000002</v>
      </c>
      <c r="AE38" s="922">
        <f>+'P03 2022'!GI13</f>
        <v>631083.19299999997</v>
      </c>
      <c r="AF38" s="462">
        <f>+'P03 2022'!HK10</f>
        <v>558900.00100000005</v>
      </c>
      <c r="AG38" s="466">
        <f>+'P03 2022'!IM23</f>
        <v>3673917.3360000001</v>
      </c>
      <c r="AH38" s="925">
        <f>+'P03 2022'!JK13</f>
        <v>2866048.6340000001</v>
      </c>
      <c r="AJ38" s="1625"/>
      <c r="AK38" s="1580"/>
      <c r="AL38" s="1580"/>
      <c r="AM38" s="1580"/>
      <c r="AN38" s="657"/>
      <c r="AO38" s="657"/>
      <c r="AP38" s="657"/>
    </row>
    <row r="39" spans="2:46" s="390" customFormat="1" ht="15" customHeight="1" x14ac:dyDescent="0.25">
      <c r="B39" s="492"/>
      <c r="C39" s="144"/>
      <c r="D39" s="145"/>
      <c r="E39" s="757">
        <v>2</v>
      </c>
      <c r="F39" s="647" t="s">
        <v>970</v>
      </c>
      <c r="G39" s="583" t="s">
        <v>677</v>
      </c>
      <c r="H39" s="493">
        <f>+'P03 2023'!I18</f>
        <v>26521300</v>
      </c>
      <c r="I39" s="467">
        <f>+'P03 2023'!BR25</f>
        <v>26521300</v>
      </c>
      <c r="J39" s="467">
        <f ca="1">SUMIF(S$6:$AH$6,"ok",S39:AG39)</f>
        <v>8149438.0560000008</v>
      </c>
      <c r="K39" s="1649">
        <f t="shared" ca="1" si="4"/>
        <v>0.30727898164871259</v>
      </c>
      <c r="L39" s="1640">
        <f>+'P03 2023'!BS26</f>
        <v>10138072.433</v>
      </c>
      <c r="M39" s="1650">
        <f t="shared" si="5"/>
        <v>0.38226151934482849</v>
      </c>
      <c r="N39" s="230">
        <f>+I39-L39</f>
        <v>16383227.567</v>
      </c>
      <c r="O39" s="1651">
        <f t="shared" si="1"/>
        <v>0.61773848065517145</v>
      </c>
      <c r="P39" s="479">
        <f>+'P03 2022'!BN29</f>
        <v>20458443.957079999</v>
      </c>
      <c r="Q39" s="835">
        <f>SUMIF($S$6:$AH$6,"SI",S39:AH39)</f>
        <v>4847639.0261240005</v>
      </c>
      <c r="R39" s="1648">
        <f t="shared" si="6"/>
        <v>0.23695052450195711</v>
      </c>
      <c r="S39" s="1448">
        <f>+'P03 2023'!K19</f>
        <v>343835.12800000003</v>
      </c>
      <c r="T39" s="998">
        <f>+'P03 2022'!H26</f>
        <v>114513.945568</v>
      </c>
      <c r="U39" s="1261">
        <f>+'P03 2023'!W11</f>
        <v>3167207.9989999998</v>
      </c>
      <c r="V39" s="938">
        <f>+'P03 2022'!Q8</f>
        <v>1538904.614209</v>
      </c>
      <c r="W39" s="935">
        <f>+'P03 2023'!AO9</f>
        <v>2591537.16</v>
      </c>
      <c r="X39" s="1617">
        <f>+'P03 2022'!AI11</f>
        <v>2938290.4624729999</v>
      </c>
      <c r="Y39" s="465">
        <f>+'P03 2023'!BI8</f>
        <v>2046857.7690000001</v>
      </c>
      <c r="Z39" s="1547">
        <f>+'P03 2022'!BC6</f>
        <v>255930.00387399999</v>
      </c>
      <c r="AA39" s="464">
        <f>+'P03 2022'!CD12</f>
        <v>337437.22700000001</v>
      </c>
      <c r="AB39" s="922">
        <f>+'P03 2022'!DD14</f>
        <v>352910.25400000002</v>
      </c>
      <c r="AC39" s="662">
        <f>+'P03 2022'!EE10</f>
        <v>1220526.6910000001</v>
      </c>
      <c r="AD39" s="466">
        <f>+'P03 2022'!FG14</f>
        <v>27018465.590999998</v>
      </c>
      <c r="AE39" s="922">
        <f>+'P03 2022'!GI14</f>
        <v>3272953.7069999999</v>
      </c>
      <c r="AF39" s="462">
        <f>+'P03 2022'!HK11</f>
        <v>2238570.0959999999</v>
      </c>
      <c r="AG39" s="466">
        <f>+'P03 2022'!IM26</f>
        <v>17459232.348000001</v>
      </c>
      <c r="AH39" s="925">
        <f>+'P03 2022'!JK14</f>
        <v>1594899.2660000001</v>
      </c>
      <c r="AJ39" s="1625"/>
      <c r="AK39" s="1580"/>
      <c r="AL39" s="1580"/>
      <c r="AM39" s="1580"/>
      <c r="AN39" s="657"/>
      <c r="AO39" s="657"/>
      <c r="AP39" s="657"/>
    </row>
    <row r="40" spans="2:46" s="390" customFormat="1" ht="15" customHeight="1" x14ac:dyDescent="0.25">
      <c r="B40" s="492"/>
      <c r="C40" s="144"/>
      <c r="D40" s="145"/>
      <c r="E40" s="757">
        <v>3</v>
      </c>
      <c r="F40" s="647" t="s">
        <v>971</v>
      </c>
      <c r="G40" s="583" t="s">
        <v>678</v>
      </c>
      <c r="H40" s="493">
        <f>+'P03 2023'!I20</f>
        <v>16643266</v>
      </c>
      <c r="I40" s="467">
        <f>+'P03 2023'!BR27</f>
        <v>16643266</v>
      </c>
      <c r="J40" s="467">
        <f ca="1">SUMIF(S$6:$AH$6,"ok",S40:AG40)</f>
        <v>7068858.796000001</v>
      </c>
      <c r="K40" s="1649">
        <f t="shared" ca="1" si="4"/>
        <v>0.42472786266830087</v>
      </c>
      <c r="L40" s="1640">
        <f>+'P03 2023'!BS28</f>
        <v>9611191.4409999996</v>
      </c>
      <c r="M40" s="1650">
        <f t="shared" si="5"/>
        <v>0.57748229470105206</v>
      </c>
      <c r="N40" s="230">
        <f>+I40-L40</f>
        <v>7032074.5590000004</v>
      </c>
      <c r="O40" s="1651">
        <f t="shared" si="1"/>
        <v>0.42251770529894794</v>
      </c>
      <c r="P40" s="479">
        <f>+'P03 2022'!BN31</f>
        <v>18081322.091419999</v>
      </c>
      <c r="Q40" s="835">
        <f>SUMIF($S$6:$AH$6,"SI",S40:AH40)</f>
        <v>9197096.894328</v>
      </c>
      <c r="R40" s="1648">
        <f t="shared" si="6"/>
        <v>0.50865179259719251</v>
      </c>
      <c r="S40" s="1448">
        <f>+'P03 2023'!K21</f>
        <v>4778120.4910000004</v>
      </c>
      <c r="T40" s="998">
        <f>+'P03 2022'!H28</f>
        <v>4356145.444631</v>
      </c>
      <c r="U40" s="1261">
        <f>+'P03 2023'!W12</f>
        <v>30909.655999999999</v>
      </c>
      <c r="V40" s="938">
        <f>+'P03 2022'!Q9</f>
        <v>195666.74059299997</v>
      </c>
      <c r="W40" s="935">
        <v>0</v>
      </c>
      <c r="X40" s="1617">
        <v>0</v>
      </c>
      <c r="Y40" s="935">
        <f>+'P03 2023'!BI9</f>
        <v>2259828.6490000002</v>
      </c>
      <c r="Z40" s="1547">
        <f>+'P03 2022'!BC7</f>
        <v>4645284.7091039997</v>
      </c>
      <c r="AA40" s="464">
        <f>+'P03 2022'!CD13</f>
        <v>0</v>
      </c>
      <c r="AB40" s="922">
        <f>+'P03 2022'!DD16</f>
        <v>269790.17599999998</v>
      </c>
      <c r="AC40" s="662">
        <f>+'P03 2022'!EE11</f>
        <v>4410515.2570000002</v>
      </c>
      <c r="AD40" s="466">
        <f>+'P03 2022'!FG15</f>
        <v>58640.084999999999</v>
      </c>
      <c r="AE40" s="922">
        <v>0</v>
      </c>
      <c r="AF40" s="462">
        <f>+'P03 2022'!HK13</f>
        <v>1946198.31</v>
      </c>
      <c r="AG40" s="466">
        <f>+'P03 2022'!IM27</f>
        <v>701779.527</v>
      </c>
      <c r="AH40" s="925">
        <f>+'P03 2022'!JK15</f>
        <v>1744767.2150000001</v>
      </c>
      <c r="AJ40" s="1625"/>
      <c r="AK40" s="1580"/>
      <c r="AL40" s="1580"/>
      <c r="AM40" s="1580"/>
      <c r="AN40" s="657"/>
      <c r="AO40" s="657"/>
      <c r="AP40" s="657"/>
    </row>
    <row r="41" spans="2:46" s="390" customFormat="1" ht="15" customHeight="1" x14ac:dyDescent="0.25">
      <c r="B41" s="492"/>
      <c r="C41" s="144"/>
      <c r="D41" s="145"/>
      <c r="E41" s="757">
        <v>8</v>
      </c>
      <c r="F41" s="647" t="s">
        <v>972</v>
      </c>
      <c r="G41" s="583" t="str">
        <f>+'P03 2022'!HP35</f>
        <v>Emergencia S.P.D.</v>
      </c>
      <c r="H41" s="493">
        <f>+'P03 2023'!I22</f>
        <v>5000000</v>
      </c>
      <c r="I41" s="467">
        <f>+'P03 2023'!BR29</f>
        <v>5000000</v>
      </c>
      <c r="J41" s="467">
        <f ca="1">SUMIF(S$6:$AH$6,"ok",S41:AG41)</f>
        <v>1676728.9709999999</v>
      </c>
      <c r="K41" s="1649">
        <f t="shared" ca="1" si="4"/>
        <v>0.33534579419999999</v>
      </c>
      <c r="L41" s="1640">
        <f>+'P03 2023'!BS30</f>
        <v>1749408.9709999999</v>
      </c>
      <c r="M41" s="1650">
        <f t="shared" si="5"/>
        <v>0.34988179419999998</v>
      </c>
      <c r="N41" s="230">
        <f>+I41-L41</f>
        <v>3250591.0290000001</v>
      </c>
      <c r="O41" s="1651">
        <f t="shared" si="1"/>
        <v>0.65011820580000002</v>
      </c>
      <c r="P41" s="479">
        <v>0</v>
      </c>
      <c r="Q41" s="835">
        <f>SUMIF($S$6:$AH$6,"SI",S41:AH41)</f>
        <v>0</v>
      </c>
      <c r="R41" s="1648" t="str">
        <f t="shared" si="6"/>
        <v>0.00%</v>
      </c>
      <c r="S41" s="984">
        <v>0</v>
      </c>
      <c r="T41" s="998">
        <v>0</v>
      </c>
      <c r="U41" s="1261">
        <f>+'P03 2023'!W13</f>
        <v>595034.17000000004</v>
      </c>
      <c r="V41" s="938"/>
      <c r="W41" s="935">
        <f>+'P03 2023'!AO10</f>
        <v>857335.27599999995</v>
      </c>
      <c r="X41" s="1617">
        <v>0</v>
      </c>
      <c r="Y41" s="935">
        <f>+'P03 2023'!BI10</f>
        <v>224359.52499999999</v>
      </c>
      <c r="Z41" s="465">
        <v>0</v>
      </c>
      <c r="AA41" s="464"/>
      <c r="AB41" s="922"/>
      <c r="AC41" s="662"/>
      <c r="AD41" s="466"/>
      <c r="AE41" s="922"/>
      <c r="AF41" s="462"/>
      <c r="AG41" s="466">
        <f>+'P03 2022'!IM30</f>
        <v>2470419.2059999998</v>
      </c>
      <c r="AH41" s="925">
        <f>+'P03 2022'!JK16</f>
        <v>17558483.763</v>
      </c>
      <c r="AJ41" s="1625"/>
      <c r="AK41" s="1580"/>
      <c r="AL41" s="1580"/>
      <c r="AM41" s="1580"/>
      <c r="AN41" s="657"/>
      <c r="AO41" s="657"/>
      <c r="AP41" s="657"/>
    </row>
    <row r="42" spans="2:46" s="390" customFormat="1" ht="15" customHeight="1" x14ac:dyDescent="0.25">
      <c r="B42" s="428"/>
      <c r="C42" s="136"/>
      <c r="D42" s="131">
        <v>6</v>
      </c>
      <c r="E42" s="494"/>
      <c r="F42" s="497"/>
      <c r="G42" s="498" t="s">
        <v>968</v>
      </c>
      <c r="H42" s="424">
        <f>SUM(H43:H48)</f>
        <v>56612173</v>
      </c>
      <c r="I42" s="420">
        <f t="shared" ref="I42:AH42" si="18">SUM(I43:I48)</f>
        <v>56612173</v>
      </c>
      <c r="J42" s="420">
        <f ca="1">SUMIF(S$6:$AH$6,"ok",S42:AG42)</f>
        <v>13514820.215999998</v>
      </c>
      <c r="K42" s="996">
        <f t="shared" ca="1" si="4"/>
        <v>0.23872639928518549</v>
      </c>
      <c r="L42" s="420">
        <f t="shared" si="18"/>
        <v>14952001.462000001</v>
      </c>
      <c r="M42" s="994">
        <f t="shared" si="5"/>
        <v>0.26411283421323539</v>
      </c>
      <c r="N42" s="420">
        <f t="shared" si="18"/>
        <v>41660171.538000003</v>
      </c>
      <c r="O42" s="698">
        <f t="shared" si="1"/>
        <v>0.73588716578676472</v>
      </c>
      <c r="P42" s="424">
        <f>SUM(P43:P48)</f>
        <v>33610040.299999997</v>
      </c>
      <c r="Q42" s="430">
        <f t="shared" si="18"/>
        <v>10571903.767455999</v>
      </c>
      <c r="R42" s="1602">
        <f t="shared" si="6"/>
        <v>0.31454600092984714</v>
      </c>
      <c r="S42" s="424">
        <f t="shared" si="18"/>
        <v>177356.09399999998</v>
      </c>
      <c r="T42" s="475">
        <f t="shared" si="18"/>
        <v>495755.31325799995</v>
      </c>
      <c r="U42" s="424">
        <f>SUM(U43:U48)</f>
        <v>6756620.8789999997</v>
      </c>
      <c r="V42" s="475">
        <f t="shared" si="18"/>
        <v>3371009.9001799999</v>
      </c>
      <c r="W42" s="460">
        <f>SUM(W43:W48)</f>
        <v>3744397.9160000002</v>
      </c>
      <c r="X42" s="423">
        <f t="shared" si="18"/>
        <v>4998629.3011369994</v>
      </c>
      <c r="Y42" s="460">
        <f t="shared" si="18"/>
        <v>2836445.327</v>
      </c>
      <c r="Z42" s="425">
        <f t="shared" si="18"/>
        <v>1706509.2528809998</v>
      </c>
      <c r="AA42" s="424">
        <f t="shared" si="18"/>
        <v>1669505.0390000001</v>
      </c>
      <c r="AB42" s="424">
        <f t="shared" si="18"/>
        <v>2187953.4289999995</v>
      </c>
      <c r="AC42" s="424">
        <f t="shared" si="18"/>
        <v>1785601.3529999999</v>
      </c>
      <c r="AD42" s="424">
        <f t="shared" si="18"/>
        <v>29549236.233000003</v>
      </c>
      <c r="AE42" s="424">
        <f t="shared" si="18"/>
        <v>1188655.56</v>
      </c>
      <c r="AF42" s="424">
        <f t="shared" si="18"/>
        <v>2823590.2090000003</v>
      </c>
      <c r="AG42" s="424">
        <f t="shared" si="18"/>
        <v>13683221.630999999</v>
      </c>
      <c r="AH42" s="475">
        <f t="shared" si="18"/>
        <v>18668923.917999998</v>
      </c>
      <c r="AJ42" s="1625"/>
      <c r="AK42" s="1580"/>
      <c r="AL42" s="1580"/>
      <c r="AM42" s="1580"/>
      <c r="AN42" s="657"/>
      <c r="AO42" s="657"/>
      <c r="AP42" s="657"/>
      <c r="AR42" s="1630"/>
    </row>
    <row r="43" spans="2:46" s="390" customFormat="1" ht="15" customHeight="1" x14ac:dyDescent="0.25">
      <c r="B43" s="492"/>
      <c r="C43" s="144"/>
      <c r="D43" s="488"/>
      <c r="E43" s="757">
        <v>1</v>
      </c>
      <c r="F43" s="647" t="s">
        <v>973</v>
      </c>
      <c r="G43" s="583" t="s">
        <v>679</v>
      </c>
      <c r="H43" s="493">
        <f>+'P03 2023'!I23</f>
        <v>5736407</v>
      </c>
      <c r="I43" s="467">
        <f>+'P03 2023'!BR31</f>
        <v>5736407</v>
      </c>
      <c r="J43" s="467">
        <f ca="1">SUMIF(S$6:$AH$6,"ok",S43:AG43)</f>
        <v>3560698.048</v>
      </c>
      <c r="K43" s="1649">
        <f t="shared" ca="1" si="4"/>
        <v>0.62071921465823465</v>
      </c>
      <c r="L43" s="1640">
        <f>+'P03 2023'!BS32</f>
        <v>3955298.048</v>
      </c>
      <c r="M43" s="1650">
        <f t="shared" si="5"/>
        <v>0.68950791810971568</v>
      </c>
      <c r="N43" s="230">
        <f t="shared" ref="N43:N48" si="19">+I43-L43</f>
        <v>1781108.952</v>
      </c>
      <c r="O43" s="1651">
        <f t="shared" si="1"/>
        <v>0.31049208189028427</v>
      </c>
      <c r="P43" s="479">
        <f>+'P03 2022'!BN33</f>
        <v>7089036.771151999</v>
      </c>
      <c r="Q43" s="835">
        <f t="shared" ref="Q43:Q49" si="20">SUMIF($S$6:$AH$6,"SI",S43:AH43)</f>
        <v>4040012.661113</v>
      </c>
      <c r="R43" s="1648">
        <f t="shared" si="6"/>
        <v>0.56989585348934235</v>
      </c>
      <c r="S43" s="1449">
        <f>+'P03 2023'!K24</f>
        <v>53816.665999999997</v>
      </c>
      <c r="T43" s="998">
        <f>+'P03 2022'!H30</f>
        <v>211152.22057499998</v>
      </c>
      <c r="U43" s="1261">
        <f>+'P03 2023'!W14</f>
        <v>1934903.8689999999</v>
      </c>
      <c r="V43" s="938">
        <f>+'P03 2022'!Q10</f>
        <v>754617.76846000005</v>
      </c>
      <c r="W43" s="935">
        <f>+'P03 2023'!AO11</f>
        <v>471722.272</v>
      </c>
      <c r="X43" s="1617">
        <f>+'P03 2022'!AI12</f>
        <v>2433295.1726609999</v>
      </c>
      <c r="Y43" s="935">
        <f>+'P03 2023'!BI11</f>
        <v>1100255.2409999999</v>
      </c>
      <c r="Z43" s="1547">
        <f>+'P03 2022'!BC8</f>
        <v>640947.49941699998</v>
      </c>
      <c r="AA43" s="464">
        <f>+'P03 2022'!CD14</f>
        <v>562830.26500000001</v>
      </c>
      <c r="AB43" s="922">
        <f>+'P03 2022'!DD17</f>
        <v>236264.065</v>
      </c>
      <c r="AC43" s="662">
        <f>+'P03 2022'!EE12</f>
        <v>95993.148000000001</v>
      </c>
      <c r="AD43" s="466">
        <f>+'P03 2022'!FG16</f>
        <v>263139.73300000001</v>
      </c>
      <c r="AE43" s="922">
        <f>+'P03 2022'!GI16</f>
        <v>172632</v>
      </c>
      <c r="AF43" s="462">
        <f>+'P03 2022'!HK15</f>
        <v>305588.10499999998</v>
      </c>
      <c r="AG43" s="466">
        <f>+'P03 2022'!IM31</f>
        <v>1259359.92</v>
      </c>
      <c r="AH43" s="925">
        <f>+'P03 2022'!JK17</f>
        <v>2058557.4469999999</v>
      </c>
      <c r="AJ43" s="1625"/>
      <c r="AK43" s="1580"/>
      <c r="AL43" s="1580"/>
      <c r="AM43" s="1580"/>
      <c r="AN43" s="657"/>
      <c r="AO43" s="657"/>
      <c r="AP43" s="657"/>
    </row>
    <row r="44" spans="2:46" s="390" customFormat="1" ht="15" customHeight="1" x14ac:dyDescent="0.25">
      <c r="B44" s="492"/>
      <c r="C44" s="144"/>
      <c r="D44" s="488"/>
      <c r="E44" s="757">
        <v>1</v>
      </c>
      <c r="F44" s="647" t="s">
        <v>974</v>
      </c>
      <c r="G44" s="583" t="s">
        <v>680</v>
      </c>
      <c r="H44" s="493">
        <f>+'P03 2023'!I25</f>
        <v>7925135</v>
      </c>
      <c r="I44" s="467">
        <f>+'P03 2023'!BR33</f>
        <v>7925135</v>
      </c>
      <c r="J44" s="467">
        <f ca="1">SUMIF(S$6:$AH$6,"ok",S44:AG44)</f>
        <v>3470113.1680000001</v>
      </c>
      <c r="K44" s="1649">
        <f t="shared" ca="1" si="4"/>
        <v>0.43786171062070239</v>
      </c>
      <c r="L44" s="1640">
        <f>+'P03 2023'!BS34</f>
        <v>3470113.1680000001</v>
      </c>
      <c r="M44" s="1650">
        <f t="shared" si="5"/>
        <v>0.43786171062070239</v>
      </c>
      <c r="N44" s="230">
        <f t="shared" si="19"/>
        <v>4455021.8320000004</v>
      </c>
      <c r="O44" s="1651">
        <f t="shared" si="1"/>
        <v>0.56213828937929766</v>
      </c>
      <c r="P44" s="479">
        <f>+'P03 2022'!BN35</f>
        <v>931303.86699999997</v>
      </c>
      <c r="Q44" s="835">
        <f t="shared" si="20"/>
        <v>612403.86699999997</v>
      </c>
      <c r="R44" s="1648">
        <f t="shared" si="6"/>
        <v>0.65757685402158861</v>
      </c>
      <c r="S44" s="984">
        <v>0</v>
      </c>
      <c r="T44" s="998">
        <v>0</v>
      </c>
      <c r="U44" s="1261">
        <f>+'P03 2023'!W15</f>
        <v>2201230.6940000001</v>
      </c>
      <c r="V44" s="938">
        <f>+'P03 2022'!Q11</f>
        <v>133300.19999999998</v>
      </c>
      <c r="W44" s="935">
        <f>+'P03 2023'!AO12</f>
        <v>1268882.4739999999</v>
      </c>
      <c r="X44" s="1617">
        <v>0</v>
      </c>
      <c r="Y44" s="935">
        <v>0</v>
      </c>
      <c r="Z44" s="1547">
        <f>+'P03 2022'!BC9</f>
        <v>479103.66699999996</v>
      </c>
      <c r="AA44" s="464">
        <v>0</v>
      </c>
      <c r="AB44" s="922">
        <f>+'P03 2022'!DD19</f>
        <v>867077.31499999994</v>
      </c>
      <c r="AC44" s="662">
        <v>0</v>
      </c>
      <c r="AD44" s="466">
        <f>+'P03 2022'!FG17</f>
        <v>450709</v>
      </c>
      <c r="AE44" s="922">
        <f>+'P03 2022'!GI17</f>
        <v>0</v>
      </c>
      <c r="AF44" s="462">
        <v>0</v>
      </c>
      <c r="AG44" s="466">
        <f>+'P03 2022'!IM34</f>
        <v>1447202.024</v>
      </c>
      <c r="AH44" s="925">
        <f>+'P03 2022'!JK18</f>
        <v>1241165.0249999999</v>
      </c>
      <c r="AJ44" s="1625"/>
      <c r="AK44" s="1580"/>
      <c r="AL44" s="1580"/>
      <c r="AM44" s="1580"/>
      <c r="AN44" s="657"/>
      <c r="AO44" s="657"/>
      <c r="AP44" s="657"/>
    </row>
    <row r="45" spans="2:46" s="390" customFormat="1" ht="15" customHeight="1" x14ac:dyDescent="0.25">
      <c r="B45" s="492"/>
      <c r="C45" s="144"/>
      <c r="D45" s="488"/>
      <c r="E45" s="757">
        <v>1</v>
      </c>
      <c r="F45" s="647" t="s">
        <v>975</v>
      </c>
      <c r="G45" s="583" t="s">
        <v>681</v>
      </c>
      <c r="H45" s="493">
        <f>+'P03 2023'!I26</f>
        <v>1946254</v>
      </c>
      <c r="I45" s="467">
        <f>+'P03 2023'!BR35</f>
        <v>1946254</v>
      </c>
      <c r="J45" s="467">
        <f ca="1">SUMIF(S$6:$AH$6,"ok",S45:AG45)</f>
        <v>854169.97199999995</v>
      </c>
      <c r="K45" s="1649">
        <f t="shared" ca="1" si="4"/>
        <v>0.43887898085244781</v>
      </c>
      <c r="L45" s="1640">
        <f>+'P03 2023'!BS36</f>
        <v>932169.97199999995</v>
      </c>
      <c r="M45" s="1650">
        <f t="shared" si="5"/>
        <v>0.47895596977578464</v>
      </c>
      <c r="N45" s="230">
        <f t="shared" si="19"/>
        <v>1014084.028</v>
      </c>
      <c r="O45" s="1651">
        <f t="shared" si="1"/>
        <v>0.52104403022421542</v>
      </c>
      <c r="P45" s="479">
        <f>+'P03 2022'!BN37</f>
        <v>2236005.8688679999</v>
      </c>
      <c r="Q45" s="835">
        <f t="shared" si="20"/>
        <v>820001.21147900005</v>
      </c>
      <c r="R45" s="1648">
        <f t="shared" si="6"/>
        <v>0.36672587621343489</v>
      </c>
      <c r="S45" s="984">
        <v>0</v>
      </c>
      <c r="T45" s="998">
        <f>+'P03 2022'!H34</f>
        <v>22429.3</v>
      </c>
      <c r="U45" s="1261">
        <f>+'P03 2023'!W16</f>
        <v>363792.85</v>
      </c>
      <c r="V45" s="938">
        <f>+'P03 2022'!Q12</f>
        <v>218263.13249999998</v>
      </c>
      <c r="W45" s="935">
        <f>+'P03 2023'!AO13</f>
        <v>347751.23800000001</v>
      </c>
      <c r="X45" s="1617">
        <f>+'P03 2022'!AI13</f>
        <v>370179.12</v>
      </c>
      <c r="Y45" s="935">
        <f>+'P03 2023'!BI12</f>
        <v>142625.88399999999</v>
      </c>
      <c r="Z45" s="1547">
        <f>+'P03 2022'!BC10</f>
        <v>209129.658979</v>
      </c>
      <c r="AA45" s="464">
        <f>+'P03 2022'!CD15</f>
        <v>263638.35200000001</v>
      </c>
      <c r="AB45" s="922">
        <f>+'P03 2022'!DD20</f>
        <v>52269.226999999999</v>
      </c>
      <c r="AC45" s="662">
        <f>+'P03 2022'!EE13</f>
        <v>91929.706999999995</v>
      </c>
      <c r="AD45" s="466">
        <f>+'P03 2022'!FG18</f>
        <v>192626.66200000001</v>
      </c>
      <c r="AE45" s="922">
        <f>+'P03 2022'!GI19</f>
        <v>77712.736999999994</v>
      </c>
      <c r="AF45" s="462">
        <v>0</v>
      </c>
      <c r="AG45" s="466">
        <f>+'P03 2022'!IM36</f>
        <v>1700736.51</v>
      </c>
      <c r="AH45" s="925">
        <f>+'P03 2022'!JK19</f>
        <v>1419202.2120000001</v>
      </c>
      <c r="AJ45" s="1625"/>
      <c r="AK45" s="1580"/>
      <c r="AL45" s="1580"/>
      <c r="AM45" s="1580"/>
      <c r="AN45" s="657"/>
      <c r="AO45" s="657"/>
      <c r="AP45" s="657"/>
    </row>
    <row r="46" spans="2:46" s="390" customFormat="1" ht="15" customHeight="1" x14ac:dyDescent="0.25">
      <c r="B46" s="492"/>
      <c r="C46" s="144"/>
      <c r="D46" s="488"/>
      <c r="E46" s="757">
        <v>1</v>
      </c>
      <c r="F46" s="647" t="s">
        <v>976</v>
      </c>
      <c r="G46" s="583" t="s">
        <v>682</v>
      </c>
      <c r="H46" s="493">
        <f>+'P03 2023'!I27</f>
        <v>2260410</v>
      </c>
      <c r="I46" s="467">
        <f>+'P03 2023'!BR37</f>
        <v>2260410</v>
      </c>
      <c r="J46" s="467">
        <f ca="1">SUMIF(S$6:$AH$6,"ok",S46:AG46)</f>
        <v>302326.79099999997</v>
      </c>
      <c r="K46" s="1649">
        <f t="shared" ca="1" si="4"/>
        <v>0.13374865223565635</v>
      </c>
      <c r="L46" s="1640">
        <f>+'P03 2023'!BS38</f>
        <v>302326.79100000003</v>
      </c>
      <c r="M46" s="1650">
        <f t="shared" si="5"/>
        <v>0.13374865223565638</v>
      </c>
      <c r="N46" s="230">
        <f t="shared" si="19"/>
        <v>1958083.209</v>
      </c>
      <c r="O46" s="1651">
        <f t="shared" si="1"/>
        <v>0.86625134776434365</v>
      </c>
      <c r="P46" s="479">
        <f>+'P03 2022'!BN39</f>
        <v>1988033.6881530001</v>
      </c>
      <c r="Q46" s="835">
        <f t="shared" si="20"/>
        <v>469347.87819999998</v>
      </c>
      <c r="R46" s="1648">
        <f t="shared" si="6"/>
        <v>0.23608648132922319</v>
      </c>
      <c r="S46" s="984">
        <v>0</v>
      </c>
      <c r="T46" s="998">
        <v>0</v>
      </c>
      <c r="U46" s="1261">
        <f>+'P03 2023'!W17</f>
        <v>119696.25</v>
      </c>
      <c r="V46" s="938">
        <f>+'P03 2022'!Q13</f>
        <v>123789.96419999999</v>
      </c>
      <c r="W46" s="935">
        <f>+'P03 2023'!AO14</f>
        <v>140969.541</v>
      </c>
      <c r="X46" s="1617">
        <f>+'P03 2022'!AI14</f>
        <v>296968.18400000001</v>
      </c>
      <c r="Y46" s="935">
        <f>+'P03 2023'!BI13</f>
        <v>41661</v>
      </c>
      <c r="Z46" s="1547">
        <f>+'P03 2022'!BC11</f>
        <v>48589.729999999996</v>
      </c>
      <c r="AA46" s="464">
        <v>0</v>
      </c>
      <c r="AB46" s="922">
        <f>+'P03 2022'!DD21</f>
        <v>52329.95</v>
      </c>
      <c r="AC46" s="662">
        <f>+'P03 2022'!EE14</f>
        <v>9900</v>
      </c>
      <c r="AD46" s="466">
        <f>+'P03 2022'!FG19</f>
        <v>102700.65700000001</v>
      </c>
      <c r="AE46" s="922">
        <f>+'P03 2022'!GI21</f>
        <v>41654</v>
      </c>
      <c r="AF46" s="462">
        <f>+'P03 2022'!HK18</f>
        <v>405549.94900000002</v>
      </c>
      <c r="AG46" s="466">
        <f>+'P03 2022'!IM37</f>
        <v>914049.52</v>
      </c>
      <c r="AH46" s="925">
        <f>+'P03 2022'!JK20</f>
        <v>618506.57999999996</v>
      </c>
      <c r="AJ46" s="1625"/>
      <c r="AK46" s="1580"/>
      <c r="AL46" s="1580"/>
      <c r="AM46" s="1580"/>
      <c r="AN46" s="657"/>
      <c r="AO46" s="657"/>
      <c r="AP46" s="657"/>
    </row>
    <row r="47" spans="2:46" s="390" customFormat="1" ht="15" customHeight="1" x14ac:dyDescent="0.25">
      <c r="B47" s="492"/>
      <c r="C47" s="144"/>
      <c r="D47" s="488"/>
      <c r="E47" s="757">
        <v>1</v>
      </c>
      <c r="F47" s="647" t="s">
        <v>977</v>
      </c>
      <c r="G47" s="583" t="s">
        <v>683</v>
      </c>
      <c r="H47" s="493">
        <f>+'P03 2023'!I28</f>
        <v>21256852</v>
      </c>
      <c r="I47" s="467">
        <f>+'P03 2023'!BR39</f>
        <v>21256852</v>
      </c>
      <c r="J47" s="467">
        <f ca="1">SUMIF(S$6:$AH$6,"ok",S47:AG47)</f>
        <v>0</v>
      </c>
      <c r="K47" s="1652">
        <f t="shared" ca="1" si="4"/>
        <v>0</v>
      </c>
      <c r="L47" s="1640">
        <f>+'P03 2023'!BS40</f>
        <v>0</v>
      </c>
      <c r="M47" s="1650">
        <f t="shared" si="5"/>
        <v>0</v>
      </c>
      <c r="N47" s="230">
        <f t="shared" si="19"/>
        <v>21256852</v>
      </c>
      <c r="O47" s="1651">
        <f t="shared" si="1"/>
        <v>1</v>
      </c>
      <c r="P47" s="479">
        <f>+'P03 2022'!BN41</f>
        <v>9627494.2669999991</v>
      </c>
      <c r="Q47" s="835">
        <f t="shared" si="20"/>
        <v>1228605.4375639998</v>
      </c>
      <c r="R47" s="1648">
        <f t="shared" si="6"/>
        <v>0.12761424764232476</v>
      </c>
      <c r="S47" s="984">
        <v>0</v>
      </c>
      <c r="T47" s="998">
        <v>0</v>
      </c>
      <c r="U47" s="1261">
        <v>0</v>
      </c>
      <c r="V47" s="938">
        <f>+'P03 2022'!Q14</f>
        <v>281794.50636699999</v>
      </c>
      <c r="W47" s="935">
        <v>0</v>
      </c>
      <c r="X47" s="1617">
        <f>+'P03 2022'!AI15</f>
        <v>789974.6738649999</v>
      </c>
      <c r="Y47" s="935">
        <v>0</v>
      </c>
      <c r="Z47" s="1547">
        <f>+'P03 2022'!BC12</f>
        <v>156836.25733199998</v>
      </c>
      <c r="AA47" s="464">
        <f>+'P03 2022'!CD16</f>
        <v>499285.71899999998</v>
      </c>
      <c r="AB47" s="922">
        <f>+'P03 2022'!DD22</f>
        <v>794910.56599999999</v>
      </c>
      <c r="AC47" s="662">
        <v>0</v>
      </c>
      <c r="AD47" s="466">
        <f>+'P03 2022'!FG20</f>
        <v>260547.02600000001</v>
      </c>
      <c r="AE47" s="922">
        <f>+'P03 2022'!GI22</f>
        <v>572977.38199999998</v>
      </c>
      <c r="AF47" s="462">
        <f>+'P03 2022'!HK19</f>
        <v>1709378.2420000001</v>
      </c>
      <c r="AG47" s="466">
        <f>+'P03 2022'!IM39</f>
        <v>1693674.5959999999</v>
      </c>
      <c r="AH47" s="925">
        <f>+'P03 2022'!JK21</f>
        <v>1054976.8970000001</v>
      </c>
      <c r="AJ47" s="1625"/>
      <c r="AK47" s="1580"/>
      <c r="AL47" s="1580"/>
      <c r="AM47" s="1580"/>
      <c r="AN47" s="657"/>
      <c r="AO47" s="657"/>
      <c r="AP47" s="657"/>
    </row>
    <row r="48" spans="2:46" s="390" customFormat="1" ht="15" customHeight="1" x14ac:dyDescent="0.25">
      <c r="B48" s="492"/>
      <c r="C48" s="144"/>
      <c r="D48" s="488"/>
      <c r="E48" s="757">
        <v>1</v>
      </c>
      <c r="F48" s="647" t="s">
        <v>978</v>
      </c>
      <c r="G48" s="583" t="s">
        <v>684</v>
      </c>
      <c r="H48" s="493">
        <f>+'P03 2023'!I29</f>
        <v>17487115</v>
      </c>
      <c r="I48" s="467">
        <f>+'P03 2023'!BR40</f>
        <v>17487115</v>
      </c>
      <c r="J48" s="467">
        <f ca="1">SUMIF(S$6:$AH$6,"ok",S48:AG48)</f>
        <v>5327512.2369999997</v>
      </c>
      <c r="K48" s="1652">
        <f t="shared" ca="1" si="4"/>
        <v>0.30465358276651122</v>
      </c>
      <c r="L48" s="1640">
        <f>+'P03 2023'!BS41</f>
        <v>6292093.483</v>
      </c>
      <c r="M48" s="1650">
        <f t="shared" si="5"/>
        <v>0.35981312429180001</v>
      </c>
      <c r="N48" s="230">
        <f t="shared" si="19"/>
        <v>11195021.517000001</v>
      </c>
      <c r="O48" s="1651">
        <f t="shared" si="1"/>
        <v>0.6401868757082001</v>
      </c>
      <c r="P48" s="479">
        <f>+'P03 2022'!BN43</f>
        <v>11738165.837826999</v>
      </c>
      <c r="Q48" s="835">
        <f t="shared" si="20"/>
        <v>3401532.7121000001</v>
      </c>
      <c r="R48" s="1648">
        <f t="shared" si="6"/>
        <v>0.2897840053629453</v>
      </c>
      <c r="S48" s="1449">
        <f>+'P03 2023'!K30</f>
        <v>123539.428</v>
      </c>
      <c r="T48" s="998">
        <f>+'P03 2022'!H39</f>
        <v>262173.79268299998</v>
      </c>
      <c r="U48" s="1261">
        <f>+'P03 2023'!W18</f>
        <v>2136997.216</v>
      </c>
      <c r="V48" s="938">
        <f>+'P03 2022'!Q15</f>
        <v>1859244.3286530001</v>
      </c>
      <c r="W48" s="935">
        <f>+'P03 2023'!AO15</f>
        <v>1515072.3910000001</v>
      </c>
      <c r="X48" s="1617">
        <f>+'P03 2022'!AI16</f>
        <v>1108212.1506109999</v>
      </c>
      <c r="Y48" s="935">
        <f>+'P03 2023'!BI14</f>
        <v>1551903.202</v>
      </c>
      <c r="Z48" s="1547">
        <f>+'P03 2022'!BC13</f>
        <v>171902.440153</v>
      </c>
      <c r="AA48" s="464">
        <f>+'P03 2022'!CD17</f>
        <v>343750.70299999998</v>
      </c>
      <c r="AB48" s="922">
        <f>+'P03 2022'!DD24</f>
        <v>185102.30600000001</v>
      </c>
      <c r="AC48" s="662">
        <f>+'P03 2022'!EE16</f>
        <v>1587778.4979999999</v>
      </c>
      <c r="AD48" s="466">
        <f>+'P03 2022'!FG22</f>
        <v>28279513.155000001</v>
      </c>
      <c r="AE48" s="922">
        <f>+'P03 2022'!GI23</f>
        <v>323679.44099999999</v>
      </c>
      <c r="AF48" s="462">
        <f>+'P03 2022'!HK21</f>
        <v>403073.913</v>
      </c>
      <c r="AG48" s="466">
        <f>+'P03 2022'!IM40</f>
        <v>6668199.0609999998</v>
      </c>
      <c r="AH48" s="925">
        <f>+'P03 2022'!JK22</f>
        <v>12276515.756999999</v>
      </c>
      <c r="AI48" s="526"/>
      <c r="AJ48" s="1625"/>
      <c r="AK48" s="1580"/>
      <c r="AL48" s="1580"/>
      <c r="AM48" s="1580"/>
      <c r="AN48" s="657"/>
      <c r="AO48" s="657"/>
      <c r="AP48" s="657"/>
    </row>
    <row r="49" spans="2:56" s="390" customFormat="1" ht="15" customHeight="1" x14ac:dyDescent="0.25">
      <c r="B49" s="428"/>
      <c r="C49" s="136"/>
      <c r="D49" s="131">
        <v>100</v>
      </c>
      <c r="E49" s="989"/>
      <c r="F49" s="990" t="s">
        <v>979</v>
      </c>
      <c r="G49" s="822" t="s">
        <v>685</v>
      </c>
      <c r="H49" s="424">
        <f>+'P03 2023'!I31</f>
        <v>14656065</v>
      </c>
      <c r="I49" s="504">
        <f>+'P03 2023'!BR42</f>
        <v>14616065</v>
      </c>
      <c r="J49" s="420">
        <f ca="1">SUMIF(S$6:$AH$6,"ok",S49:AG49)</f>
        <v>0</v>
      </c>
      <c r="K49" s="133">
        <f t="shared" ca="1" si="4"/>
        <v>0</v>
      </c>
      <c r="L49" s="504">
        <f>+'P03 2023'!BS43</f>
        <v>93732</v>
      </c>
      <c r="M49" s="994">
        <f t="shared" si="5"/>
        <v>6.4129435658639997E-3</v>
      </c>
      <c r="N49" s="231">
        <f t="shared" ref="N49" si="21">+I49-L49</f>
        <v>14522333</v>
      </c>
      <c r="O49" s="698">
        <f t="shared" si="1"/>
        <v>0.99358705643413603</v>
      </c>
      <c r="P49" s="429">
        <f>+'P03 2022'!BN45</f>
        <v>14656064.664999999</v>
      </c>
      <c r="Q49" s="430">
        <f t="shared" si="20"/>
        <v>0</v>
      </c>
      <c r="R49" s="1602">
        <f t="shared" si="6"/>
        <v>0</v>
      </c>
      <c r="S49" s="982">
        <v>0</v>
      </c>
      <c r="T49" s="999">
        <v>0</v>
      </c>
      <c r="U49" s="1262">
        <v>0</v>
      </c>
      <c r="V49" s="937">
        <v>0</v>
      </c>
      <c r="W49" s="426">
        <v>0</v>
      </c>
      <c r="X49" s="1271">
        <v>0</v>
      </c>
      <c r="Y49" s="426">
        <v>0</v>
      </c>
      <c r="Z49" s="1548">
        <v>0</v>
      </c>
      <c r="AA49" s="469">
        <v>0</v>
      </c>
      <c r="AB49" s="501">
        <v>0</v>
      </c>
      <c r="AC49" s="991">
        <f>+'P03 2022'!EE17</f>
        <v>690987.321</v>
      </c>
      <c r="AD49" s="491">
        <v>0</v>
      </c>
      <c r="AE49" s="501">
        <v>0</v>
      </c>
      <c r="AF49" s="470">
        <f>+'P03 2022'!HK22</f>
        <v>70000</v>
      </c>
      <c r="AG49" s="491">
        <f>+'P03 2022'!IM41</f>
        <v>2694928.0469999998</v>
      </c>
      <c r="AH49" s="992">
        <f>+'P03 2022'!JK23</f>
        <v>8531539.6319999993</v>
      </c>
      <c r="AI49" s="526"/>
      <c r="AJ49" s="1625"/>
      <c r="AK49" s="1580"/>
      <c r="AL49" s="1580"/>
      <c r="AM49" s="1580"/>
      <c r="AN49" s="657"/>
      <c r="AO49" s="657"/>
      <c r="AP49" s="657"/>
      <c r="AS49" s="1630"/>
    </row>
    <row r="50" spans="2:56" s="503" customFormat="1" ht="15" customHeight="1" x14ac:dyDescent="0.25">
      <c r="B50" s="428"/>
      <c r="C50" s="136"/>
      <c r="D50" s="131">
        <v>110</v>
      </c>
      <c r="E50" s="494"/>
      <c r="F50" s="990" t="s">
        <v>222</v>
      </c>
      <c r="G50" s="498" t="s">
        <v>223</v>
      </c>
      <c r="H50" s="424">
        <f>+'P03 2023'!I32</f>
        <v>16934493</v>
      </c>
      <c r="I50" s="504">
        <f>+'P03 2023'!BR44</f>
        <v>16934493</v>
      </c>
      <c r="J50" s="420">
        <f ca="1">SUMIF(S$6:$AH24,"ok",S50:AG50)</f>
        <v>0</v>
      </c>
      <c r="K50" s="133">
        <f t="shared" ca="1" si="4"/>
        <v>0</v>
      </c>
      <c r="L50" s="420">
        <f>+'P03 2023'!BS44</f>
        <v>0</v>
      </c>
      <c r="M50" s="994">
        <f t="shared" si="5"/>
        <v>0</v>
      </c>
      <c r="N50" s="231">
        <f t="shared" si="12"/>
        <v>16934493</v>
      </c>
      <c r="O50" s="698">
        <f t="shared" si="1"/>
        <v>1</v>
      </c>
      <c r="P50" s="429">
        <f>+'P03 2022'!BN23</f>
        <v>16934492.487</v>
      </c>
      <c r="Q50" s="430">
        <f t="shared" ref="Q50:Q51" si="22">SUMIF($S$6:$AH$6,"SI",S50:AH50)</f>
        <v>0</v>
      </c>
      <c r="R50" s="1602">
        <f t="shared" si="6"/>
        <v>0</v>
      </c>
      <c r="S50" s="982">
        <v>0</v>
      </c>
      <c r="T50" s="999">
        <v>0</v>
      </c>
      <c r="U50" s="1262">
        <v>0</v>
      </c>
      <c r="V50" s="937">
        <v>0</v>
      </c>
      <c r="W50" s="426">
        <v>0</v>
      </c>
      <c r="X50" s="1271">
        <v>0</v>
      </c>
      <c r="Y50" s="426">
        <v>0</v>
      </c>
      <c r="Z50" s="1548">
        <v>0</v>
      </c>
      <c r="AA50" s="469">
        <v>0</v>
      </c>
      <c r="AB50" s="501">
        <v>0</v>
      </c>
      <c r="AC50" s="597">
        <f>+'P03 2022'!EE7</f>
        <v>4882361.1919999998</v>
      </c>
      <c r="AD50" s="491">
        <f>+'P03 2022'!FG8</f>
        <v>4927611.4060000004</v>
      </c>
      <c r="AE50" s="501">
        <f>+'P03 2022'!GI10</f>
        <v>1640153.227</v>
      </c>
      <c r="AF50" s="436">
        <f>+'P03 2022'!HK7</f>
        <v>2070382.665</v>
      </c>
      <c r="AG50" s="919">
        <f>+'P03 2022'!IM19</f>
        <v>1970164.7749999999</v>
      </c>
      <c r="AH50" s="502">
        <f>+'P03 2022'!JK10</f>
        <v>440175.73499999999</v>
      </c>
      <c r="AI50" s="390"/>
      <c r="AJ50" s="1625"/>
      <c r="AK50" s="1580"/>
      <c r="AL50" s="1580"/>
      <c r="AM50" s="1580"/>
      <c r="AN50" s="657"/>
      <c r="AO50" s="657"/>
      <c r="AP50" s="657"/>
      <c r="AQ50" s="390"/>
      <c r="AR50" s="390"/>
      <c r="AS50" s="390"/>
      <c r="AT50" s="390"/>
      <c r="AU50" s="390"/>
      <c r="AV50" s="390"/>
      <c r="AW50" s="390"/>
      <c r="AX50" s="390"/>
      <c r="AY50" s="390"/>
      <c r="AZ50" s="390"/>
      <c r="BA50" s="390"/>
      <c r="BB50" s="390"/>
      <c r="BC50" s="390"/>
      <c r="BD50" s="390"/>
    </row>
    <row r="51" spans="2:56" s="390" customFormat="1" ht="15" customHeight="1" x14ac:dyDescent="0.25">
      <c r="B51" s="428"/>
      <c r="C51" s="136"/>
      <c r="D51" s="131">
        <v>111</v>
      </c>
      <c r="E51" s="494"/>
      <c r="F51" s="990" t="s">
        <v>268</v>
      </c>
      <c r="G51" s="498" t="s">
        <v>269</v>
      </c>
      <c r="H51" s="424">
        <f>+'P03 2023'!I33</f>
        <v>8635311</v>
      </c>
      <c r="I51" s="504">
        <f>+'P03 2023'!BR45</f>
        <v>8635311</v>
      </c>
      <c r="J51" s="420">
        <f ca="1">SUMIF(S$6:$AH25,"ok",S51:AG51)</f>
        <v>1167961.5759999999</v>
      </c>
      <c r="K51" s="133">
        <f t="shared" ca="1" si="4"/>
        <v>0.13525414151267973</v>
      </c>
      <c r="L51" s="420">
        <f>+'P03 2023'!BS46</f>
        <v>1167961.5759999999</v>
      </c>
      <c r="M51" s="235">
        <f t="shared" si="5"/>
        <v>0.13525414151267973</v>
      </c>
      <c r="N51" s="231">
        <f t="shared" si="12"/>
        <v>7467349.4240000006</v>
      </c>
      <c r="O51" s="698">
        <f t="shared" si="1"/>
        <v>0.86474585848732033</v>
      </c>
      <c r="P51" s="429">
        <f>+'P03 2022'!BN24+'P03 2022'!BN25</f>
        <v>8847327.7399999984</v>
      </c>
      <c r="Q51" s="430">
        <f t="shared" si="22"/>
        <v>507462.13013199996</v>
      </c>
      <c r="R51" s="1602">
        <f t="shared" si="6"/>
        <v>5.7357672852752263E-2</v>
      </c>
      <c r="S51" s="982">
        <v>0</v>
      </c>
      <c r="T51" s="999">
        <v>0</v>
      </c>
      <c r="U51" s="1262">
        <v>0</v>
      </c>
      <c r="V51" s="937">
        <v>0</v>
      </c>
      <c r="W51" s="426">
        <f>+'P03 2023'!AO17</f>
        <v>128012.751</v>
      </c>
      <c r="X51" s="1271">
        <f>+'P03 2022'!AI10</f>
        <v>273602.13013199996</v>
      </c>
      <c r="Y51" s="426">
        <f>+'P03 2023'!BI15</f>
        <v>1039948.825</v>
      </c>
      <c r="Z51" s="1598">
        <f>+'P03 2022'!BC5</f>
        <v>233860</v>
      </c>
      <c r="AA51" s="469">
        <f>+'P03 2022'!CD10</f>
        <v>500265.478</v>
      </c>
      <c r="AB51" s="501">
        <f>+'P03 2022'!DD11</f>
        <v>564724.82999999996</v>
      </c>
      <c r="AC51" s="597">
        <f>+'P03 2022'!EE8</f>
        <v>275067.83899999998</v>
      </c>
      <c r="AD51" s="491">
        <f>+'P03 2022'!FG10+'P03 2022'!FG11</f>
        <v>3627585.0079999999</v>
      </c>
      <c r="AE51" s="501">
        <f>+'P03 2022'!GI11+'P03 2022'!GI12</f>
        <v>255080.24500000002</v>
      </c>
      <c r="AF51" s="436">
        <f>+'P03 2022'!HK8+'P03 2022'!HK9</f>
        <v>4542474.0460000001</v>
      </c>
      <c r="AG51" s="919">
        <f>+'P03 2022'!IM20++'P03 2022'!IM21</f>
        <v>4774062.8810000001</v>
      </c>
      <c r="AH51" s="502">
        <f>+'P03 2022'!JK11+'P03 2022'!JK12</f>
        <v>2205253.909</v>
      </c>
      <c r="AJ51" s="1625"/>
      <c r="AK51" s="1580"/>
      <c r="AL51" s="1580"/>
      <c r="AM51" s="1580"/>
      <c r="AN51" s="657"/>
      <c r="AO51" s="657"/>
      <c r="AP51" s="657"/>
    </row>
    <row r="52" spans="2:56" s="390" customFormat="1" ht="15" customHeight="1" x14ac:dyDescent="0.25">
      <c r="B52" s="428">
        <v>34</v>
      </c>
      <c r="C52" s="136"/>
      <c r="D52" s="131"/>
      <c r="E52" s="494"/>
      <c r="F52" s="497"/>
      <c r="G52" s="498" t="s">
        <v>83</v>
      </c>
      <c r="H52" s="424">
        <f>+H53</f>
        <v>10</v>
      </c>
      <c r="I52" s="1450">
        <f>+I53</f>
        <v>18205</v>
      </c>
      <c r="J52" s="504">
        <f ca="1">SUMIF(S$6:$AH$6,"ok",S52:AG52)</f>
        <v>18204.215</v>
      </c>
      <c r="K52" s="133">
        <f t="shared" ca="1" si="4"/>
        <v>0.99995687997802807</v>
      </c>
      <c r="L52" s="233">
        <f>+L53</f>
        <v>18204.215</v>
      </c>
      <c r="M52" s="235">
        <f t="shared" si="5"/>
        <v>0.99995687997802807</v>
      </c>
      <c r="N52" s="231">
        <f>+I52-L52</f>
        <v>0.78499999999985448</v>
      </c>
      <c r="O52" s="698">
        <f t="shared" si="1"/>
        <v>4.3120021971977725E-5</v>
      </c>
      <c r="P52" s="429">
        <f>+P53</f>
        <v>10.629999999999999</v>
      </c>
      <c r="Q52" s="430">
        <f>+Q53</f>
        <v>1173038.7580879999</v>
      </c>
      <c r="R52" s="1602">
        <f t="shared" si="6"/>
        <v>110351.7176</v>
      </c>
      <c r="S52" s="982">
        <f>+S53</f>
        <v>18204.215</v>
      </c>
      <c r="T52" s="999">
        <f>+'P03 2022'!H43</f>
        <v>1176235.5520039999</v>
      </c>
      <c r="U52" s="1262">
        <v>0</v>
      </c>
      <c r="V52" s="937">
        <f>+V53</f>
        <v>-3196.7939159999996</v>
      </c>
      <c r="W52" s="426">
        <f>+W53</f>
        <v>0</v>
      </c>
      <c r="X52" s="437">
        <v>0</v>
      </c>
      <c r="Y52" s="458">
        <v>0</v>
      </c>
      <c r="Z52" s="1548">
        <v>0</v>
      </c>
      <c r="AA52" s="469">
        <v>0</v>
      </c>
      <c r="AB52" s="501">
        <f>+AB53</f>
        <v>-639443.88</v>
      </c>
      <c r="AC52" s="470">
        <v>0</v>
      </c>
      <c r="AD52" s="491">
        <v>0</v>
      </c>
      <c r="AE52" s="501">
        <v>0</v>
      </c>
      <c r="AF52" s="470">
        <v>0</v>
      </c>
      <c r="AG52" s="491">
        <v>0</v>
      </c>
      <c r="AH52" s="501">
        <v>0</v>
      </c>
      <c r="AI52" s="526"/>
      <c r="AJ52" s="1625"/>
      <c r="AK52" s="1580"/>
      <c r="AL52" s="1580"/>
      <c r="AM52" s="1580"/>
      <c r="AN52" s="657"/>
      <c r="AO52" s="657"/>
      <c r="AP52" s="657"/>
    </row>
    <row r="53" spans="2:56" s="390" customFormat="1" ht="15" customHeight="1" x14ac:dyDescent="0.25">
      <c r="B53" s="492"/>
      <c r="C53" s="144">
        <v>7</v>
      </c>
      <c r="D53" s="142"/>
      <c r="E53" s="488"/>
      <c r="F53" s="647" t="s">
        <v>205</v>
      </c>
      <c r="G53" s="583" t="s">
        <v>128</v>
      </c>
      <c r="H53" s="493">
        <f>+'P03 2023'!I34</f>
        <v>10</v>
      </c>
      <c r="I53" s="467">
        <f>+'P03 2023'!BR47</f>
        <v>18205</v>
      </c>
      <c r="J53" s="467">
        <f ca="1">SUMIF(S$6:$AH$6,"ok",S53:AG53)</f>
        <v>18204.215</v>
      </c>
      <c r="K53" s="1652">
        <f t="shared" ca="1" si="4"/>
        <v>0.99995687997802807</v>
      </c>
      <c r="L53" s="495">
        <f>+'P03 2023'!BS48</f>
        <v>18204.215</v>
      </c>
      <c r="M53" s="1654">
        <f t="shared" si="5"/>
        <v>0.99995687997802807</v>
      </c>
      <c r="N53" s="230">
        <f>+I53-L53</f>
        <v>0.78499999999985448</v>
      </c>
      <c r="O53" s="1651">
        <f t="shared" si="1"/>
        <v>4.3120021971977725E-5</v>
      </c>
      <c r="P53" s="479">
        <f>+'P03 2022'!BN47</f>
        <v>10.629999999999999</v>
      </c>
      <c r="Q53" s="835">
        <f>SUMIF($S$6:$AH$6,"SI",S53:AH53)</f>
        <v>1173038.7580879999</v>
      </c>
      <c r="R53" s="1648">
        <f t="shared" si="6"/>
        <v>110351.7176</v>
      </c>
      <c r="S53" s="1449">
        <f>+'P03 2023'!K35</f>
        <v>18204.215</v>
      </c>
      <c r="T53" s="998">
        <f>+'P03 2022'!H43</f>
        <v>1176235.5520039999</v>
      </c>
      <c r="U53" s="1261">
        <v>0</v>
      </c>
      <c r="V53" s="938">
        <f>+'P03 2022'!Q16</f>
        <v>-3196.7939159999996</v>
      </c>
      <c r="W53" s="935">
        <f>+'P03 2023'!AO18</f>
        <v>0</v>
      </c>
      <c r="X53" s="1615">
        <v>0</v>
      </c>
      <c r="Y53" s="1619">
        <v>0</v>
      </c>
      <c r="Z53" s="465">
        <v>0</v>
      </c>
      <c r="AA53" s="464">
        <v>0</v>
      </c>
      <c r="AB53" s="922">
        <f>+'P03 2022'!DD26</f>
        <v>-639443.88</v>
      </c>
      <c r="AC53" s="462">
        <v>0</v>
      </c>
      <c r="AD53" s="466">
        <v>0</v>
      </c>
      <c r="AE53" s="922">
        <v>0</v>
      </c>
      <c r="AF53" s="462">
        <v>0</v>
      </c>
      <c r="AG53" s="466">
        <v>0</v>
      </c>
      <c r="AH53" s="922">
        <v>0</v>
      </c>
      <c r="AJ53" s="1625"/>
      <c r="AK53" s="1580"/>
      <c r="AL53" s="1580"/>
      <c r="AM53" s="1580"/>
      <c r="AN53" s="657"/>
      <c r="AO53" s="657"/>
      <c r="AP53" s="657"/>
    </row>
    <row r="54" spans="2:56" s="390" customFormat="1" ht="15" customHeight="1" thickBot="1" x14ac:dyDescent="0.3">
      <c r="B54" s="480">
        <v>35</v>
      </c>
      <c r="C54" s="137"/>
      <c r="D54" s="138"/>
      <c r="E54" s="505"/>
      <c r="F54" s="1444"/>
      <c r="G54" s="585" t="s">
        <v>125</v>
      </c>
      <c r="H54" s="506">
        <v>0</v>
      </c>
      <c r="I54" s="482">
        <v>0</v>
      </c>
      <c r="J54" s="484">
        <v>0</v>
      </c>
      <c r="K54" s="993" t="str">
        <f t="shared" si="4"/>
        <v>0.00%</v>
      </c>
      <c r="L54" s="234">
        <v>0</v>
      </c>
      <c r="M54" s="241">
        <f t="shared" si="5"/>
        <v>0</v>
      </c>
      <c r="N54" s="234">
        <f t="shared" si="11"/>
        <v>0</v>
      </c>
      <c r="O54" s="700">
        <f t="shared" si="1"/>
        <v>0</v>
      </c>
      <c r="P54" s="483">
        <v>0</v>
      </c>
      <c r="Q54" s="484">
        <v>0</v>
      </c>
      <c r="R54" s="1604" t="str">
        <f t="shared" si="6"/>
        <v>0.00%</v>
      </c>
      <c r="S54" s="985">
        <v>0</v>
      </c>
      <c r="T54" s="1001">
        <v>0</v>
      </c>
      <c r="U54" s="1264">
        <v>0</v>
      </c>
      <c r="V54" s="940">
        <v>0</v>
      </c>
      <c r="W54" s="1439">
        <v>0</v>
      </c>
      <c r="X54" s="1272">
        <v>0</v>
      </c>
      <c r="Y54" s="1554">
        <v>0</v>
      </c>
      <c r="Z54" s="1599">
        <v>0</v>
      </c>
      <c r="AA54" s="508">
        <v>0</v>
      </c>
      <c r="AB54" s="926">
        <v>0</v>
      </c>
      <c r="AC54" s="692">
        <v>0</v>
      </c>
      <c r="AD54" s="587">
        <v>0</v>
      </c>
      <c r="AE54" s="926">
        <v>0</v>
      </c>
      <c r="AF54" s="507">
        <v>0</v>
      </c>
      <c r="AG54" s="587">
        <v>0</v>
      </c>
      <c r="AH54" s="926">
        <v>0</v>
      </c>
      <c r="AJ54" s="1625"/>
      <c r="AK54" s="1580"/>
      <c r="AL54" s="1580"/>
      <c r="AM54" s="1580"/>
      <c r="AN54" s="657"/>
      <c r="AO54" s="657"/>
      <c r="AP54" s="657"/>
    </row>
    <row r="55" spans="2:56" s="86" customFormat="1" ht="12.75" customHeight="1" x14ac:dyDescent="0.2">
      <c r="B55" s="1002"/>
      <c r="C55" s="1003"/>
      <c r="D55" s="1004"/>
      <c r="E55" s="1034"/>
      <c r="F55" s="1035"/>
      <c r="G55" s="1005"/>
      <c r="H55" s="1006"/>
      <c r="I55" s="1006"/>
      <c r="J55" s="1006"/>
      <c r="K55" s="1007"/>
      <c r="L55" s="1008"/>
      <c r="M55" s="1006"/>
      <c r="N55" s="1009"/>
      <c r="O55" s="1010"/>
      <c r="P55" s="1011"/>
      <c r="Q55" s="1011"/>
      <c r="R55" s="1011"/>
      <c r="S55" s="1012"/>
      <c r="T55" s="1011"/>
      <c r="U55" s="1011"/>
      <c r="V55" s="1011"/>
      <c r="W55" s="1011"/>
      <c r="X55" s="1011"/>
      <c r="Y55" s="1011"/>
      <c r="Z55" s="1011"/>
      <c r="AA55" s="1011"/>
      <c r="AB55" s="1011"/>
      <c r="AC55" s="1011"/>
      <c r="AD55" s="1011"/>
      <c r="AE55" s="1011"/>
      <c r="AF55" s="1011"/>
      <c r="AG55" s="1011"/>
      <c r="AH55" s="1011"/>
      <c r="AI55" s="1011"/>
      <c r="AJ55" s="1625"/>
      <c r="AK55" s="1580"/>
      <c r="AL55" s="1580"/>
      <c r="AM55" s="1580"/>
      <c r="AN55" s="657"/>
      <c r="AO55" s="657"/>
      <c r="AP55" s="657"/>
    </row>
    <row r="56" spans="2:56" s="77" customFormat="1" ht="13.5" thickBot="1" x14ac:dyDescent="0.25">
      <c r="B56" s="344"/>
      <c r="C56" s="345"/>
      <c r="D56" s="346"/>
      <c r="E56" s="1036"/>
      <c r="F56" s="1037"/>
      <c r="G56" s="72"/>
      <c r="H56" s="68"/>
      <c r="I56" s="68"/>
      <c r="J56" s="68"/>
      <c r="K56" s="349"/>
      <c r="L56" s="350"/>
      <c r="M56" s="68"/>
      <c r="N56" s="351"/>
      <c r="O56" s="701"/>
      <c r="P56" s="68"/>
      <c r="Q56" s="68"/>
      <c r="R56" s="68"/>
      <c r="S56" s="986"/>
      <c r="T56" s="68"/>
      <c r="U56" s="68"/>
      <c r="V56" s="68"/>
      <c r="W56" s="68"/>
      <c r="X56" s="68"/>
      <c r="Y56" s="68"/>
      <c r="Z56" s="68"/>
      <c r="AA56" s="68"/>
      <c r="AB56" s="227"/>
      <c r="AC56" s="68"/>
      <c r="AD56" s="68"/>
      <c r="AE56" s="68"/>
      <c r="AF56" s="68"/>
      <c r="AG56" s="68"/>
      <c r="AH56" s="68"/>
      <c r="AI56" s="526"/>
      <c r="AJ56" s="1625"/>
      <c r="AK56" s="1580"/>
      <c r="AL56" s="1580"/>
      <c r="AM56" s="1580"/>
      <c r="AN56" s="657"/>
      <c r="AO56" s="657"/>
      <c r="AP56" s="657"/>
    </row>
    <row r="57" spans="2:56" ht="15.75" thickBot="1" x14ac:dyDescent="0.3">
      <c r="B57" s="327"/>
      <c r="C57" s="328"/>
      <c r="D57" s="346"/>
      <c r="E57" s="1036"/>
      <c r="F57" s="1773" t="s">
        <v>1032</v>
      </c>
      <c r="G57" s="1774"/>
      <c r="H57" s="1774"/>
      <c r="I57" s="1775"/>
      <c r="J57" s="71"/>
      <c r="K57" s="331"/>
      <c r="L57" s="347"/>
      <c r="M57" s="56"/>
      <c r="N57" s="348"/>
      <c r="O57" s="694"/>
      <c r="P57" s="56"/>
      <c r="Q57" s="56"/>
      <c r="R57" s="56"/>
      <c r="S57" s="978"/>
      <c r="T57" s="56"/>
      <c r="U57" s="56"/>
      <c r="V57" s="56"/>
      <c r="W57" s="56"/>
      <c r="X57" s="56"/>
      <c r="Y57" s="56"/>
      <c r="Z57" s="56"/>
      <c r="AA57" s="56"/>
      <c r="AB57" s="56"/>
      <c r="AC57" s="56"/>
      <c r="AD57" s="56"/>
      <c r="AE57" s="56"/>
      <c r="AF57" s="56"/>
      <c r="AG57" s="56"/>
      <c r="AH57" s="56"/>
      <c r="AI57" s="526"/>
      <c r="AJ57" s="1625"/>
      <c r="AK57" s="1580"/>
      <c r="AL57" s="1580"/>
      <c r="AM57" s="1580"/>
      <c r="AN57" s="657"/>
      <c r="AO57" s="657"/>
      <c r="AP57" s="657"/>
    </row>
    <row r="58" spans="2:56" s="77" customFormat="1" x14ac:dyDescent="0.2">
      <c r="B58" s="327"/>
      <c r="C58" s="328"/>
      <c r="D58" s="329"/>
      <c r="E58" s="330"/>
      <c r="F58" s="646"/>
      <c r="G58" s="1783" t="s">
        <v>291</v>
      </c>
      <c r="H58" s="1783"/>
      <c r="I58" s="1783"/>
      <c r="J58" s="1783"/>
      <c r="K58" s="331"/>
      <c r="L58" s="347"/>
      <c r="M58" s="56"/>
      <c r="N58" s="348"/>
      <c r="O58" s="694"/>
      <c r="P58" s="56"/>
      <c r="Q58" s="56"/>
      <c r="R58" s="56"/>
      <c r="S58" s="978"/>
      <c r="T58" s="56"/>
      <c r="U58" s="56"/>
      <c r="V58" s="56"/>
      <c r="W58" s="56"/>
      <c r="X58" s="56"/>
      <c r="Y58" s="56"/>
      <c r="Z58" s="56"/>
      <c r="AA58" s="56"/>
      <c r="AB58" s="56"/>
      <c r="AC58" s="56"/>
      <c r="AD58" s="56"/>
      <c r="AE58" s="56"/>
      <c r="AF58" s="56"/>
      <c r="AG58" s="56"/>
      <c r="AH58" s="56"/>
      <c r="AI58" s="526"/>
      <c r="AJ58" s="1625"/>
      <c r="AK58" s="1580"/>
      <c r="AL58" s="1580"/>
      <c r="AM58" s="1580"/>
      <c r="AN58" s="657"/>
      <c r="AO58" s="657"/>
      <c r="AP58" s="657"/>
    </row>
    <row r="59" spans="2:56" s="77" customFormat="1" ht="13.5" thickBot="1" x14ac:dyDescent="0.25">
      <c r="B59" s="327"/>
      <c r="C59" s="328"/>
      <c r="D59" s="329"/>
      <c r="E59" s="330"/>
      <c r="F59" s="646"/>
      <c r="G59" s="874"/>
      <c r="H59" s="874"/>
      <c r="I59" s="874"/>
      <c r="J59" s="874"/>
      <c r="K59" s="331"/>
      <c r="L59" s="347"/>
      <c r="M59" s="56"/>
      <c r="N59" s="348"/>
      <c r="O59" s="694"/>
      <c r="P59" s="56"/>
      <c r="Q59" s="56"/>
      <c r="R59" s="56"/>
      <c r="S59" s="978"/>
      <c r="T59" s="56"/>
      <c r="U59" s="56"/>
      <c r="V59" s="56"/>
      <c r="W59" s="56"/>
      <c r="X59" s="56"/>
      <c r="Y59" s="56"/>
      <c r="Z59" s="56"/>
      <c r="AA59" s="56"/>
      <c r="AB59" s="56"/>
      <c r="AC59" s="56"/>
      <c r="AD59" s="56"/>
      <c r="AE59" s="56"/>
      <c r="AF59" s="56"/>
      <c r="AG59" s="56"/>
      <c r="AH59" s="56"/>
      <c r="AI59" s="526"/>
      <c r="AJ59" s="1625"/>
      <c r="AK59" s="1580"/>
      <c r="AL59" s="1580"/>
      <c r="AM59" s="1580"/>
      <c r="AN59" s="657"/>
      <c r="AO59" s="657"/>
      <c r="AP59" s="657"/>
    </row>
    <row r="60" spans="2:56" s="77" customFormat="1" ht="15.75" thickBot="1" x14ac:dyDescent="0.25">
      <c r="B60" s="327"/>
      <c r="C60" s="328"/>
      <c r="D60" s="329"/>
      <c r="E60" s="330"/>
      <c r="F60" s="648" t="s">
        <v>721</v>
      </c>
      <c r="G60" s="1781" t="s">
        <v>980</v>
      </c>
      <c r="H60" s="1782"/>
      <c r="I60" s="874"/>
      <c r="J60" s="874"/>
      <c r="K60" s="331"/>
      <c r="L60" s="347"/>
      <c r="M60" s="56"/>
      <c r="N60" s="348"/>
      <c r="O60" s="694"/>
      <c r="P60" s="56"/>
      <c r="Q60" s="56"/>
      <c r="R60" s="56"/>
      <c r="S60" s="978"/>
      <c r="T60" s="56"/>
      <c r="U60" s="56"/>
      <c r="V60" s="56"/>
      <c r="W60" s="56"/>
      <c r="X60" s="56"/>
      <c r="Y60" s="56"/>
      <c r="Z60" s="56"/>
      <c r="AA60" s="56"/>
      <c r="AB60" s="56"/>
      <c r="AC60" s="56"/>
      <c r="AD60" s="56"/>
      <c r="AE60" s="56"/>
      <c r="AF60" s="56"/>
      <c r="AG60" s="56"/>
      <c r="AH60" s="56"/>
      <c r="AI60" s="526"/>
      <c r="AJ60" s="1625"/>
      <c r="AK60" s="1580"/>
      <c r="AL60" s="1580"/>
      <c r="AM60" s="1580"/>
      <c r="AN60" s="657"/>
      <c r="AO60" s="657"/>
      <c r="AP60" s="657"/>
    </row>
    <row r="61" spans="2:56" s="77" customFormat="1" x14ac:dyDescent="0.2">
      <c r="B61" s="327"/>
      <c r="C61" s="328"/>
      <c r="D61" s="329"/>
      <c r="E61" s="330"/>
      <c r="F61" s="649"/>
      <c r="G61" s="105" t="s">
        <v>153</v>
      </c>
      <c r="H61" s="106">
        <f>+H37</f>
        <v>90277278</v>
      </c>
      <c r="I61" s="874"/>
      <c r="J61" s="874"/>
      <c r="K61" s="331"/>
      <c r="L61" s="347"/>
      <c r="M61" s="56"/>
      <c r="N61" s="348"/>
      <c r="O61" s="694"/>
      <c r="P61" s="56"/>
      <c r="Q61" s="56"/>
      <c r="R61" s="56"/>
      <c r="S61" s="978"/>
      <c r="T61" s="56"/>
      <c r="U61" s="56"/>
      <c r="V61" s="56"/>
      <c r="W61" s="56"/>
      <c r="X61" s="56"/>
      <c r="Y61" s="56"/>
      <c r="Z61" s="56"/>
      <c r="AA61" s="56"/>
      <c r="AB61" s="56"/>
      <c r="AC61" s="56"/>
      <c r="AD61" s="56"/>
      <c r="AE61" s="56"/>
      <c r="AF61" s="56"/>
      <c r="AG61" s="56"/>
      <c r="AH61" s="56"/>
      <c r="AI61" s="526"/>
      <c r="AJ61" s="1625"/>
      <c r="AK61" s="1580"/>
      <c r="AL61" s="1580"/>
      <c r="AM61" s="1580"/>
      <c r="AN61" s="657"/>
      <c r="AO61" s="657"/>
      <c r="AP61" s="657"/>
    </row>
    <row r="62" spans="2:56" s="77" customFormat="1" x14ac:dyDescent="0.2">
      <c r="B62" s="327"/>
      <c r="C62" s="328"/>
      <c r="D62" s="329"/>
      <c r="E62" s="330"/>
      <c r="F62" s="650"/>
      <c r="G62" s="562" t="s">
        <v>1008</v>
      </c>
      <c r="H62" s="563">
        <v>0</v>
      </c>
      <c r="I62" s="874"/>
      <c r="J62" s="874"/>
      <c r="K62" s="331"/>
      <c r="L62" s="347"/>
      <c r="M62" s="56"/>
      <c r="N62" s="348"/>
      <c r="O62" s="694"/>
      <c r="P62" s="56"/>
      <c r="Q62" s="56"/>
      <c r="R62" s="56"/>
      <c r="S62" s="978"/>
      <c r="T62" s="56"/>
      <c r="U62" s="56"/>
      <c r="V62" s="56"/>
      <c r="W62" s="56"/>
      <c r="X62" s="56"/>
      <c r="Y62" s="56"/>
      <c r="Z62" s="56"/>
      <c r="AA62" s="56"/>
      <c r="AB62" s="56"/>
      <c r="AC62" s="56"/>
      <c r="AD62" s="56"/>
      <c r="AE62" s="56"/>
      <c r="AF62" s="56"/>
      <c r="AG62" s="56"/>
      <c r="AH62" s="56"/>
      <c r="AI62" s="526"/>
      <c r="AJ62" s="1625"/>
      <c r="AK62" s="1580"/>
      <c r="AL62" s="1580"/>
      <c r="AM62" s="1580"/>
      <c r="AN62" s="657"/>
      <c r="AO62" s="657"/>
      <c r="AP62" s="657"/>
    </row>
    <row r="63" spans="2:56" s="77" customFormat="1" ht="13.5" thickBot="1" x14ac:dyDescent="0.25">
      <c r="B63" s="327"/>
      <c r="C63" s="328"/>
      <c r="D63" s="329"/>
      <c r="E63" s="330"/>
      <c r="F63" s="651"/>
      <c r="G63" s="123" t="s">
        <v>541</v>
      </c>
      <c r="H63" s="107">
        <f>+I37</f>
        <v>90277278</v>
      </c>
      <c r="I63" s="874"/>
      <c r="J63" s="874"/>
      <c r="K63" s="331"/>
      <c r="L63" s="347"/>
      <c r="M63" s="56"/>
      <c r="N63" s="348"/>
      <c r="O63" s="694"/>
      <c r="P63" s="56"/>
      <c r="Q63" s="56"/>
      <c r="R63" s="56"/>
      <c r="S63" s="978"/>
      <c r="T63" s="56"/>
      <c r="U63" s="56"/>
      <c r="V63" s="56"/>
      <c r="W63" s="56"/>
      <c r="X63" s="56"/>
      <c r="Y63" s="56"/>
      <c r="Z63" s="56"/>
      <c r="AA63" s="56"/>
      <c r="AB63" s="56"/>
      <c r="AC63" s="56"/>
      <c r="AD63" s="56"/>
      <c r="AE63" s="56"/>
      <c r="AF63" s="56"/>
      <c r="AG63" s="56"/>
      <c r="AH63" s="56"/>
      <c r="AI63" s="526"/>
      <c r="AJ63" s="1625"/>
      <c r="AK63" s="1580"/>
      <c r="AL63" s="1580"/>
      <c r="AM63" s="1580"/>
      <c r="AN63" s="657"/>
      <c r="AO63" s="657"/>
      <c r="AP63" s="657"/>
    </row>
    <row r="64" spans="2:56" s="77" customFormat="1" x14ac:dyDescent="0.2">
      <c r="B64" s="327"/>
      <c r="C64" s="328"/>
      <c r="D64" s="329"/>
      <c r="E64" s="330"/>
      <c r="F64" s="646"/>
      <c r="G64" s="874"/>
      <c r="H64" s="874"/>
      <c r="I64" s="874"/>
      <c r="J64" s="874"/>
      <c r="K64" s="331"/>
      <c r="L64" s="347"/>
      <c r="M64" s="56"/>
      <c r="N64" s="348"/>
      <c r="O64" s="694"/>
      <c r="P64" s="56"/>
      <c r="Q64" s="56"/>
      <c r="R64" s="56"/>
      <c r="S64" s="978"/>
      <c r="T64" s="56"/>
      <c r="U64" s="56"/>
      <c r="V64" s="56"/>
      <c r="W64" s="56"/>
      <c r="X64" s="56"/>
      <c r="Y64" s="56"/>
      <c r="Z64" s="56"/>
      <c r="AA64" s="56"/>
      <c r="AB64" s="56"/>
      <c r="AC64" s="56"/>
      <c r="AD64" s="56"/>
      <c r="AE64" s="56"/>
      <c r="AF64" s="56"/>
      <c r="AG64" s="56"/>
      <c r="AH64" s="56"/>
      <c r="AI64" s="526"/>
      <c r="AJ64" s="1614"/>
      <c r="AK64" s="1629"/>
      <c r="AL64" s="1629"/>
      <c r="AM64" s="1626"/>
      <c r="AN64" s="237"/>
      <c r="AO64" s="237"/>
      <c r="AP64" s="237"/>
    </row>
    <row r="65" spans="2:46" s="77" customFormat="1" ht="13.5" thickBot="1" x14ac:dyDescent="0.25">
      <c r="B65" s="327"/>
      <c r="C65" s="328"/>
      <c r="D65" s="329"/>
      <c r="E65" s="330"/>
      <c r="F65" s="646"/>
      <c r="G65" s="874"/>
      <c r="H65" s="874"/>
      <c r="I65" s="874"/>
      <c r="J65" s="874"/>
      <c r="K65" s="331"/>
      <c r="L65" s="347"/>
      <c r="M65" s="56"/>
      <c r="N65" s="348"/>
      <c r="O65" s="694"/>
      <c r="P65" s="56"/>
      <c r="Q65" s="56"/>
      <c r="R65" s="56"/>
      <c r="S65" s="978"/>
      <c r="T65" s="56"/>
      <c r="U65" s="56"/>
      <c r="V65" s="56"/>
      <c r="W65" s="56"/>
      <c r="X65" s="56"/>
      <c r="Y65" s="56"/>
      <c r="Z65" s="56"/>
      <c r="AA65" s="56"/>
      <c r="AB65" s="56"/>
      <c r="AC65" s="56"/>
      <c r="AD65" s="56"/>
      <c r="AE65" s="56"/>
      <c r="AF65" s="56"/>
      <c r="AG65" s="56"/>
      <c r="AH65" s="56"/>
      <c r="AI65" s="526"/>
      <c r="AJ65" s="1614"/>
      <c r="AK65" s="1629"/>
      <c r="AL65" s="1629"/>
      <c r="AM65" s="1626"/>
      <c r="AN65" s="237"/>
      <c r="AO65" s="237"/>
      <c r="AP65" s="237"/>
    </row>
    <row r="66" spans="2:46" ht="19.5" customHeight="1" thickBot="1" x14ac:dyDescent="0.25">
      <c r="B66" s="327"/>
      <c r="C66" s="328"/>
      <c r="D66" s="327"/>
      <c r="E66" s="327"/>
      <c r="F66" s="648" t="s">
        <v>721</v>
      </c>
      <c r="G66" s="1781" t="s">
        <v>982</v>
      </c>
      <c r="H66" s="1782"/>
      <c r="I66" s="352"/>
      <c r="J66" s="592"/>
      <c r="K66" s="592"/>
      <c r="L66" s="592"/>
      <c r="M66" s="592"/>
      <c r="N66" s="592"/>
      <c r="O66" s="702"/>
      <c r="P66" s="592"/>
      <c r="Q66" s="592"/>
      <c r="R66" s="592"/>
      <c r="S66" s="987"/>
      <c r="T66" s="592"/>
      <c r="U66" s="592"/>
      <c r="V66" s="592"/>
      <c r="W66" s="592"/>
      <c r="X66" s="592"/>
      <c r="Y66" s="592"/>
      <c r="Z66" s="592"/>
      <c r="AA66" s="592"/>
      <c r="AB66" s="592"/>
      <c r="AC66" s="592"/>
      <c r="AD66" s="592"/>
      <c r="AE66" s="592"/>
      <c r="AF66" s="592"/>
      <c r="AG66" s="592"/>
      <c r="AH66" s="592"/>
      <c r="AI66" s="526"/>
    </row>
    <row r="67" spans="2:46" ht="15" x14ac:dyDescent="0.2">
      <c r="B67" s="327"/>
      <c r="C67" s="328"/>
      <c r="D67" s="327"/>
      <c r="E67" s="327"/>
      <c r="F67" s="649"/>
      <c r="G67" s="105" t="s">
        <v>153</v>
      </c>
      <c r="H67" s="106">
        <f>H42</f>
        <v>56612173</v>
      </c>
      <c r="I67" s="353"/>
      <c r="J67" s="56"/>
      <c r="K67" s="331"/>
      <c r="L67" s="347"/>
      <c r="M67" s="56"/>
      <c r="N67" s="348"/>
      <c r="O67" s="694"/>
      <c r="P67" s="56"/>
      <c r="Q67" s="56"/>
      <c r="R67" s="347"/>
      <c r="S67" s="978"/>
      <c r="T67" s="347"/>
      <c r="U67" s="347"/>
      <c r="V67" s="347"/>
      <c r="W67" s="347"/>
      <c r="X67" s="56"/>
      <c r="Y67" s="56"/>
      <c r="Z67" s="56"/>
      <c r="AA67" s="56"/>
      <c r="AB67" s="56"/>
      <c r="AC67" s="56"/>
      <c r="AD67" s="56"/>
      <c r="AE67" s="56"/>
      <c r="AF67" s="56"/>
      <c r="AG67" s="56"/>
      <c r="AH67" s="56"/>
      <c r="AI67" s="526"/>
      <c r="AJ67" s="1611"/>
      <c r="AK67" s="1627"/>
    </row>
    <row r="68" spans="2:46" s="77" customFormat="1" ht="15" x14ac:dyDescent="0.2">
      <c r="B68" s="327"/>
      <c r="C68" s="328"/>
      <c r="D68" s="327"/>
      <c r="E68" s="327"/>
      <c r="F68" s="650"/>
      <c r="G68" s="562" t="s">
        <v>1008</v>
      </c>
      <c r="H68" s="563">
        <v>0</v>
      </c>
      <c r="I68" s="353"/>
      <c r="J68" s="56"/>
      <c r="K68" s="331"/>
      <c r="L68" s="347"/>
      <c r="M68" s="56"/>
      <c r="N68" s="348"/>
      <c r="O68" s="694"/>
      <c r="P68" s="56"/>
      <c r="Q68" s="56"/>
      <c r="R68" s="347"/>
      <c r="S68" s="978"/>
      <c r="T68" s="347"/>
      <c r="U68" s="347"/>
      <c r="V68" s="347"/>
      <c r="W68" s="347"/>
      <c r="X68" s="56"/>
      <c r="Y68" s="56"/>
      <c r="Z68" s="56"/>
      <c r="AA68" s="56"/>
      <c r="AB68" s="56"/>
      <c r="AC68" s="56"/>
      <c r="AD68" s="56"/>
      <c r="AE68" s="56"/>
      <c r="AF68" s="56"/>
      <c r="AG68" s="56"/>
      <c r="AH68" s="56"/>
      <c r="AI68" s="526"/>
      <c r="AJ68" s="1611"/>
      <c r="AK68" s="1627"/>
      <c r="AL68" s="1626"/>
      <c r="AM68" s="1626"/>
      <c r="AN68" s="237"/>
      <c r="AO68" s="237"/>
      <c r="AP68" s="237"/>
    </row>
    <row r="69" spans="2:46" ht="15.75" thickBot="1" x14ac:dyDescent="0.25">
      <c r="B69" s="327"/>
      <c r="C69" s="328"/>
      <c r="D69" s="327"/>
      <c r="E69" s="327"/>
      <c r="F69" s="651"/>
      <c r="G69" s="123" t="s">
        <v>541</v>
      </c>
      <c r="H69" s="107">
        <f>+I42</f>
        <v>56612173</v>
      </c>
      <c r="I69" s="56"/>
      <c r="J69" s="56"/>
      <c r="K69" s="331"/>
      <c r="L69" s="347"/>
      <c r="M69" s="56"/>
      <c r="N69" s="348"/>
      <c r="O69" s="694"/>
      <c r="P69" s="56"/>
      <c r="Q69" s="56"/>
      <c r="R69" s="347"/>
      <c r="S69" s="978"/>
      <c r="T69" s="347"/>
      <c r="U69" s="347"/>
      <c r="V69" s="347"/>
      <c r="W69" s="347"/>
      <c r="X69" s="56"/>
      <c r="Y69" s="56"/>
      <c r="Z69" s="56"/>
      <c r="AA69" s="56"/>
      <c r="AB69" s="56"/>
      <c r="AC69" s="56"/>
      <c r="AD69" s="56"/>
      <c r="AE69" s="56"/>
      <c r="AF69" s="56"/>
      <c r="AG69" s="56"/>
      <c r="AH69" s="56"/>
      <c r="AI69" s="526"/>
      <c r="AJ69" s="1611"/>
      <c r="AK69" s="1627"/>
    </row>
    <row r="70" spans="2:46" ht="15" x14ac:dyDescent="0.2">
      <c r="B70" s="327"/>
      <c r="C70" s="328"/>
      <c r="D70" s="327"/>
      <c r="E70" s="327"/>
      <c r="I70" s="56"/>
      <c r="J70" s="56"/>
      <c r="K70" s="331"/>
      <c r="L70" s="347"/>
      <c r="M70" s="56"/>
      <c r="N70" s="348"/>
      <c r="O70" s="694"/>
      <c r="P70" s="56"/>
      <c r="Q70" s="56"/>
      <c r="R70" s="56"/>
      <c r="S70" s="978"/>
      <c r="T70" s="56"/>
      <c r="U70" s="56"/>
      <c r="V70" s="56"/>
      <c r="W70" s="56"/>
      <c r="X70" s="56"/>
      <c r="Y70" s="56"/>
      <c r="Z70" s="56"/>
      <c r="AA70" s="56"/>
      <c r="AB70" s="56"/>
      <c r="AC70" s="56"/>
      <c r="AD70" s="56"/>
      <c r="AE70" s="56"/>
      <c r="AF70" s="56"/>
      <c r="AG70" s="56"/>
      <c r="AH70" s="56"/>
      <c r="AI70" s="526"/>
      <c r="AJ70" s="1611"/>
      <c r="AK70" s="1627"/>
    </row>
    <row r="71" spans="2:46" ht="15.75" thickBot="1" x14ac:dyDescent="0.25">
      <c r="B71" s="327"/>
      <c r="C71" s="328"/>
      <c r="D71" s="329"/>
      <c r="E71" s="330"/>
      <c r="J71" s="56"/>
      <c r="K71" s="331"/>
      <c r="L71" s="347"/>
      <c r="M71" s="56"/>
      <c r="N71" s="348"/>
      <c r="O71" s="694"/>
      <c r="P71" s="56"/>
      <c r="Q71" s="56"/>
      <c r="R71" s="56"/>
      <c r="S71" s="978"/>
      <c r="T71" s="56"/>
      <c r="U71" s="56"/>
      <c r="V71" s="56"/>
      <c r="W71" s="56"/>
      <c r="X71" s="56"/>
      <c r="Y71" s="56"/>
      <c r="Z71" s="56"/>
      <c r="AA71" s="56"/>
      <c r="AB71" s="56"/>
      <c r="AC71" s="56"/>
      <c r="AD71" s="56"/>
      <c r="AE71" s="56"/>
      <c r="AF71" s="56"/>
      <c r="AG71" s="56"/>
      <c r="AH71" s="56"/>
      <c r="AI71" s="526"/>
      <c r="AJ71" s="1611"/>
      <c r="AK71" s="1627"/>
    </row>
    <row r="72" spans="2:46" ht="15.75" thickBot="1" x14ac:dyDescent="0.3">
      <c r="D72" s="329"/>
      <c r="E72" s="330"/>
      <c r="F72" s="1778" t="s">
        <v>981</v>
      </c>
      <c r="G72" s="1779"/>
      <c r="H72" s="1779"/>
      <c r="I72" s="1780"/>
      <c r="AI72" s="526"/>
      <c r="AJ72" s="1611"/>
      <c r="AK72" s="1627"/>
    </row>
    <row r="73" spans="2:46" ht="31.5" customHeight="1" x14ac:dyDescent="0.2">
      <c r="D73" s="329"/>
      <c r="E73" s="330"/>
      <c r="F73" s="1238" t="s">
        <v>784</v>
      </c>
      <c r="G73" s="1239" t="s">
        <v>776</v>
      </c>
      <c r="H73" s="1240" t="s">
        <v>782</v>
      </c>
      <c r="I73" s="1241" t="s">
        <v>783</v>
      </c>
      <c r="AI73" s="526"/>
      <c r="AJ73" s="1611"/>
      <c r="AK73" s="1627"/>
    </row>
    <row r="74" spans="2:46" ht="15" x14ac:dyDescent="0.2">
      <c r="D74" s="329"/>
      <c r="E74" s="330"/>
      <c r="F74" s="1242" t="str">
        <f>+F38</f>
        <v>33.03.005.001</v>
      </c>
      <c r="G74" s="1236" t="s">
        <v>676</v>
      </c>
      <c r="H74" s="1237">
        <f>+I38</f>
        <v>42112712</v>
      </c>
      <c r="I74" s="1243">
        <f t="shared" ref="I74:I76" ca="1" si="23">+J38</f>
        <v>0</v>
      </c>
      <c r="AI74" s="526"/>
      <c r="AJ74" s="1611"/>
      <c r="AK74" s="1627"/>
    </row>
    <row r="75" spans="2:46" ht="15" x14ac:dyDescent="0.2">
      <c r="D75" s="329"/>
      <c r="E75" s="330"/>
      <c r="F75" s="1242" t="str">
        <f>+F39</f>
        <v>33.03.005.002</v>
      </c>
      <c r="G75" s="1236" t="s">
        <v>677</v>
      </c>
      <c r="H75" s="1237">
        <f>+I39</f>
        <v>26521300</v>
      </c>
      <c r="I75" s="1243">
        <f t="shared" ca="1" si="23"/>
        <v>8149438.0560000008</v>
      </c>
      <c r="AI75" s="526"/>
      <c r="AJ75" s="1611"/>
      <c r="AK75" s="1627"/>
    </row>
    <row r="76" spans="2:46" s="37" customFormat="1" ht="15" x14ac:dyDescent="0.2">
      <c r="B76" s="44"/>
      <c r="C76" s="45"/>
      <c r="D76" s="329"/>
      <c r="E76" s="330"/>
      <c r="F76" s="1242" t="str">
        <f>+F40</f>
        <v>33.03.005.003</v>
      </c>
      <c r="G76" s="1236" t="s">
        <v>678</v>
      </c>
      <c r="H76" s="1237">
        <f>+I40</f>
        <v>16643266</v>
      </c>
      <c r="I76" s="1243">
        <f t="shared" ca="1" si="23"/>
        <v>7068858.796000001</v>
      </c>
      <c r="J76" s="36"/>
      <c r="K76" s="236"/>
      <c r="L76" s="66"/>
      <c r="M76" s="36"/>
      <c r="N76" s="228"/>
      <c r="O76" s="693"/>
      <c r="P76" s="36"/>
      <c r="Q76" s="36"/>
      <c r="R76" s="36"/>
      <c r="S76" s="979"/>
      <c r="T76" s="36"/>
      <c r="U76" s="36"/>
      <c r="V76" s="36"/>
      <c r="W76" s="36"/>
      <c r="X76" s="36"/>
      <c r="Y76" s="36"/>
      <c r="Z76" s="36"/>
      <c r="AA76" s="36"/>
      <c r="AB76" s="36"/>
      <c r="AC76" s="36"/>
      <c r="AD76" s="36"/>
      <c r="AE76" s="36"/>
      <c r="AF76" s="36"/>
      <c r="AG76" s="36"/>
      <c r="AH76" s="36"/>
      <c r="AI76" s="526"/>
      <c r="AJ76" s="1611"/>
      <c r="AK76" s="1627"/>
      <c r="AL76" s="1626"/>
      <c r="AM76" s="1626"/>
      <c r="AN76" s="237"/>
      <c r="AO76" s="237"/>
      <c r="AP76" s="237"/>
      <c r="AQ76" s="77"/>
      <c r="AR76" s="77"/>
      <c r="AS76" s="77"/>
      <c r="AT76" s="77"/>
    </row>
    <row r="77" spans="2:46" s="77" customFormat="1" ht="13.5" thickBot="1" x14ac:dyDescent="0.25">
      <c r="B77" s="44"/>
      <c r="C77" s="45"/>
      <c r="D77" s="329"/>
      <c r="E77" s="330"/>
      <c r="F77" s="1244" t="str">
        <f>+F41</f>
        <v>33.03.005.008</v>
      </c>
      <c r="G77" s="1245" t="str">
        <f>+G41</f>
        <v>Emergencia S.P.D.</v>
      </c>
      <c r="H77" s="1246">
        <f>+I41</f>
        <v>5000000</v>
      </c>
      <c r="I77" s="1247">
        <f ca="1">+J41</f>
        <v>1676728.9709999999</v>
      </c>
      <c r="J77" s="36"/>
      <c r="K77" s="236"/>
      <c r="L77" s="66"/>
      <c r="M77" s="36"/>
      <c r="N77" s="228"/>
      <c r="O77" s="693"/>
      <c r="P77" s="36"/>
      <c r="Q77" s="36"/>
      <c r="R77" s="36"/>
      <c r="S77" s="979"/>
      <c r="T77" s="36"/>
      <c r="U77" s="36"/>
      <c r="V77" s="36"/>
      <c r="W77" s="36"/>
      <c r="X77" s="36"/>
      <c r="Y77" s="36"/>
      <c r="Z77" s="36"/>
      <c r="AA77" s="36"/>
      <c r="AB77" s="36"/>
      <c r="AC77" s="36"/>
      <c r="AD77" s="36"/>
      <c r="AE77" s="36"/>
      <c r="AF77" s="36"/>
      <c r="AG77" s="36"/>
      <c r="AH77" s="36"/>
      <c r="AI77" s="526"/>
      <c r="AJ77" s="1610"/>
      <c r="AK77" s="1626"/>
      <c r="AL77" s="1626"/>
      <c r="AM77" s="1626"/>
      <c r="AN77" s="237"/>
      <c r="AO77" s="237"/>
      <c r="AP77" s="237"/>
    </row>
    <row r="78" spans="2:46" s="77" customFormat="1" ht="13.5" thickBot="1" x14ac:dyDescent="0.25">
      <c r="B78" s="44"/>
      <c r="C78" s="45"/>
      <c r="D78" s="329"/>
      <c r="E78" s="330"/>
      <c r="F78" s="1784" t="s">
        <v>423</v>
      </c>
      <c r="G78" s="1785"/>
      <c r="H78" s="392">
        <f>+SUM(H74:H77)</f>
        <v>90277278</v>
      </c>
      <c r="I78" s="392">
        <f ca="1">+SUM(I74:I77)</f>
        <v>16895025.823000003</v>
      </c>
      <c r="J78" s="36"/>
      <c r="K78" s="236"/>
      <c r="L78" s="66"/>
      <c r="M78" s="36"/>
      <c r="N78" s="228"/>
      <c r="O78" s="693"/>
      <c r="P78" s="36"/>
      <c r="Q78" s="36"/>
      <c r="R78" s="36"/>
      <c r="S78" s="979"/>
      <c r="T78" s="36"/>
      <c r="U78" s="36"/>
      <c r="V78" s="36"/>
      <c r="W78" s="36"/>
      <c r="X78" s="36"/>
      <c r="Y78" s="36"/>
      <c r="Z78" s="36"/>
      <c r="AA78" s="36"/>
      <c r="AB78" s="36"/>
      <c r="AC78" s="36"/>
      <c r="AD78" s="36"/>
      <c r="AE78" s="36"/>
      <c r="AF78" s="36"/>
      <c r="AG78" s="36"/>
      <c r="AH78" s="36"/>
      <c r="AI78" s="526"/>
      <c r="AJ78" s="1610"/>
      <c r="AK78" s="1626"/>
      <c r="AL78" s="1626"/>
      <c r="AM78" s="1626"/>
      <c r="AN78" s="237"/>
      <c r="AO78" s="237"/>
      <c r="AP78" s="237"/>
    </row>
    <row r="79" spans="2:46" s="77" customFormat="1" ht="35.25" customHeight="1" thickBot="1" x14ac:dyDescent="0.25">
      <c r="B79" s="44"/>
      <c r="C79" s="45"/>
      <c r="D79" s="329"/>
      <c r="E79" s="330"/>
      <c r="F79" s="653" t="s">
        <v>784</v>
      </c>
      <c r="G79" s="394" t="s">
        <v>777</v>
      </c>
      <c r="H79" s="402" t="s">
        <v>782</v>
      </c>
      <c r="I79" s="402" t="s">
        <v>783</v>
      </c>
      <c r="J79" s="36"/>
      <c r="K79" s="238"/>
      <c r="L79" s="239"/>
      <c r="M79" s="240"/>
      <c r="N79" s="228"/>
      <c r="O79" s="693"/>
      <c r="P79" s="36"/>
      <c r="Q79" s="36"/>
      <c r="R79" s="36"/>
      <c r="S79" s="979"/>
      <c r="T79" s="36"/>
      <c r="U79" s="36"/>
      <c r="V79" s="36"/>
      <c r="W79" s="36"/>
      <c r="X79" s="36"/>
      <c r="Y79" s="36"/>
      <c r="Z79" s="36"/>
      <c r="AA79" s="36"/>
      <c r="AB79" s="36"/>
      <c r="AC79" s="36"/>
      <c r="AD79" s="36"/>
      <c r="AE79" s="36"/>
      <c r="AF79" s="36"/>
      <c r="AG79" s="36"/>
      <c r="AH79" s="36"/>
      <c r="AI79" s="526"/>
      <c r="AJ79" s="1610"/>
      <c r="AK79" s="1626"/>
      <c r="AL79" s="1626"/>
      <c r="AM79" s="1626"/>
      <c r="AN79" s="237"/>
      <c r="AO79" s="237"/>
      <c r="AP79" s="237"/>
    </row>
    <row r="80" spans="2:46" s="37" customFormat="1" x14ac:dyDescent="0.2">
      <c r="B80" s="44"/>
      <c r="C80" s="45"/>
      <c r="D80" s="329"/>
      <c r="E80" s="330"/>
      <c r="F80" s="654" t="str">
        <f>+F43</f>
        <v>33.03.006.001</v>
      </c>
      <c r="G80" s="395" t="s">
        <v>679</v>
      </c>
      <c r="H80" s="403">
        <f t="shared" ref="H80:H85" si="24">+I43</f>
        <v>5736407</v>
      </c>
      <c r="I80" s="403">
        <f t="shared" ref="I80:I85" ca="1" si="25">+J43</f>
        <v>3560698.048</v>
      </c>
      <c r="J80" s="36"/>
      <c r="K80" s="236"/>
      <c r="L80" s="66"/>
      <c r="M80" s="36"/>
      <c r="N80" s="228"/>
      <c r="O80" s="693"/>
      <c r="P80" s="36"/>
      <c r="Q80" s="36"/>
      <c r="R80" s="36"/>
      <c r="S80" s="979"/>
      <c r="T80" s="36"/>
      <c r="U80" s="36"/>
      <c r="V80" s="36"/>
      <c r="W80" s="36"/>
      <c r="X80" s="36"/>
      <c r="Y80" s="36"/>
      <c r="Z80" s="36"/>
      <c r="AA80" s="36"/>
      <c r="AB80" s="36"/>
      <c r="AC80" s="36"/>
      <c r="AD80" s="36"/>
      <c r="AE80" s="36"/>
      <c r="AF80" s="36"/>
      <c r="AG80" s="36"/>
      <c r="AH80" s="36"/>
      <c r="AI80" s="526"/>
      <c r="AJ80" s="1610"/>
      <c r="AK80" s="1626"/>
      <c r="AL80" s="1626"/>
      <c r="AM80" s="1626"/>
      <c r="AN80" s="237"/>
      <c r="AO80" s="237"/>
      <c r="AP80" s="237"/>
      <c r="AQ80" s="77"/>
      <c r="AR80" s="77"/>
      <c r="AS80" s="77"/>
      <c r="AT80" s="77"/>
    </row>
    <row r="81" spans="2:46" s="37" customFormat="1" x14ac:dyDescent="0.2">
      <c r="B81" s="44"/>
      <c r="C81" s="45"/>
      <c r="D81" s="329"/>
      <c r="E81" s="330"/>
      <c r="F81" s="654" t="str">
        <f t="shared" ref="F81:F85" si="26">+F44</f>
        <v>33.03.006.002</v>
      </c>
      <c r="G81" s="396" t="s">
        <v>680</v>
      </c>
      <c r="H81" s="403">
        <f t="shared" si="24"/>
        <v>7925135</v>
      </c>
      <c r="I81" s="403">
        <f t="shared" ca="1" si="25"/>
        <v>3470113.1680000001</v>
      </c>
      <c r="J81" s="36"/>
      <c r="K81" s="236"/>
      <c r="L81" s="66"/>
      <c r="M81" s="36"/>
      <c r="N81" s="228"/>
      <c r="O81" s="693"/>
      <c r="P81" s="36"/>
      <c r="Q81" s="36"/>
      <c r="R81" s="36"/>
      <c r="S81" s="979"/>
      <c r="T81" s="36"/>
      <c r="U81" s="36"/>
      <c r="V81" s="36"/>
      <c r="W81" s="36"/>
      <c r="X81" s="36"/>
      <c r="Y81" s="36"/>
      <c r="Z81" s="36"/>
      <c r="AA81" s="36"/>
      <c r="AB81" s="36"/>
      <c r="AC81" s="36"/>
      <c r="AD81" s="36"/>
      <c r="AE81" s="36"/>
      <c r="AF81" s="36"/>
      <c r="AG81" s="36"/>
      <c r="AH81" s="36"/>
      <c r="AI81" s="526"/>
      <c r="AJ81" s="1610"/>
      <c r="AK81" s="1626"/>
      <c r="AL81" s="1626"/>
      <c r="AM81" s="1626"/>
      <c r="AN81" s="237"/>
      <c r="AO81" s="237"/>
      <c r="AP81" s="237"/>
      <c r="AQ81" s="77"/>
      <c r="AR81" s="77"/>
      <c r="AS81" s="77"/>
      <c r="AT81" s="77"/>
    </row>
    <row r="82" spans="2:46" s="37" customFormat="1" x14ac:dyDescent="0.2">
      <c r="B82" s="44"/>
      <c r="C82" s="45"/>
      <c r="D82" s="329"/>
      <c r="E82" s="330"/>
      <c r="F82" s="654" t="str">
        <f t="shared" si="26"/>
        <v>33.03.006.003</v>
      </c>
      <c r="G82" s="396" t="s">
        <v>681</v>
      </c>
      <c r="H82" s="403">
        <f t="shared" si="24"/>
        <v>1946254</v>
      </c>
      <c r="I82" s="403">
        <f t="shared" ca="1" si="25"/>
        <v>854169.97199999995</v>
      </c>
      <c r="J82" s="36"/>
      <c r="K82" s="236"/>
      <c r="L82" s="66"/>
      <c r="M82" s="36"/>
      <c r="N82" s="228"/>
      <c r="O82" s="693"/>
      <c r="P82" s="36"/>
      <c r="Q82" s="36"/>
      <c r="R82" s="36"/>
      <c r="S82" s="979"/>
      <c r="T82" s="36"/>
      <c r="U82" s="36"/>
      <c r="V82" s="36"/>
      <c r="W82" s="36"/>
      <c r="X82" s="36"/>
      <c r="Y82" s="36"/>
      <c r="Z82" s="36"/>
      <c r="AA82" s="36"/>
      <c r="AB82" s="36"/>
      <c r="AC82" s="36"/>
      <c r="AD82" s="36"/>
      <c r="AE82" s="36"/>
      <c r="AF82" s="36"/>
      <c r="AG82" s="36"/>
      <c r="AH82" s="36"/>
      <c r="AI82" s="526"/>
      <c r="AJ82" s="1610"/>
      <c r="AK82" s="1626"/>
      <c r="AL82" s="1626"/>
      <c r="AM82" s="1626"/>
      <c r="AN82" s="237"/>
      <c r="AO82" s="237"/>
      <c r="AP82" s="237"/>
      <c r="AQ82" s="77"/>
      <c r="AR82" s="77"/>
      <c r="AS82" s="77"/>
      <c r="AT82" s="77"/>
    </row>
    <row r="83" spans="2:46" s="37" customFormat="1" x14ac:dyDescent="0.2">
      <c r="B83" s="44"/>
      <c r="C83" s="45"/>
      <c r="D83" s="329"/>
      <c r="E83" s="330"/>
      <c r="F83" s="654" t="str">
        <f t="shared" si="26"/>
        <v>33.03.006.004</v>
      </c>
      <c r="G83" s="396" t="s">
        <v>682</v>
      </c>
      <c r="H83" s="403">
        <f t="shared" si="24"/>
        <v>2260410</v>
      </c>
      <c r="I83" s="403">
        <f t="shared" ca="1" si="25"/>
        <v>302326.79099999997</v>
      </c>
      <c r="J83" s="36"/>
      <c r="K83" s="236"/>
      <c r="L83" s="66"/>
      <c r="M83" s="36"/>
      <c r="N83" s="228"/>
      <c r="O83" s="693"/>
      <c r="P83" s="36"/>
      <c r="Q83" s="36"/>
      <c r="R83" s="36"/>
      <c r="S83" s="979"/>
      <c r="T83" s="36"/>
      <c r="U83" s="36"/>
      <c r="V83" s="36"/>
      <c r="W83" s="36"/>
      <c r="X83" s="36"/>
      <c r="Y83" s="36"/>
      <c r="Z83" s="36"/>
      <c r="AA83" s="36"/>
      <c r="AB83" s="36"/>
      <c r="AC83" s="36"/>
      <c r="AD83" s="36"/>
      <c r="AE83" s="36"/>
      <c r="AF83" s="36"/>
      <c r="AG83" s="36"/>
      <c r="AH83" s="36"/>
      <c r="AI83" s="526"/>
      <c r="AJ83" s="1610"/>
      <c r="AK83" s="1626"/>
      <c r="AL83" s="1626"/>
      <c r="AM83" s="1626"/>
      <c r="AN83" s="237"/>
      <c r="AO83" s="237"/>
      <c r="AP83" s="237"/>
      <c r="AQ83" s="77"/>
      <c r="AR83" s="77"/>
      <c r="AS83" s="77"/>
      <c r="AT83" s="77"/>
    </row>
    <row r="84" spans="2:46" s="37" customFormat="1" x14ac:dyDescent="0.2">
      <c r="B84" s="44"/>
      <c r="C84" s="45"/>
      <c r="D84" s="329"/>
      <c r="E84" s="330"/>
      <c r="F84" s="654" t="str">
        <f t="shared" si="26"/>
        <v>33.03.006.005</v>
      </c>
      <c r="G84" s="396" t="s">
        <v>683</v>
      </c>
      <c r="H84" s="403">
        <f t="shared" si="24"/>
        <v>21256852</v>
      </c>
      <c r="I84" s="403">
        <f t="shared" ca="1" si="25"/>
        <v>0</v>
      </c>
      <c r="J84" s="36"/>
      <c r="K84" s="236"/>
      <c r="L84" s="66"/>
      <c r="M84" s="36"/>
      <c r="N84" s="228"/>
      <c r="O84" s="693"/>
      <c r="P84" s="36"/>
      <c r="Q84" s="36"/>
      <c r="R84" s="36"/>
      <c r="S84" s="979"/>
      <c r="T84" s="36"/>
      <c r="U84" s="36"/>
      <c r="V84" s="36"/>
      <c r="W84" s="36"/>
      <c r="X84" s="36"/>
      <c r="Y84" s="36"/>
      <c r="Z84" s="36"/>
      <c r="AA84" s="36"/>
      <c r="AB84" s="36"/>
      <c r="AC84" s="36"/>
      <c r="AD84" s="36"/>
      <c r="AE84" s="36"/>
      <c r="AF84" s="36"/>
      <c r="AG84" s="36"/>
      <c r="AH84" s="36"/>
      <c r="AI84" s="237"/>
      <c r="AJ84" s="1610"/>
      <c r="AK84" s="1626"/>
      <c r="AL84" s="1626"/>
      <c r="AM84" s="1626"/>
      <c r="AN84" s="237"/>
      <c r="AO84" s="237"/>
      <c r="AP84" s="237"/>
      <c r="AQ84" s="77"/>
      <c r="AR84" s="77"/>
      <c r="AS84" s="77"/>
      <c r="AT84" s="77"/>
    </row>
    <row r="85" spans="2:46" s="37" customFormat="1" ht="13.5" thickBot="1" x14ac:dyDescent="0.25">
      <c r="B85" s="44"/>
      <c r="C85" s="45"/>
      <c r="D85" s="329"/>
      <c r="E85" s="330"/>
      <c r="F85" s="654" t="str">
        <f t="shared" si="26"/>
        <v>33.03.006.006</v>
      </c>
      <c r="G85" s="397" t="s">
        <v>684</v>
      </c>
      <c r="H85" s="404">
        <f t="shared" si="24"/>
        <v>17487115</v>
      </c>
      <c r="I85" s="404">
        <f t="shared" ca="1" si="25"/>
        <v>5327512.2369999997</v>
      </c>
      <c r="J85" s="36"/>
      <c r="K85" s="236"/>
      <c r="L85" s="66"/>
      <c r="M85" s="36"/>
      <c r="N85" s="228"/>
      <c r="O85" s="693"/>
      <c r="P85" s="36"/>
      <c r="Q85" s="36"/>
      <c r="R85" s="36"/>
      <c r="S85" s="979"/>
      <c r="T85" s="36"/>
      <c r="U85" s="36"/>
      <c r="V85" s="36"/>
      <c r="W85" s="36"/>
      <c r="X85" s="36"/>
      <c r="Y85" s="36"/>
      <c r="Z85" s="36"/>
      <c r="AA85" s="36"/>
      <c r="AB85" s="36"/>
      <c r="AC85" s="36"/>
      <c r="AD85" s="36"/>
      <c r="AE85" s="36"/>
      <c r="AF85" s="36"/>
      <c r="AG85" s="36"/>
      <c r="AH85" s="36"/>
      <c r="AI85" s="237"/>
      <c r="AJ85" s="1610"/>
      <c r="AK85" s="1626"/>
      <c r="AL85" s="1626"/>
      <c r="AM85" s="1626"/>
      <c r="AN85" s="237"/>
      <c r="AO85" s="237"/>
      <c r="AP85" s="237"/>
      <c r="AQ85" s="77"/>
      <c r="AR85" s="77"/>
      <c r="AS85" s="77"/>
      <c r="AT85" s="77"/>
    </row>
    <row r="86" spans="2:46" s="77" customFormat="1" ht="13.5" thickBot="1" x14ac:dyDescent="0.25">
      <c r="B86" s="44"/>
      <c r="C86" s="45"/>
      <c r="D86" s="329"/>
      <c r="E86" s="330"/>
      <c r="F86" s="1784" t="s">
        <v>423</v>
      </c>
      <c r="G86" s="1785"/>
      <c r="H86" s="392">
        <f>+SUM(H80:H85)</f>
        <v>56612173</v>
      </c>
      <c r="I86" s="393">
        <f ca="1">+SUM(I80:I85)</f>
        <v>13514820.216</v>
      </c>
      <c r="J86" s="36"/>
      <c r="K86" s="236"/>
      <c r="L86" s="66"/>
      <c r="M86" s="36"/>
      <c r="N86" s="228"/>
      <c r="O86" s="693"/>
      <c r="P86" s="36"/>
      <c r="Q86" s="36"/>
      <c r="R86" s="36"/>
      <c r="S86" s="979"/>
      <c r="T86" s="36"/>
      <c r="U86" s="36"/>
      <c r="V86" s="36"/>
      <c r="W86" s="36"/>
      <c r="X86" s="36"/>
      <c r="Y86" s="36"/>
      <c r="Z86" s="36"/>
      <c r="AA86" s="36"/>
      <c r="AB86" s="36"/>
      <c r="AC86" s="36"/>
      <c r="AD86" s="36"/>
      <c r="AE86" s="36"/>
      <c r="AF86" s="36"/>
      <c r="AG86" s="36"/>
      <c r="AH86" s="36"/>
      <c r="AI86" s="237"/>
      <c r="AJ86" s="1610"/>
      <c r="AK86" s="1626"/>
      <c r="AL86" s="1626"/>
      <c r="AM86" s="1626"/>
      <c r="AN86" s="237"/>
      <c r="AO86" s="237"/>
      <c r="AP86" s="237"/>
    </row>
    <row r="87" spans="2:46" s="77" customFormat="1" ht="33" customHeight="1" thickBot="1" x14ac:dyDescent="0.25">
      <c r="B87" s="44"/>
      <c r="C87" s="45"/>
      <c r="D87" s="329"/>
      <c r="E87" s="330"/>
      <c r="F87" s="655" t="s">
        <v>784</v>
      </c>
      <c r="G87" s="398" t="s">
        <v>152</v>
      </c>
      <c r="H87" s="400" t="s">
        <v>782</v>
      </c>
      <c r="I87" s="402" t="s">
        <v>783</v>
      </c>
      <c r="J87" s="36"/>
      <c r="K87" s="236"/>
      <c r="L87" s="66"/>
      <c r="M87" s="36"/>
      <c r="N87" s="228"/>
      <c r="O87" s="693"/>
      <c r="P87" s="36"/>
      <c r="Q87" s="36"/>
      <c r="R87" s="36"/>
      <c r="S87" s="979"/>
      <c r="T87" s="36"/>
      <c r="U87" s="36"/>
      <c r="V87" s="36"/>
      <c r="W87" s="36"/>
      <c r="X87" s="36"/>
      <c r="Y87" s="36"/>
      <c r="Z87" s="36"/>
      <c r="AA87" s="36"/>
      <c r="AB87" s="36"/>
      <c r="AC87" s="36"/>
      <c r="AD87" s="36"/>
      <c r="AE87" s="36"/>
      <c r="AF87" s="36"/>
      <c r="AG87" s="36"/>
      <c r="AH87" s="36"/>
      <c r="AI87" s="237"/>
      <c r="AJ87" s="1610"/>
      <c r="AK87" s="1626"/>
      <c r="AL87" s="1626"/>
      <c r="AM87" s="1626"/>
      <c r="AN87" s="237"/>
      <c r="AO87" s="237"/>
      <c r="AP87" s="237"/>
    </row>
    <row r="88" spans="2:46" s="37" customFormat="1" x14ac:dyDescent="0.2">
      <c r="B88" s="44"/>
      <c r="C88" s="45"/>
      <c r="D88" s="329"/>
      <c r="E88" s="330"/>
      <c r="F88" s="656" t="str">
        <f>+F49</f>
        <v>33.03.100</v>
      </c>
      <c r="G88" s="399" t="s">
        <v>685</v>
      </c>
      <c r="H88" s="401">
        <f>+I49</f>
        <v>14616065</v>
      </c>
      <c r="I88" s="403">
        <f ca="1">+J49</f>
        <v>0</v>
      </c>
      <c r="J88" s="36"/>
      <c r="K88" s="236"/>
      <c r="L88" s="66"/>
      <c r="M88" s="36"/>
      <c r="N88" s="228"/>
      <c r="O88" s="693"/>
      <c r="P88" s="36"/>
      <c r="Q88" s="36"/>
      <c r="R88" s="36"/>
      <c r="S88" s="979"/>
      <c r="T88" s="36"/>
      <c r="U88" s="36"/>
      <c r="V88" s="36"/>
      <c r="W88" s="36"/>
      <c r="X88" s="36"/>
      <c r="Y88" s="36"/>
      <c r="Z88" s="36"/>
      <c r="AA88" s="36"/>
      <c r="AB88" s="36"/>
      <c r="AC88" s="36"/>
      <c r="AD88" s="36"/>
      <c r="AE88" s="36"/>
      <c r="AF88" s="36"/>
      <c r="AG88" s="36"/>
      <c r="AH88" s="36"/>
      <c r="AI88" s="237"/>
      <c r="AJ88" s="1610"/>
      <c r="AK88" s="1626"/>
      <c r="AL88" s="1626"/>
      <c r="AM88" s="1626"/>
      <c r="AN88" s="237"/>
      <c r="AO88" s="237"/>
      <c r="AP88" s="237"/>
      <c r="AQ88" s="77"/>
      <c r="AR88" s="77"/>
      <c r="AS88" s="77"/>
      <c r="AT88" s="77"/>
    </row>
    <row r="89" spans="2:46" s="37" customFormat="1" ht="13.5" thickBot="1" x14ac:dyDescent="0.25">
      <c r="B89" s="44"/>
      <c r="C89" s="45"/>
      <c r="D89" s="329"/>
      <c r="E89" s="330"/>
      <c r="F89" s="1776" t="s">
        <v>423</v>
      </c>
      <c r="G89" s="1777"/>
      <c r="H89" s="405">
        <f>+H88</f>
        <v>14616065</v>
      </c>
      <c r="I89" s="406">
        <f ca="1">+I88</f>
        <v>0</v>
      </c>
      <c r="J89" s="36"/>
      <c r="K89" s="236"/>
      <c r="L89" s="66"/>
      <c r="M89" s="36"/>
      <c r="N89" s="228"/>
      <c r="O89" s="693"/>
      <c r="P89" s="36"/>
      <c r="Q89" s="36"/>
      <c r="R89" s="36"/>
      <c r="S89" s="979"/>
      <c r="T89" s="36"/>
      <c r="U89" s="36"/>
      <c r="V89" s="36"/>
      <c r="W89" s="36"/>
      <c r="X89" s="36"/>
      <c r="Y89" s="36"/>
      <c r="Z89" s="36"/>
      <c r="AA89" s="36"/>
      <c r="AB89" s="36"/>
      <c r="AC89" s="36"/>
      <c r="AD89" s="36"/>
      <c r="AE89" s="36"/>
      <c r="AF89" s="36"/>
      <c r="AG89" s="36"/>
      <c r="AH89" s="36"/>
      <c r="AI89" s="237"/>
      <c r="AJ89" s="1610"/>
      <c r="AK89" s="1626"/>
      <c r="AL89" s="1626"/>
      <c r="AM89" s="1626"/>
      <c r="AN89" s="237"/>
      <c r="AO89" s="237"/>
      <c r="AP89" s="237"/>
      <c r="AQ89" s="77"/>
      <c r="AR89" s="77"/>
      <c r="AS89" s="77"/>
      <c r="AT89" s="77"/>
    </row>
    <row r="90" spans="2:46" s="37" customFormat="1" x14ac:dyDescent="0.2">
      <c r="B90" s="44"/>
      <c r="C90" s="45"/>
      <c r="D90" s="329"/>
      <c r="E90" s="330"/>
      <c r="F90" s="652"/>
      <c r="G90" s="48"/>
      <c r="H90" s="36"/>
      <c r="I90" s="36"/>
      <c r="J90" s="36"/>
      <c r="K90" s="236"/>
      <c r="L90" s="66"/>
      <c r="M90" s="36"/>
      <c r="N90" s="228"/>
      <c r="O90" s="693"/>
      <c r="P90" s="36"/>
      <c r="Q90" s="36"/>
      <c r="R90" s="36"/>
      <c r="S90" s="979"/>
      <c r="T90" s="36"/>
      <c r="U90" s="36"/>
      <c r="V90" s="36"/>
      <c r="W90" s="36"/>
      <c r="X90" s="36"/>
      <c r="Y90" s="36"/>
      <c r="Z90" s="36"/>
      <c r="AA90" s="36"/>
      <c r="AB90" s="36"/>
      <c r="AC90" s="36"/>
      <c r="AD90" s="36"/>
      <c r="AE90" s="36"/>
      <c r="AF90" s="36"/>
      <c r="AG90" s="36"/>
      <c r="AH90" s="36"/>
      <c r="AI90" s="237"/>
      <c r="AJ90" s="1610"/>
      <c r="AK90" s="1626"/>
      <c r="AL90" s="1626"/>
      <c r="AM90" s="1626"/>
      <c r="AN90" s="237"/>
      <c r="AO90" s="237"/>
      <c r="AP90" s="237"/>
      <c r="AQ90" s="77"/>
      <c r="AR90" s="77"/>
      <c r="AS90" s="77"/>
      <c r="AT90" s="77"/>
    </row>
    <row r="91" spans="2:46" s="37" customFormat="1" x14ac:dyDescent="0.2">
      <c r="B91" s="44"/>
      <c r="C91" s="45"/>
      <c r="D91" s="329"/>
      <c r="E91" s="330"/>
      <c r="F91" s="652"/>
      <c r="G91" s="48"/>
      <c r="H91" s="36"/>
      <c r="I91" s="36"/>
      <c r="J91" s="36"/>
      <c r="K91" s="236"/>
      <c r="L91" s="66"/>
      <c r="M91" s="36"/>
      <c r="N91" s="228"/>
      <c r="O91" s="693"/>
      <c r="P91" s="36"/>
      <c r="Q91" s="36"/>
      <c r="R91" s="36"/>
      <c r="S91" s="979"/>
      <c r="T91" s="36"/>
      <c r="U91" s="36"/>
      <c r="V91" s="36"/>
      <c r="W91" s="36"/>
      <c r="X91" s="36"/>
      <c r="Y91" s="36"/>
      <c r="Z91" s="36"/>
      <c r="AA91" s="36"/>
      <c r="AB91" s="36"/>
      <c r="AC91" s="36"/>
      <c r="AD91" s="36"/>
      <c r="AE91" s="36"/>
      <c r="AF91" s="36"/>
      <c r="AG91" s="36"/>
      <c r="AH91" s="36"/>
      <c r="AI91" s="237"/>
      <c r="AJ91" s="1610"/>
      <c r="AK91" s="1626"/>
      <c r="AL91" s="1626"/>
      <c r="AM91" s="1626"/>
      <c r="AN91" s="237"/>
      <c r="AO91" s="237"/>
      <c r="AP91" s="237"/>
      <c r="AQ91" s="77"/>
      <c r="AR91" s="77"/>
      <c r="AS91" s="77"/>
      <c r="AT91" s="77"/>
    </row>
    <row r="92" spans="2:46" s="37" customFormat="1" x14ac:dyDescent="0.2">
      <c r="B92" s="44"/>
      <c r="C92" s="45"/>
      <c r="D92" s="329"/>
      <c r="E92" s="330"/>
      <c r="F92" s="652"/>
      <c r="G92" s="48"/>
      <c r="H92" s="36"/>
      <c r="I92" s="36"/>
      <c r="J92" s="36"/>
      <c r="K92" s="236"/>
      <c r="L92" s="66"/>
      <c r="M92" s="36"/>
      <c r="N92" s="228"/>
      <c r="O92" s="693"/>
      <c r="P92" s="36"/>
      <c r="Q92" s="36"/>
      <c r="R92" s="36"/>
      <c r="S92" s="979"/>
      <c r="T92" s="36"/>
      <c r="U92" s="36"/>
      <c r="V92" s="36"/>
      <c r="W92" s="36"/>
      <c r="X92" s="36"/>
      <c r="Y92" s="36"/>
      <c r="Z92" s="36"/>
      <c r="AA92" s="36"/>
      <c r="AB92" s="36"/>
      <c r="AC92" s="36"/>
      <c r="AD92" s="36"/>
      <c r="AE92" s="36"/>
      <c r="AF92" s="36"/>
      <c r="AG92" s="36"/>
      <c r="AH92" s="36"/>
      <c r="AI92" s="237"/>
      <c r="AJ92" s="1610"/>
      <c r="AK92" s="1626"/>
      <c r="AL92" s="1626"/>
      <c r="AM92" s="1626"/>
      <c r="AN92" s="237"/>
      <c r="AO92" s="237"/>
      <c r="AP92" s="237"/>
      <c r="AQ92" s="77"/>
      <c r="AR92" s="77"/>
      <c r="AS92" s="77"/>
      <c r="AT92" s="77"/>
    </row>
  </sheetData>
  <autoFilter ref="A11:BD54"/>
  <mergeCells count="18">
    <mergeCell ref="F57:I57"/>
    <mergeCell ref="F89:G89"/>
    <mergeCell ref="F72:I72"/>
    <mergeCell ref="G66:H66"/>
    <mergeCell ref="G58:J58"/>
    <mergeCell ref="F78:G78"/>
    <mergeCell ref="F86:G86"/>
    <mergeCell ref="G60:H60"/>
    <mergeCell ref="B4:AF4"/>
    <mergeCell ref="B7:AF7"/>
    <mergeCell ref="P8:R8"/>
    <mergeCell ref="B8:G10"/>
    <mergeCell ref="H8:O8"/>
    <mergeCell ref="S8:AH8"/>
    <mergeCell ref="S9:T9"/>
    <mergeCell ref="U9:V9"/>
    <mergeCell ref="W9:X9"/>
    <mergeCell ref="Y9:Z9"/>
  </mergeCells>
  <phoneticPr fontId="30" type="noConversion"/>
  <conditionalFormatting sqref="H16:H22 H38:I41 H43:I48 H49:H51">
    <cfRule type="cellIs" dxfId="52" priority="103" operator="equal">
      <formula>"·¡$S$$P$16"</formula>
    </cfRule>
  </conditionalFormatting>
  <conditionalFormatting sqref="H30:H31">
    <cfRule type="cellIs" dxfId="51" priority="67" operator="equal">
      <formula>"·¡$S$$P$16"</formula>
    </cfRule>
  </conditionalFormatting>
  <conditionalFormatting sqref="H24">
    <cfRule type="cellIs" dxfId="50" priority="71" operator="equal">
      <formula>"·¡$S$$P$16"</formula>
    </cfRule>
  </conditionalFormatting>
  <conditionalFormatting sqref="I16">
    <cfRule type="cellIs" dxfId="49" priority="36" operator="equal">
      <formula>"·¡$S$$P$16"</formula>
    </cfRule>
  </conditionalFormatting>
  <conditionalFormatting sqref="I26 I28">
    <cfRule type="cellIs" dxfId="48" priority="28" operator="equal">
      <formula>"·¡$S$$P$16"</formula>
    </cfRule>
  </conditionalFormatting>
  <conditionalFormatting sqref="H26 H28">
    <cfRule type="cellIs" dxfId="47" priority="30" operator="equal">
      <formula>"·¡$S$$P$16"</formula>
    </cfRule>
  </conditionalFormatting>
  <conditionalFormatting sqref="L16">
    <cfRule type="cellIs" dxfId="46" priority="4" operator="equal">
      <formula>"·¡$S$$P$16"</formula>
    </cfRule>
  </conditionalFormatting>
  <conditionalFormatting sqref="I30">
    <cfRule type="cellIs" dxfId="45" priority="3" operator="equal">
      <formula>"·¡$S$$P$16"</formula>
    </cfRule>
  </conditionalFormatting>
  <conditionalFormatting sqref="L17:L22">
    <cfRule type="cellIs" dxfId="44" priority="2" operator="equal">
      <formula>"·¡$S$$P$16"</formula>
    </cfRule>
  </conditionalFormatting>
  <printOptions horizontalCentered="1"/>
  <pageMargins left="1" right="1" top="1" bottom="1" header="0.5" footer="0.5"/>
  <pageSetup paperSize="5" scale="49" fitToWidth="0" orientation="landscape" r:id="rId1"/>
  <ignoredErrors>
    <ignoredError sqref="R12 K11:K12 H25 H26 H27 H29 H24 H30 H28" formula="1"/>
    <ignoredError sqref="AG16 AG35 AA51:AG54 AA35:AF35 AA25:AG25 AA33:AG33 AA34:AF34 AA24:AG24 AA27:AG27 AA26:AG26 AA29:AG29 AA28:AG28 AA31:AG32 AA30:AG30 AA50:AG50 Z51:Z54 Z25 Z27 Z29 Z31:Z32 X50:X51 X24:X30 X33 L28 V24:V30 V50:V53 V32:V33 N53:N54 L31:L32 T50:T54 I35:J35 N51 N35 I33 T24 N24:N33 P27 I31:J31 Q32 I52 L26 P52:Q52 Q27:Q29 P29 T32:T33 T27:T30 I24:I29 L52 L35 P25:Q25 P54:Q54 L54 I54:J54 J23 J24 J25" formula="1" unlockedFormula="1"/>
    <ignoredError sqref="T11:T12 T14 AH16 V11 X15 H79:I79 AA15 AA11 T16 AB16 AE11:AE16 AG11:AG15 AG17:AG23 AE17:AE23 AB20:AB23 AB17:AB19 AD22 AG34 AD20 AD21 AD23 AD17:AD19 AF22 AF17:AF20 AF21 AF23 AH11 AH17:AH21 AH23 AH22 AH50 AH30 AH25 AH27 AH29 AH28 AH24 AH26 AH34 AH33 AH31 AH35 AH32 AH51 AH52 AH54 AH53 V16 X16 AA16 AA17:AA23 AC16 AC20:AC23 AC17:AC19 I74 H87:I89 I82 I81 I80 I83 I84 I85 I86 Y15 Z16 Y11:Z14 Y16 Z15 Z38 Z39 Y40:Z50 M38:O38 Y23 Y24:Z24 Y31:Y32 Y33:Z37 Y29 Y30:Z30 Y27 Y28:Z28 Y25 Y26:Z26 Y51:Y54 Z17:Z23 Y17:Y22 K42:O42 M47:O47 M20:O20 Q42:T42 M49:O49 M46:O46 M45:O45 M44:O44 M39:O39 M17:O17 M53 M51 M50 M48:O48 M43:O43 M41:T41 M40:O40 M34 M24 M21:O21 M19:O19 M18:O18 J41:K41 V19:V23 Q53:R53 Q51:S51 Q50:S50 Q49:T49 Q48:T48 J48:K48 Q47:T47 J47:K47 Q46:T46 J46:K46 Q45:T45 J45:K45 Q44:T44 J44:K44 Q43:T43 J43:K43 J49:K49 Q40:T40 J40:K40 Q39:T39 J39:K39 Q38:T38 K38 I42 Q35:T35 Q34:T34 Q31:T31 Q30:S30 Q26:T26 Q24:S24 Q22:S22 Q21:S21 J21:K21 Q20:S20 J20:K20 Q19:S19 J19:K19 Q18:S18 J18:K18 R17:S17 J17:K17 Q23:S23 O34 O50 O23 M33 R25:T25 O31 O29 O28 O27 O30 O26 O25 O32:P32 M31 M35 M52 M29 M28 M27 M30 M26 M25 K25 J29:K29 R28:S29 J28:K28 R52 O52 J50:K50 M32 O33:S33 K52 R32:S32 K31 K32 R27:S27 J27:K27 J30:K30 O24 K24 J33:K33 I34:K34 O35 O51 K51 O53 K53 K35 I36:T37 M23 K23 J26:K26 J22:O22 T17:T23 I23 I32 L33 N23 N50 S52:S53 N34 P23 X17:X23 V17 I21 K54 M54 R54:S54 L25 U25 I41 I53:J53 J52 N52 I30 U30 U27:U29 L34 U32:U33 L29 J32 L27 P24 P31 P30 P28 P26 U24 P35 I51:J51 P51 U54:X54 I50 U50 U53 U52 U51 O54 P53 W32:X32 W50 W53:X53 W52:X52 W51 W25 W30 W27:W29 W26 W24 W33 I17 W17 L23 P34 P50 U18:W18 U17 U23 I22 P22 U36:X37 L53 L51 L24 L30 L50 L17 I18 L18 I19 L19 I20 L20 L21 U26 U31:X31 U34:X34 U35:X35 I48 J42 I38:J38 L38 U38:Y38 I39 L39 U39:Y39 I40 L40 U40:X40 I49 L49 I43 L43 U43:X43 I44 L44 U44:X44 I45 L45 U45:X45 I46 L46 U46:X46 I47 L47 U47:X47 L48 U48:X48 U49:X49 U19:U22 W19:W22 W23 L41 P18 P19 P21 P40 U41:X41 P43 P48 P17:Q17 P39 P44 P45 P46 P49 U42:X42 P20 P47 P42 P38" unlockedFormula="1"/>
    <ignoredError sqref="C33"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48"/>
  <sheetViews>
    <sheetView topLeftCell="BD1" workbookViewId="0">
      <selection activeCell="BD8" sqref="A8:XFD8"/>
    </sheetView>
  </sheetViews>
  <sheetFormatPr baseColWidth="10" defaultRowHeight="16.5" x14ac:dyDescent="0.35"/>
  <cols>
    <col min="2" max="2" width="27.140625" customWidth="1"/>
    <col min="5" max="5" width="21.5703125" hidden="1" customWidth="1"/>
    <col min="6" max="8" width="0" style="863" hidden="1" customWidth="1"/>
    <col min="9" max="11" width="11.42578125" style="863"/>
    <col min="18" max="20" width="11.42578125" hidden="1" customWidth="1"/>
    <col min="21" max="22" width="0" hidden="1" customWidth="1"/>
    <col min="26" max="26" width="28" customWidth="1"/>
    <col min="27" max="27" width="12.7109375" customWidth="1"/>
    <col min="28" max="28" width="14.140625" customWidth="1"/>
    <col min="29" max="31" width="0" hidden="1" customWidth="1"/>
    <col min="36" max="39" width="16.42578125" customWidth="1"/>
    <col min="40" max="40" width="16.42578125" hidden="1" customWidth="1"/>
    <col min="41" max="41" width="12" customWidth="1"/>
    <col min="46" max="46" width="15.28515625" customWidth="1"/>
    <col min="47" max="47" width="11.42578125" style="70"/>
    <col min="48" max="50" width="0" hidden="1" customWidth="1"/>
    <col min="51" max="51" width="12.85546875" customWidth="1"/>
    <col min="57" max="57" width="27.7109375" customWidth="1"/>
    <col min="59" max="59" width="18.5703125" customWidth="1"/>
    <col min="60" max="60" width="12.140625" bestFit="1" customWidth="1"/>
    <col min="61" max="61" width="11.5703125" bestFit="1" customWidth="1"/>
    <col min="63" max="66" width="11.42578125" style="1607"/>
    <col min="67" max="69" width="16.42578125" style="1389" hidden="1" customWidth="1"/>
    <col min="70" max="72" width="13.28515625" style="1389" bestFit="1" customWidth="1"/>
  </cols>
  <sheetData>
    <row r="1" spans="1:72" x14ac:dyDescent="0.35">
      <c r="A1" s="1729" t="s">
        <v>0</v>
      </c>
      <c r="B1" s="1729"/>
      <c r="C1" s="1729"/>
      <c r="D1" s="1729"/>
      <c r="J1" s="863">
        <v>1000</v>
      </c>
      <c r="K1" s="863">
        <v>1</v>
      </c>
      <c r="N1" s="1729" t="s">
        <v>137</v>
      </c>
      <c r="O1" s="1729"/>
      <c r="P1" s="1729"/>
      <c r="Q1" s="1729"/>
      <c r="R1" s="1729"/>
      <c r="S1" s="1729"/>
      <c r="T1" s="1729"/>
      <c r="U1">
        <v>1000</v>
      </c>
      <c r="V1">
        <v>1</v>
      </c>
      <c r="Y1" s="1729" t="s">
        <v>1009</v>
      </c>
      <c r="Z1" s="1729"/>
      <c r="AA1" s="1729"/>
      <c r="AB1" s="1729"/>
      <c r="AC1" s="1729"/>
      <c r="AD1" s="1729"/>
      <c r="AE1" s="1729"/>
      <c r="AF1">
        <v>1000</v>
      </c>
      <c r="AG1">
        <v>1</v>
      </c>
      <c r="AJ1" s="1761" t="s">
        <v>6</v>
      </c>
      <c r="AK1" s="1761"/>
      <c r="AL1" s="1761"/>
      <c r="AM1" s="1761"/>
      <c r="AO1">
        <v>1000</v>
      </c>
      <c r="AP1">
        <v>1</v>
      </c>
      <c r="AR1" s="1729" t="s">
        <v>1015</v>
      </c>
      <c r="AS1" s="1729"/>
      <c r="AT1" s="1729"/>
      <c r="AU1" s="1729"/>
      <c r="BA1">
        <v>1000</v>
      </c>
      <c r="BB1">
        <v>1</v>
      </c>
      <c r="BD1" s="1786" t="s">
        <v>7</v>
      </c>
      <c r="BE1" s="1786"/>
      <c r="BF1" s="1786"/>
      <c r="BG1" s="1786"/>
      <c r="BH1" s="74">
        <v>1000</v>
      </c>
      <c r="BI1" s="74">
        <v>1</v>
      </c>
      <c r="BK1" s="1787" t="s">
        <v>1031</v>
      </c>
      <c r="BL1" s="1787"/>
      <c r="BM1" s="1787"/>
      <c r="BN1" s="1787"/>
      <c r="BO1" s="1787"/>
      <c r="BP1" s="1787"/>
      <c r="BQ1" s="1787"/>
      <c r="BR1" s="1608">
        <v>1000</v>
      </c>
      <c r="BS1" s="1608"/>
      <c r="BT1" s="1608">
        <v>1</v>
      </c>
    </row>
    <row r="2" spans="1:72" ht="45" x14ac:dyDescent="0.25">
      <c r="A2" s="875" t="s">
        <v>425</v>
      </c>
      <c r="B2" s="635" t="s">
        <v>453</v>
      </c>
      <c r="C2" s="635" t="s">
        <v>426</v>
      </c>
      <c r="D2" s="635" t="s">
        <v>535</v>
      </c>
      <c r="E2" s="635" t="s">
        <v>427</v>
      </c>
      <c r="F2" s="867" t="s">
        <v>467</v>
      </c>
      <c r="G2" s="867" t="s">
        <v>487</v>
      </c>
      <c r="H2" s="867" t="s">
        <v>429</v>
      </c>
      <c r="I2" s="867" t="s">
        <v>467</v>
      </c>
      <c r="J2" s="867" t="s">
        <v>487</v>
      </c>
      <c r="K2" s="867" t="s">
        <v>429</v>
      </c>
      <c r="N2" s="1042" t="s">
        <v>425</v>
      </c>
      <c r="O2" s="1042" t="s">
        <v>453</v>
      </c>
      <c r="P2" s="1042" t="s">
        <v>426</v>
      </c>
      <c r="Q2" s="1042" t="s">
        <v>535</v>
      </c>
      <c r="R2" s="1042" t="s">
        <v>467</v>
      </c>
      <c r="S2" s="1042" t="s">
        <v>487</v>
      </c>
      <c r="T2" s="1042" t="s">
        <v>429</v>
      </c>
      <c r="U2" s="1042" t="s">
        <v>467</v>
      </c>
      <c r="V2" s="1042" t="s">
        <v>487</v>
      </c>
      <c r="W2" s="1042" t="s">
        <v>429</v>
      </c>
      <c r="Y2" s="1042" t="s">
        <v>425</v>
      </c>
      <c r="Z2" s="1042" t="s">
        <v>453</v>
      </c>
      <c r="AA2" s="1042" t="s">
        <v>426</v>
      </c>
      <c r="AB2" s="1042" t="s">
        <v>535</v>
      </c>
      <c r="AC2" s="1042" t="s">
        <v>467</v>
      </c>
      <c r="AD2" s="1042" t="s">
        <v>487</v>
      </c>
      <c r="AE2" s="1042" t="s">
        <v>429</v>
      </c>
      <c r="AF2" s="1042" t="s">
        <v>467</v>
      </c>
      <c r="AG2" s="1042" t="s">
        <v>487</v>
      </c>
      <c r="AH2" s="1042" t="s">
        <v>429</v>
      </c>
      <c r="AJ2" s="1042" t="s">
        <v>425</v>
      </c>
      <c r="AK2" s="1042" t="s">
        <v>453</v>
      </c>
      <c r="AL2" s="1042" t="s">
        <v>426</v>
      </c>
      <c r="AM2" s="1042" t="s">
        <v>535</v>
      </c>
      <c r="AN2" s="1042" t="s">
        <v>429</v>
      </c>
      <c r="AO2" s="1042" t="s">
        <v>429</v>
      </c>
      <c r="AR2" s="1042" t="s">
        <v>425</v>
      </c>
      <c r="AS2" s="1042" t="s">
        <v>453</v>
      </c>
      <c r="AT2" s="1042" t="s">
        <v>426</v>
      </c>
      <c r="AU2" s="1042" t="s">
        <v>535</v>
      </c>
      <c r="AV2" s="1042" t="s">
        <v>467</v>
      </c>
      <c r="AW2" s="1042" t="s">
        <v>487</v>
      </c>
      <c r="AX2" s="1042" t="s">
        <v>429</v>
      </c>
      <c r="AY2" s="1042" t="s">
        <v>467</v>
      </c>
      <c r="AZ2" s="1042" t="s">
        <v>487</v>
      </c>
      <c r="BA2" s="1042" t="s">
        <v>429</v>
      </c>
      <c r="BD2" s="1042" t="s">
        <v>425</v>
      </c>
      <c r="BE2" s="1042" t="s">
        <v>453</v>
      </c>
      <c r="BF2" s="1042" t="s">
        <v>426</v>
      </c>
      <c r="BG2" s="1042" t="s">
        <v>535</v>
      </c>
      <c r="BH2" s="1042" t="s">
        <v>429</v>
      </c>
      <c r="BI2" s="1042" t="s">
        <v>429</v>
      </c>
      <c r="BK2" s="635" t="s">
        <v>425</v>
      </c>
      <c r="BL2" s="635" t="s">
        <v>453</v>
      </c>
      <c r="BM2" s="635" t="s">
        <v>426</v>
      </c>
      <c r="BN2" s="635" t="s">
        <v>535</v>
      </c>
      <c r="BO2" s="1042" t="s">
        <v>467</v>
      </c>
      <c r="BP2" s="1042" t="s">
        <v>487</v>
      </c>
      <c r="BQ2" s="1042" t="s">
        <v>429</v>
      </c>
      <c r="BR2" s="1042" t="s">
        <v>467</v>
      </c>
      <c r="BS2" s="1042" t="s">
        <v>487</v>
      </c>
      <c r="BT2" s="1042" t="s">
        <v>429</v>
      </c>
    </row>
    <row r="3" spans="1:72" x14ac:dyDescent="0.35">
      <c r="A3" s="679" t="s">
        <v>442</v>
      </c>
      <c r="B3" s="679" t="s">
        <v>220</v>
      </c>
      <c r="C3" s="679" t="s">
        <v>497</v>
      </c>
      <c r="D3" s="679" t="s">
        <v>297</v>
      </c>
      <c r="E3" s="679" t="s">
        <v>547</v>
      </c>
      <c r="F3" s="716">
        <v>54954324000</v>
      </c>
      <c r="G3" s="716">
        <v>0</v>
      </c>
      <c r="H3" s="716">
        <v>0</v>
      </c>
      <c r="I3" s="918">
        <f>+F3/$J$1*$K$1</f>
        <v>54954324</v>
      </c>
      <c r="J3" s="918">
        <f t="shared" ref="J3:K3" si="0">+G3/$J$1*$K$1</f>
        <v>0</v>
      </c>
      <c r="K3" s="918">
        <f t="shared" si="0"/>
        <v>0</v>
      </c>
      <c r="N3" s="362" t="s">
        <v>442</v>
      </c>
      <c r="O3" s="362" t="s">
        <v>220</v>
      </c>
      <c r="P3" s="362" t="s">
        <v>447</v>
      </c>
      <c r="Q3" s="362" t="s">
        <v>447</v>
      </c>
      <c r="R3" s="248">
        <v>0</v>
      </c>
      <c r="S3" s="248">
        <v>0</v>
      </c>
      <c r="T3" s="248">
        <v>0</v>
      </c>
      <c r="U3" s="169">
        <f>+R3/$U$1*$V$1</f>
        <v>0</v>
      </c>
      <c r="V3" s="169">
        <f t="shared" ref="V3:W3" si="1">+S3/$U$1*$V$1</f>
        <v>0</v>
      </c>
      <c r="W3" s="169">
        <f t="shared" si="1"/>
        <v>0</v>
      </c>
      <c r="Y3" s="362" t="s">
        <v>442</v>
      </c>
      <c r="Z3" s="679" t="s">
        <v>220</v>
      </c>
      <c r="AA3" s="679" t="s">
        <v>497</v>
      </c>
      <c r="AB3" s="679" t="s">
        <v>297</v>
      </c>
      <c r="AC3" s="248">
        <v>54954324000</v>
      </c>
      <c r="AD3" s="248">
        <v>0</v>
      </c>
      <c r="AE3" s="248">
        <v>0</v>
      </c>
      <c r="AF3" s="367">
        <f>+AC3/$AF$1*$AG$1</f>
        <v>54954324</v>
      </c>
      <c r="AG3" s="367">
        <f t="shared" ref="AG3:AH3" si="2">+AD3/$AF$1*$AG$1</f>
        <v>0</v>
      </c>
      <c r="AH3" s="367">
        <f t="shared" si="2"/>
        <v>0</v>
      </c>
      <c r="AJ3" s="1422" t="s">
        <v>442</v>
      </c>
      <c r="AK3" s="1446" t="s">
        <v>220</v>
      </c>
      <c r="AL3" s="1446" t="s">
        <v>447</v>
      </c>
      <c r="AM3" s="1446" t="s">
        <v>447</v>
      </c>
      <c r="AN3" s="1423">
        <v>0</v>
      </c>
      <c r="AO3" s="367">
        <f>+AN3/$AO$1*$AP$1</f>
        <v>0</v>
      </c>
      <c r="AR3" s="1432" t="s">
        <v>442</v>
      </c>
      <c r="AS3" s="1432" t="s">
        <v>220</v>
      </c>
      <c r="AT3" s="1432" t="s">
        <v>497</v>
      </c>
      <c r="AU3" s="1433" t="s">
        <v>297</v>
      </c>
      <c r="AV3" s="1434">
        <v>54954324000</v>
      </c>
      <c r="AW3" s="1434">
        <v>0</v>
      </c>
      <c r="AX3" s="1434">
        <v>0</v>
      </c>
      <c r="AY3" s="169">
        <f>+AV3/$BA$1*$BB$1</f>
        <v>54954324</v>
      </c>
      <c r="AZ3" s="169">
        <f t="shared" ref="AZ3:BA3" si="3">+AW3/$BA$1*$BB$1</f>
        <v>0</v>
      </c>
      <c r="BA3" s="169">
        <f t="shared" si="3"/>
        <v>0</v>
      </c>
      <c r="BD3" s="1467" t="s">
        <v>442</v>
      </c>
      <c r="BE3" s="1463" t="s">
        <v>220</v>
      </c>
      <c r="BF3" s="1463" t="s">
        <v>443</v>
      </c>
      <c r="BG3" s="1463" t="s">
        <v>321</v>
      </c>
      <c r="BH3" s="367">
        <v>19920681333</v>
      </c>
      <c r="BI3" s="1606">
        <f>+BH3/$BH$1*$BI$1</f>
        <v>19920681.333000001</v>
      </c>
      <c r="BK3" s="1463" t="s">
        <v>442</v>
      </c>
      <c r="BL3" s="1463" t="s">
        <v>220</v>
      </c>
      <c r="BM3" s="1463" t="s">
        <v>497</v>
      </c>
      <c r="BN3" s="1463" t="s">
        <v>297</v>
      </c>
      <c r="BO3" s="367">
        <v>54954324000</v>
      </c>
      <c r="BP3" s="367">
        <v>0</v>
      </c>
      <c r="BQ3" s="367">
        <v>0</v>
      </c>
      <c r="BR3" s="1609">
        <f>+BO3/$BR$1*$BT$1</f>
        <v>54954324</v>
      </c>
      <c r="BS3" s="1609">
        <f t="shared" ref="BS3:BT3" si="4">+BP3/$BR$1*$BT$1</f>
        <v>0</v>
      </c>
      <c r="BT3" s="1609">
        <f t="shared" si="4"/>
        <v>0</v>
      </c>
    </row>
    <row r="4" spans="1:72" x14ac:dyDescent="0.35">
      <c r="A4" s="679" t="s">
        <v>442</v>
      </c>
      <c r="B4" s="679" t="s">
        <v>220</v>
      </c>
      <c r="C4" s="679" t="s">
        <v>443</v>
      </c>
      <c r="D4" s="679" t="s">
        <v>321</v>
      </c>
      <c r="E4" s="679" t="s">
        <v>547</v>
      </c>
      <c r="F4" s="716">
        <v>19920692000</v>
      </c>
      <c r="G4" s="716">
        <v>0</v>
      </c>
      <c r="H4" s="716">
        <v>0</v>
      </c>
      <c r="I4" s="918">
        <f t="shared" ref="I4:I35" si="5">+F4/$J$1*$K$1</f>
        <v>19920692</v>
      </c>
      <c r="J4" s="918">
        <f t="shared" ref="J4:J35" si="6">+G4/$J$1*$K$1</f>
        <v>0</v>
      </c>
      <c r="K4" s="918">
        <f t="shared" ref="K4:K35" si="7">+H4/$J$1*$K$1</f>
        <v>0</v>
      </c>
      <c r="N4" s="362" t="s">
        <v>442</v>
      </c>
      <c r="O4" s="362" t="s">
        <v>220</v>
      </c>
      <c r="P4" s="362" t="s">
        <v>497</v>
      </c>
      <c r="Q4" s="362" t="s">
        <v>297</v>
      </c>
      <c r="R4" s="248">
        <v>0</v>
      </c>
      <c r="S4" s="248">
        <v>54954324000</v>
      </c>
      <c r="T4" s="248">
        <v>54954324000</v>
      </c>
      <c r="U4" s="169">
        <f t="shared" ref="U4:U20" si="8">+R4/$U$1*$V$1</f>
        <v>0</v>
      </c>
      <c r="V4" s="169">
        <f t="shared" ref="V4:V20" si="9">+S4/$U$1*$V$1</f>
        <v>54954324</v>
      </c>
      <c r="W4" s="169">
        <f t="shared" ref="W4:W19" si="10">+T4/$U$1*$V$1</f>
        <v>54954324</v>
      </c>
      <c r="Y4" s="362" t="s">
        <v>442</v>
      </c>
      <c r="Z4" s="679" t="s">
        <v>220</v>
      </c>
      <c r="AA4" s="679" t="s">
        <v>443</v>
      </c>
      <c r="AB4" s="679" t="s">
        <v>321</v>
      </c>
      <c r="AC4" s="248">
        <v>19920692000</v>
      </c>
      <c r="AD4" s="248">
        <v>0</v>
      </c>
      <c r="AE4" s="248">
        <v>0</v>
      </c>
      <c r="AF4" s="367">
        <f t="shared" ref="AF4:AF44" si="11">+AC4/$AF$1*$AG$1</f>
        <v>19920692</v>
      </c>
      <c r="AG4" s="367">
        <f t="shared" ref="AG4:AG44" si="12">+AD4/$AF$1*$AG$1</f>
        <v>0</v>
      </c>
      <c r="AH4" s="367">
        <f t="shared" ref="AH4:AH44" si="13">+AE4/$AF$1*$AG$1</f>
        <v>0</v>
      </c>
      <c r="AJ4" s="1422" t="s">
        <v>444</v>
      </c>
      <c r="AK4" s="1446" t="s">
        <v>468</v>
      </c>
      <c r="AL4" s="1446" t="s">
        <v>471</v>
      </c>
      <c r="AM4" s="1446" t="s">
        <v>279</v>
      </c>
      <c r="AN4" s="1423">
        <v>0</v>
      </c>
      <c r="AO4" s="367">
        <f t="shared" ref="AO4:AO18" si="14">+AN4/$AO$1*$AP$1</f>
        <v>0</v>
      </c>
      <c r="AR4" s="1432" t="s">
        <v>442</v>
      </c>
      <c r="AS4" s="1432" t="s">
        <v>220</v>
      </c>
      <c r="AT4" s="1432" t="s">
        <v>443</v>
      </c>
      <c r="AU4" s="1433" t="s">
        <v>321</v>
      </c>
      <c r="AV4" s="1434">
        <v>19920692000</v>
      </c>
      <c r="AW4" s="1434">
        <v>0</v>
      </c>
      <c r="AX4" s="1434">
        <v>0</v>
      </c>
      <c r="AY4" s="169">
        <f t="shared" ref="AY4:AY46" si="15">+AV4/$BA$1*$BB$1</f>
        <v>19920692</v>
      </c>
      <c r="AZ4" s="169">
        <f t="shared" ref="AZ4:AZ46" si="16">+AW4/$BA$1*$BB$1</f>
        <v>0</v>
      </c>
      <c r="BA4" s="169">
        <f t="shared" ref="BA4:BA46" si="17">+AX4/$BA$1*$BB$1</f>
        <v>0</v>
      </c>
      <c r="BD4" s="1467" t="s">
        <v>444</v>
      </c>
      <c r="BE4" s="1463" t="s">
        <v>468</v>
      </c>
      <c r="BF4" s="1463" t="s">
        <v>445</v>
      </c>
      <c r="BG4" s="1463" t="s">
        <v>277</v>
      </c>
      <c r="BH4" s="367">
        <v>18326220</v>
      </c>
      <c r="BI4" s="1606">
        <f t="shared" ref="BI4:BI15" si="18">+BH4/$BH$1*$BI$1</f>
        <v>18326.22</v>
      </c>
      <c r="BK4" s="1463" t="s">
        <v>442</v>
      </c>
      <c r="BL4" s="1463" t="s">
        <v>220</v>
      </c>
      <c r="BM4" s="1463" t="s">
        <v>443</v>
      </c>
      <c r="BN4" s="1463" t="s">
        <v>321</v>
      </c>
      <c r="BO4" s="367">
        <v>19920692000</v>
      </c>
      <c r="BP4" s="367">
        <v>0</v>
      </c>
      <c r="BQ4" s="367">
        <v>0</v>
      </c>
      <c r="BR4" s="1609">
        <f t="shared" ref="BR4:BR48" si="19">+BO4/$BR$1*$BT$1</f>
        <v>19920692</v>
      </c>
      <c r="BS4" s="1609">
        <f t="shared" ref="BS4:BS48" si="20">+BP4/$BR$1*$BT$1</f>
        <v>0</v>
      </c>
      <c r="BT4" s="1609">
        <f t="shared" ref="BT4:BT48" si="21">+BQ4/$BR$1*$BT$1</f>
        <v>0</v>
      </c>
    </row>
    <row r="5" spans="1:72" x14ac:dyDescent="0.35">
      <c r="A5" s="679" t="s">
        <v>444</v>
      </c>
      <c r="B5" s="679" t="s">
        <v>468</v>
      </c>
      <c r="C5" s="679" t="s">
        <v>474</v>
      </c>
      <c r="D5" s="679" t="s">
        <v>276</v>
      </c>
      <c r="E5" s="679" t="s">
        <v>547</v>
      </c>
      <c r="F5" s="716">
        <v>2653409000</v>
      </c>
      <c r="G5" s="716">
        <v>0</v>
      </c>
      <c r="H5" s="716">
        <v>0</v>
      </c>
      <c r="I5" s="918">
        <f t="shared" si="5"/>
        <v>2653409</v>
      </c>
      <c r="J5" s="918">
        <f t="shared" si="6"/>
        <v>0</v>
      </c>
      <c r="K5" s="918">
        <f t="shared" si="7"/>
        <v>0</v>
      </c>
      <c r="N5" s="362" t="s">
        <v>444</v>
      </c>
      <c r="O5" s="362" t="s">
        <v>468</v>
      </c>
      <c r="P5" s="362" t="s">
        <v>474</v>
      </c>
      <c r="Q5" s="362" t="s">
        <v>276</v>
      </c>
      <c r="R5" s="248">
        <v>0</v>
      </c>
      <c r="S5" s="248">
        <v>564586391</v>
      </c>
      <c r="T5" s="248">
        <v>452855083</v>
      </c>
      <c r="U5" s="169">
        <f t="shared" si="8"/>
        <v>0</v>
      </c>
      <c r="V5" s="169">
        <f t="shared" si="9"/>
        <v>564586.39099999995</v>
      </c>
      <c r="W5" s="169">
        <f t="shared" si="10"/>
        <v>452855.08299999998</v>
      </c>
      <c r="Y5" s="362" t="s">
        <v>442</v>
      </c>
      <c r="Z5" s="679" t="s">
        <v>220</v>
      </c>
      <c r="AA5" s="679" t="s">
        <v>447</v>
      </c>
      <c r="AB5" s="679" t="s">
        <v>447</v>
      </c>
      <c r="AC5" s="248">
        <v>0</v>
      </c>
      <c r="AD5" s="248">
        <v>0</v>
      </c>
      <c r="AE5" s="248">
        <v>0</v>
      </c>
      <c r="AF5" s="367">
        <f t="shared" si="11"/>
        <v>0</v>
      </c>
      <c r="AG5" s="367">
        <f t="shared" si="12"/>
        <v>0</v>
      </c>
      <c r="AH5" s="367">
        <f t="shared" si="13"/>
        <v>0</v>
      </c>
      <c r="AJ5" s="1422" t="s">
        <v>444</v>
      </c>
      <c r="AK5" s="1446" t="s">
        <v>468</v>
      </c>
      <c r="AL5" s="1446" t="s">
        <v>445</v>
      </c>
      <c r="AM5" s="1446" t="s">
        <v>277</v>
      </c>
      <c r="AN5" s="1423">
        <v>15162027</v>
      </c>
      <c r="AO5" s="367">
        <f t="shared" si="14"/>
        <v>15162.027</v>
      </c>
      <c r="AR5" s="1432" t="s">
        <v>442</v>
      </c>
      <c r="AS5" s="1432" t="s">
        <v>220</v>
      </c>
      <c r="AT5" s="1432" t="s">
        <v>497</v>
      </c>
      <c r="AU5" s="1433" t="s">
        <v>297</v>
      </c>
      <c r="AV5" s="1434">
        <v>0</v>
      </c>
      <c r="AW5" s="1434">
        <v>54954324000</v>
      </c>
      <c r="AX5" s="1434">
        <v>54954324000</v>
      </c>
      <c r="AY5" s="169">
        <f t="shared" si="15"/>
        <v>0</v>
      </c>
      <c r="AZ5" s="169">
        <f t="shared" si="16"/>
        <v>54954324</v>
      </c>
      <c r="BA5" s="169">
        <f t="shared" si="17"/>
        <v>54954324</v>
      </c>
      <c r="BD5" s="1467" t="s">
        <v>444</v>
      </c>
      <c r="BE5" s="1463" t="s">
        <v>468</v>
      </c>
      <c r="BF5" s="1463" t="s">
        <v>471</v>
      </c>
      <c r="BG5" s="1463" t="s">
        <v>279</v>
      </c>
      <c r="BH5" s="367">
        <v>499999</v>
      </c>
      <c r="BI5" s="1606">
        <f t="shared" si="18"/>
        <v>499.99900000000002</v>
      </c>
      <c r="BK5" s="1463" t="s">
        <v>442</v>
      </c>
      <c r="BL5" s="1463" t="s">
        <v>220</v>
      </c>
      <c r="BM5" s="1463" t="s">
        <v>443</v>
      </c>
      <c r="BN5" s="1463" t="s">
        <v>321</v>
      </c>
      <c r="BO5" s="367">
        <v>0</v>
      </c>
      <c r="BP5" s="367">
        <v>19920681333</v>
      </c>
      <c r="BQ5" s="367">
        <v>19920681333</v>
      </c>
      <c r="BR5" s="1609">
        <f t="shared" si="19"/>
        <v>0</v>
      </c>
      <c r="BS5" s="1609">
        <f t="shared" si="20"/>
        <v>19920681.333000001</v>
      </c>
      <c r="BT5" s="1609">
        <f t="shared" si="21"/>
        <v>19920681.333000001</v>
      </c>
    </row>
    <row r="6" spans="1:72" x14ac:dyDescent="0.35">
      <c r="A6" s="679" t="s">
        <v>444</v>
      </c>
      <c r="B6" s="679" t="s">
        <v>468</v>
      </c>
      <c r="C6" s="679" t="s">
        <v>498</v>
      </c>
      <c r="D6" s="679" t="s">
        <v>343</v>
      </c>
      <c r="E6" s="679" t="s">
        <v>547</v>
      </c>
      <c r="F6" s="716">
        <v>567371000</v>
      </c>
      <c r="G6" s="716">
        <v>0</v>
      </c>
      <c r="H6" s="716">
        <v>0</v>
      </c>
      <c r="I6" s="918">
        <f t="shared" si="5"/>
        <v>567371</v>
      </c>
      <c r="J6" s="918">
        <f t="shared" si="6"/>
        <v>0</v>
      </c>
      <c r="K6" s="918">
        <f t="shared" si="7"/>
        <v>0</v>
      </c>
      <c r="N6" s="362" t="s">
        <v>444</v>
      </c>
      <c r="O6" s="362" t="s">
        <v>468</v>
      </c>
      <c r="P6" s="362" t="s">
        <v>445</v>
      </c>
      <c r="Q6" s="362" t="s">
        <v>277</v>
      </c>
      <c r="R6" s="248">
        <v>0</v>
      </c>
      <c r="S6" s="248">
        <v>0</v>
      </c>
      <c r="T6" s="248">
        <v>15923798</v>
      </c>
      <c r="U6" s="169">
        <f t="shared" si="8"/>
        <v>0</v>
      </c>
      <c r="V6" s="169">
        <f t="shared" si="9"/>
        <v>0</v>
      </c>
      <c r="W6" s="169">
        <f t="shared" si="10"/>
        <v>15923.798000000001</v>
      </c>
      <c r="Y6" s="362" t="s">
        <v>442</v>
      </c>
      <c r="Z6" s="679" t="s">
        <v>220</v>
      </c>
      <c r="AA6" s="679" t="s">
        <v>497</v>
      </c>
      <c r="AB6" s="679" t="s">
        <v>297</v>
      </c>
      <c r="AC6" s="248">
        <v>0</v>
      </c>
      <c r="AD6" s="248">
        <v>54954324000</v>
      </c>
      <c r="AE6" s="248">
        <v>54954324000</v>
      </c>
      <c r="AF6" s="367">
        <f t="shared" si="11"/>
        <v>0</v>
      </c>
      <c r="AG6" s="367">
        <f t="shared" si="12"/>
        <v>54954324</v>
      </c>
      <c r="AH6" s="367">
        <f t="shared" si="13"/>
        <v>54954324</v>
      </c>
      <c r="AJ6" s="1422" t="s">
        <v>444</v>
      </c>
      <c r="AK6" s="1446" t="s">
        <v>468</v>
      </c>
      <c r="AL6" s="1446" t="s">
        <v>447</v>
      </c>
      <c r="AM6" s="1446" t="s">
        <v>447</v>
      </c>
      <c r="AN6" s="1423">
        <v>0</v>
      </c>
      <c r="AO6" s="367">
        <f t="shared" si="14"/>
        <v>0</v>
      </c>
      <c r="AR6" s="1432" t="s">
        <v>442</v>
      </c>
      <c r="AS6" s="1432" t="s">
        <v>220</v>
      </c>
      <c r="AT6" s="1432" t="s">
        <v>447</v>
      </c>
      <c r="AU6" s="1433" t="s">
        <v>447</v>
      </c>
      <c r="AV6" s="1434">
        <v>0</v>
      </c>
      <c r="AW6" s="1434">
        <v>0</v>
      </c>
      <c r="AX6" s="1434">
        <v>0</v>
      </c>
      <c r="AY6" s="169">
        <f t="shared" si="15"/>
        <v>0</v>
      </c>
      <c r="AZ6" s="169">
        <f t="shared" si="16"/>
        <v>0</v>
      </c>
      <c r="BA6" s="169">
        <f t="shared" si="17"/>
        <v>0</v>
      </c>
      <c r="BD6" s="1467" t="s">
        <v>444</v>
      </c>
      <c r="BE6" s="1463" t="s">
        <v>468</v>
      </c>
      <c r="BF6" s="1463" t="s">
        <v>474</v>
      </c>
      <c r="BG6" s="1463" t="s">
        <v>276</v>
      </c>
      <c r="BH6" s="367">
        <v>131599999</v>
      </c>
      <c r="BI6" s="1606">
        <f t="shared" si="18"/>
        <v>131599.99900000001</v>
      </c>
      <c r="BK6" s="1463" t="s">
        <v>442</v>
      </c>
      <c r="BL6" s="1463" t="s">
        <v>220</v>
      </c>
      <c r="BM6" s="1463" t="s">
        <v>447</v>
      </c>
      <c r="BN6" s="1463" t="s">
        <v>447</v>
      </c>
      <c r="BO6" s="367">
        <v>0</v>
      </c>
      <c r="BP6" s="367">
        <v>0</v>
      </c>
      <c r="BQ6" s="367">
        <v>0</v>
      </c>
      <c r="BR6" s="1609">
        <f t="shared" si="19"/>
        <v>0</v>
      </c>
      <c r="BS6" s="1609">
        <f t="shared" si="20"/>
        <v>0</v>
      </c>
      <c r="BT6" s="1609">
        <f t="shared" si="21"/>
        <v>0</v>
      </c>
    </row>
    <row r="7" spans="1:72" x14ac:dyDescent="0.35">
      <c r="A7" s="679" t="s">
        <v>444</v>
      </c>
      <c r="B7" s="679" t="s">
        <v>468</v>
      </c>
      <c r="C7" s="679" t="s">
        <v>472</v>
      </c>
      <c r="D7" s="679" t="s">
        <v>473</v>
      </c>
      <c r="E7" s="679" t="s">
        <v>547</v>
      </c>
      <c r="F7" s="716">
        <v>300000000</v>
      </c>
      <c r="G7" s="716">
        <v>0</v>
      </c>
      <c r="H7" s="716">
        <v>0</v>
      </c>
      <c r="I7" s="918">
        <f t="shared" si="5"/>
        <v>300000</v>
      </c>
      <c r="J7" s="918">
        <f t="shared" si="6"/>
        <v>0</v>
      </c>
      <c r="K7" s="918">
        <f t="shared" si="7"/>
        <v>0</v>
      </c>
      <c r="N7" s="362" t="s">
        <v>444</v>
      </c>
      <c r="O7" s="362" t="s">
        <v>468</v>
      </c>
      <c r="P7" s="362" t="s">
        <v>472</v>
      </c>
      <c r="Q7" s="362" t="s">
        <v>473</v>
      </c>
      <c r="R7" s="248">
        <v>0</v>
      </c>
      <c r="S7" s="248">
        <v>0</v>
      </c>
      <c r="T7" s="248">
        <v>838747</v>
      </c>
      <c r="U7" s="169">
        <f t="shared" si="8"/>
        <v>0</v>
      </c>
      <c r="V7" s="169">
        <f t="shared" si="9"/>
        <v>0</v>
      </c>
      <c r="W7" s="169">
        <f t="shared" si="10"/>
        <v>838.74699999999996</v>
      </c>
      <c r="Y7" s="362" t="s">
        <v>444</v>
      </c>
      <c r="Z7" s="679" t="s">
        <v>468</v>
      </c>
      <c r="AA7" s="679" t="s">
        <v>474</v>
      </c>
      <c r="AB7" s="679" t="s">
        <v>276</v>
      </c>
      <c r="AC7" s="248">
        <v>2653409000</v>
      </c>
      <c r="AD7" s="248">
        <v>0</v>
      </c>
      <c r="AE7" s="248">
        <v>0</v>
      </c>
      <c r="AF7" s="367">
        <f t="shared" si="11"/>
        <v>2653409</v>
      </c>
      <c r="AG7" s="367">
        <f t="shared" si="12"/>
        <v>0</v>
      </c>
      <c r="AH7" s="367">
        <f t="shared" si="13"/>
        <v>0</v>
      </c>
      <c r="AJ7" s="1422" t="s">
        <v>444</v>
      </c>
      <c r="AK7" s="1446" t="s">
        <v>468</v>
      </c>
      <c r="AL7" s="1446" t="s">
        <v>446</v>
      </c>
      <c r="AM7" s="1446" t="s">
        <v>322</v>
      </c>
      <c r="AN7" s="1423">
        <v>162474</v>
      </c>
      <c r="AO7" s="367">
        <f t="shared" si="14"/>
        <v>162.47399999999999</v>
      </c>
      <c r="AR7" s="1432" t="s">
        <v>444</v>
      </c>
      <c r="AS7" s="1432" t="s">
        <v>468</v>
      </c>
      <c r="AT7" s="1432" t="s">
        <v>474</v>
      </c>
      <c r="AU7" s="1433" t="s">
        <v>276</v>
      </c>
      <c r="AV7" s="1434">
        <v>2653409000</v>
      </c>
      <c r="AW7" s="1434">
        <v>0</v>
      </c>
      <c r="AX7" s="1434">
        <v>0</v>
      </c>
      <c r="AY7" s="169">
        <f t="shared" si="15"/>
        <v>2653409</v>
      </c>
      <c r="AZ7" s="169">
        <f t="shared" si="16"/>
        <v>0</v>
      </c>
      <c r="BA7" s="169">
        <f t="shared" si="17"/>
        <v>0</v>
      </c>
      <c r="BD7" s="1467" t="s">
        <v>444</v>
      </c>
      <c r="BE7" s="1463" t="s">
        <v>468</v>
      </c>
      <c r="BF7" s="1463" t="s">
        <v>446</v>
      </c>
      <c r="BG7" s="1463" t="s">
        <v>322</v>
      </c>
      <c r="BH7" s="367">
        <v>162666</v>
      </c>
      <c r="BI7" s="1606">
        <f t="shared" si="18"/>
        <v>162.666</v>
      </c>
      <c r="BK7" s="1463" t="s">
        <v>442</v>
      </c>
      <c r="BL7" s="1463" t="s">
        <v>220</v>
      </c>
      <c r="BM7" s="1463" t="s">
        <v>497</v>
      </c>
      <c r="BN7" s="1463" t="s">
        <v>297</v>
      </c>
      <c r="BO7" s="367">
        <v>0</v>
      </c>
      <c r="BP7" s="367">
        <v>54954324000</v>
      </c>
      <c r="BQ7" s="367">
        <v>54954324000</v>
      </c>
      <c r="BR7" s="1609">
        <f t="shared" si="19"/>
        <v>0</v>
      </c>
      <c r="BS7" s="1609">
        <f t="shared" si="20"/>
        <v>54954324</v>
      </c>
      <c r="BT7" s="1609">
        <f t="shared" si="21"/>
        <v>54954324</v>
      </c>
    </row>
    <row r="8" spans="1:72" x14ac:dyDescent="0.35">
      <c r="A8" s="679" t="s">
        <v>444</v>
      </c>
      <c r="B8" s="679" t="s">
        <v>468</v>
      </c>
      <c r="C8" s="679" t="s">
        <v>445</v>
      </c>
      <c r="D8" s="679" t="s">
        <v>277</v>
      </c>
      <c r="E8" s="679" t="s">
        <v>547</v>
      </c>
      <c r="F8" s="716">
        <v>285477000</v>
      </c>
      <c r="G8" s="716">
        <v>0</v>
      </c>
      <c r="H8" s="716">
        <v>0</v>
      </c>
      <c r="I8" s="918">
        <f t="shared" si="5"/>
        <v>285477</v>
      </c>
      <c r="J8" s="918">
        <f t="shared" si="6"/>
        <v>0</v>
      </c>
      <c r="K8" s="918">
        <f t="shared" si="7"/>
        <v>0</v>
      </c>
      <c r="N8" s="362" t="s">
        <v>444</v>
      </c>
      <c r="O8" s="362" t="s">
        <v>468</v>
      </c>
      <c r="P8" s="362" t="s">
        <v>447</v>
      </c>
      <c r="Q8" s="362" t="s">
        <v>447</v>
      </c>
      <c r="R8" s="248">
        <v>0</v>
      </c>
      <c r="S8" s="248">
        <v>0</v>
      </c>
      <c r="T8" s="248">
        <v>0</v>
      </c>
      <c r="U8" s="169">
        <f t="shared" si="8"/>
        <v>0</v>
      </c>
      <c r="V8" s="169">
        <f t="shared" si="9"/>
        <v>0</v>
      </c>
      <c r="W8" s="169">
        <f t="shared" si="10"/>
        <v>0</v>
      </c>
      <c r="Y8" s="362" t="s">
        <v>444</v>
      </c>
      <c r="Z8" s="679" t="s">
        <v>468</v>
      </c>
      <c r="AA8" s="679" t="s">
        <v>498</v>
      </c>
      <c r="AB8" s="679" t="s">
        <v>343</v>
      </c>
      <c r="AC8" s="248">
        <v>567371000</v>
      </c>
      <c r="AD8" s="248">
        <v>0</v>
      </c>
      <c r="AE8" s="248">
        <v>0</v>
      </c>
      <c r="AF8" s="367">
        <f t="shared" si="11"/>
        <v>567371</v>
      </c>
      <c r="AG8" s="367">
        <f t="shared" si="12"/>
        <v>0</v>
      </c>
      <c r="AH8" s="367">
        <f t="shared" si="13"/>
        <v>0</v>
      </c>
      <c r="AJ8" s="1422" t="s">
        <v>444</v>
      </c>
      <c r="AK8" s="1446" t="s">
        <v>468</v>
      </c>
      <c r="AL8" s="1446" t="s">
        <v>474</v>
      </c>
      <c r="AM8" s="1446" t="s">
        <v>276</v>
      </c>
      <c r="AN8" s="1423">
        <v>128681308</v>
      </c>
      <c r="AO8" s="367">
        <f t="shared" si="14"/>
        <v>128681.308</v>
      </c>
      <c r="AR8" s="1432" t="s">
        <v>444</v>
      </c>
      <c r="AS8" s="1432" t="s">
        <v>468</v>
      </c>
      <c r="AT8" s="1432" t="s">
        <v>498</v>
      </c>
      <c r="AU8" s="1433" t="s">
        <v>343</v>
      </c>
      <c r="AV8" s="1434">
        <v>567371000</v>
      </c>
      <c r="AW8" s="1434">
        <v>0</v>
      </c>
      <c r="AX8" s="1434">
        <v>0</v>
      </c>
      <c r="AY8" s="169">
        <f t="shared" si="15"/>
        <v>567371</v>
      </c>
      <c r="AZ8" s="169">
        <f t="shared" si="16"/>
        <v>0</v>
      </c>
      <c r="BA8" s="169">
        <f t="shared" si="17"/>
        <v>0</v>
      </c>
      <c r="BD8" s="1467" t="s">
        <v>947</v>
      </c>
      <c r="BE8" s="1463" t="s">
        <v>948</v>
      </c>
      <c r="BF8" s="1463" t="s">
        <v>447</v>
      </c>
      <c r="BG8" s="1463" t="s">
        <v>447</v>
      </c>
      <c r="BH8" s="367">
        <v>2046857769</v>
      </c>
      <c r="BI8" s="1606">
        <f t="shared" si="18"/>
        <v>2046857.7690000001</v>
      </c>
      <c r="BK8" s="1463" t="s">
        <v>444</v>
      </c>
      <c r="BL8" s="1463" t="s">
        <v>468</v>
      </c>
      <c r="BM8" s="1463" t="s">
        <v>474</v>
      </c>
      <c r="BN8" s="1463" t="s">
        <v>276</v>
      </c>
      <c r="BO8" s="367">
        <v>2653409000</v>
      </c>
      <c r="BP8" s="367">
        <v>0</v>
      </c>
      <c r="BQ8" s="367">
        <v>0</v>
      </c>
      <c r="BR8" s="1609">
        <f t="shared" si="19"/>
        <v>2653409</v>
      </c>
      <c r="BS8" s="1609">
        <f t="shared" si="20"/>
        <v>0</v>
      </c>
      <c r="BT8" s="1609">
        <f t="shared" si="21"/>
        <v>0</v>
      </c>
    </row>
    <row r="9" spans="1:72" x14ac:dyDescent="0.35">
      <c r="A9" s="679" t="s">
        <v>444</v>
      </c>
      <c r="B9" s="679" t="s">
        <v>468</v>
      </c>
      <c r="C9" s="679" t="s">
        <v>446</v>
      </c>
      <c r="D9" s="679" t="s">
        <v>322</v>
      </c>
      <c r="E9" s="679" t="s">
        <v>547</v>
      </c>
      <c r="F9" s="716">
        <v>3000000</v>
      </c>
      <c r="G9" s="716">
        <v>0</v>
      </c>
      <c r="H9" s="716">
        <v>0</v>
      </c>
      <c r="I9" s="918">
        <f t="shared" si="5"/>
        <v>3000</v>
      </c>
      <c r="J9" s="918">
        <f t="shared" si="6"/>
        <v>0</v>
      </c>
      <c r="K9" s="918">
        <f t="shared" si="7"/>
        <v>0</v>
      </c>
      <c r="N9" s="362" t="s">
        <v>444</v>
      </c>
      <c r="O9" s="362" t="s">
        <v>468</v>
      </c>
      <c r="P9" s="362" t="s">
        <v>446</v>
      </c>
      <c r="Q9" s="362" t="s">
        <v>322</v>
      </c>
      <c r="R9" s="248">
        <v>0</v>
      </c>
      <c r="S9" s="248">
        <v>0</v>
      </c>
      <c r="T9" s="248">
        <v>93908</v>
      </c>
      <c r="U9" s="169">
        <f t="shared" si="8"/>
        <v>0</v>
      </c>
      <c r="V9" s="169">
        <f t="shared" si="9"/>
        <v>0</v>
      </c>
      <c r="W9" s="169">
        <f t="shared" si="10"/>
        <v>93.908000000000001</v>
      </c>
      <c r="Y9" s="362" t="s">
        <v>444</v>
      </c>
      <c r="Z9" s="679" t="s">
        <v>468</v>
      </c>
      <c r="AA9" s="679" t="s">
        <v>472</v>
      </c>
      <c r="AB9" s="679" t="s">
        <v>473</v>
      </c>
      <c r="AC9" s="248">
        <v>300000000</v>
      </c>
      <c r="AD9" s="248">
        <v>0</v>
      </c>
      <c r="AE9" s="248">
        <v>0</v>
      </c>
      <c r="AF9" s="367">
        <f t="shared" si="11"/>
        <v>300000</v>
      </c>
      <c r="AG9" s="367">
        <f t="shared" si="12"/>
        <v>0</v>
      </c>
      <c r="AH9" s="367">
        <f t="shared" si="13"/>
        <v>0</v>
      </c>
      <c r="AJ9" s="1422" t="s">
        <v>947</v>
      </c>
      <c r="AK9" s="1446" t="s">
        <v>948</v>
      </c>
      <c r="AL9" s="1446" t="s">
        <v>447</v>
      </c>
      <c r="AM9" s="1446" t="s">
        <v>447</v>
      </c>
      <c r="AN9" s="1423">
        <v>2591537160</v>
      </c>
      <c r="AO9" s="367">
        <f t="shared" si="14"/>
        <v>2591537.16</v>
      </c>
      <c r="AR9" s="1432" t="s">
        <v>444</v>
      </c>
      <c r="AS9" s="1432" t="s">
        <v>468</v>
      </c>
      <c r="AT9" s="1432" t="s">
        <v>472</v>
      </c>
      <c r="AU9" s="1433" t="s">
        <v>473</v>
      </c>
      <c r="AV9" s="1434">
        <v>300000000</v>
      </c>
      <c r="AW9" s="1434">
        <v>0</v>
      </c>
      <c r="AX9" s="1434">
        <v>0</v>
      </c>
      <c r="AY9" s="169">
        <f t="shared" si="15"/>
        <v>300000</v>
      </c>
      <c r="AZ9" s="169">
        <f t="shared" si="16"/>
        <v>0</v>
      </c>
      <c r="BA9" s="169">
        <f t="shared" si="17"/>
        <v>0</v>
      </c>
      <c r="BD9" s="1467" t="s">
        <v>949</v>
      </c>
      <c r="BE9" s="1463" t="s">
        <v>950</v>
      </c>
      <c r="BF9" s="1463" t="s">
        <v>447</v>
      </c>
      <c r="BG9" s="1463" t="s">
        <v>447</v>
      </c>
      <c r="BH9" s="367">
        <v>2259828649</v>
      </c>
      <c r="BI9" s="1606">
        <f t="shared" si="18"/>
        <v>2259828.6490000002</v>
      </c>
      <c r="BK9" s="1463" t="s">
        <v>444</v>
      </c>
      <c r="BL9" s="1463" t="s">
        <v>468</v>
      </c>
      <c r="BM9" s="1463" t="s">
        <v>498</v>
      </c>
      <c r="BN9" s="1463" t="s">
        <v>343</v>
      </c>
      <c r="BO9" s="367">
        <v>567371000</v>
      </c>
      <c r="BP9" s="367">
        <v>0</v>
      </c>
      <c r="BQ9" s="367">
        <v>0</v>
      </c>
      <c r="BR9" s="1609">
        <f t="shared" si="19"/>
        <v>567371</v>
      </c>
      <c r="BS9" s="1609">
        <f t="shared" si="20"/>
        <v>0</v>
      </c>
      <c r="BT9" s="1609">
        <f t="shared" si="21"/>
        <v>0</v>
      </c>
    </row>
    <row r="10" spans="1:72" x14ac:dyDescent="0.35">
      <c r="A10" s="679" t="s">
        <v>444</v>
      </c>
      <c r="B10" s="679" t="s">
        <v>468</v>
      </c>
      <c r="C10" s="679" t="s">
        <v>471</v>
      </c>
      <c r="D10" s="679" t="s">
        <v>279</v>
      </c>
      <c r="E10" s="679" t="s">
        <v>547</v>
      </c>
      <c r="F10" s="716">
        <v>1500000</v>
      </c>
      <c r="G10" s="716">
        <v>0</v>
      </c>
      <c r="H10" s="716">
        <v>0</v>
      </c>
      <c r="I10" s="918">
        <f t="shared" si="5"/>
        <v>1500</v>
      </c>
      <c r="J10" s="918">
        <f t="shared" si="6"/>
        <v>0</v>
      </c>
      <c r="K10" s="918">
        <f t="shared" si="7"/>
        <v>0</v>
      </c>
      <c r="N10" s="362" t="s">
        <v>450</v>
      </c>
      <c r="O10" s="362" t="s">
        <v>142</v>
      </c>
      <c r="P10" s="362" t="s">
        <v>447</v>
      </c>
      <c r="Q10" s="362" t="s">
        <v>447</v>
      </c>
      <c r="R10" s="248">
        <v>0</v>
      </c>
      <c r="S10" s="248">
        <v>322320961</v>
      </c>
      <c r="T10" s="248">
        <v>322320961</v>
      </c>
      <c r="U10" s="169">
        <f t="shared" si="8"/>
        <v>0</v>
      </c>
      <c r="V10" s="169">
        <f t="shared" si="9"/>
        <v>322320.96100000001</v>
      </c>
      <c r="W10" s="169">
        <f t="shared" si="10"/>
        <v>322320.96100000001</v>
      </c>
      <c r="Y10" s="362" t="s">
        <v>444</v>
      </c>
      <c r="Z10" s="679" t="s">
        <v>468</v>
      </c>
      <c r="AA10" s="679" t="s">
        <v>445</v>
      </c>
      <c r="AB10" s="679" t="s">
        <v>277</v>
      </c>
      <c r="AC10" s="248">
        <v>285477000</v>
      </c>
      <c r="AD10" s="248">
        <v>0</v>
      </c>
      <c r="AE10" s="248">
        <v>0</v>
      </c>
      <c r="AF10" s="367">
        <f t="shared" si="11"/>
        <v>285477</v>
      </c>
      <c r="AG10" s="367">
        <f t="shared" si="12"/>
        <v>0</v>
      </c>
      <c r="AH10" s="367">
        <f t="shared" si="13"/>
        <v>0</v>
      </c>
      <c r="AJ10" s="1422" t="s">
        <v>951</v>
      </c>
      <c r="AK10" s="1446" t="s">
        <v>952</v>
      </c>
      <c r="AL10" s="1446" t="s">
        <v>447</v>
      </c>
      <c r="AM10" s="1446" t="s">
        <v>447</v>
      </c>
      <c r="AN10" s="1423">
        <v>857335276</v>
      </c>
      <c r="AO10" s="367">
        <f t="shared" si="14"/>
        <v>857335.27599999995</v>
      </c>
      <c r="AR10" s="1432" t="s">
        <v>444</v>
      </c>
      <c r="AS10" s="1432" t="s">
        <v>468</v>
      </c>
      <c r="AT10" s="1432" t="s">
        <v>445</v>
      </c>
      <c r="AU10" s="1433" t="s">
        <v>277</v>
      </c>
      <c r="AV10" s="1434">
        <v>285477000</v>
      </c>
      <c r="AW10" s="1434">
        <v>0</v>
      </c>
      <c r="AX10" s="1434">
        <v>0</v>
      </c>
      <c r="AY10" s="169">
        <f t="shared" si="15"/>
        <v>285477</v>
      </c>
      <c r="AZ10" s="169">
        <f t="shared" si="16"/>
        <v>0</v>
      </c>
      <c r="BA10" s="169">
        <f t="shared" si="17"/>
        <v>0</v>
      </c>
      <c r="BD10" s="1467" t="s">
        <v>951</v>
      </c>
      <c r="BE10" s="1463" t="s">
        <v>952</v>
      </c>
      <c r="BF10" s="1463" t="s">
        <v>447</v>
      </c>
      <c r="BG10" s="1463" t="s">
        <v>447</v>
      </c>
      <c r="BH10" s="367">
        <v>224359525</v>
      </c>
      <c r="BI10" s="1606">
        <f t="shared" si="18"/>
        <v>224359.52499999999</v>
      </c>
      <c r="BK10" s="1463" t="s">
        <v>444</v>
      </c>
      <c r="BL10" s="1463" t="s">
        <v>468</v>
      </c>
      <c r="BM10" s="1463" t="s">
        <v>472</v>
      </c>
      <c r="BN10" s="1463" t="s">
        <v>473</v>
      </c>
      <c r="BO10" s="367">
        <v>300000000</v>
      </c>
      <c r="BP10" s="367">
        <v>0</v>
      </c>
      <c r="BQ10" s="367">
        <v>0</v>
      </c>
      <c r="BR10" s="1609">
        <f t="shared" si="19"/>
        <v>300000</v>
      </c>
      <c r="BS10" s="1609">
        <f t="shared" si="20"/>
        <v>0</v>
      </c>
      <c r="BT10" s="1609">
        <f t="shared" si="21"/>
        <v>0</v>
      </c>
    </row>
    <row r="11" spans="1:72" x14ac:dyDescent="0.35">
      <c r="A11" s="679" t="s">
        <v>444</v>
      </c>
      <c r="B11" s="679" t="s">
        <v>468</v>
      </c>
      <c r="C11" s="679" t="s">
        <v>447</v>
      </c>
      <c r="D11" s="679" t="s">
        <v>447</v>
      </c>
      <c r="E11" s="679" t="s">
        <v>547</v>
      </c>
      <c r="F11" s="716">
        <v>0</v>
      </c>
      <c r="G11" s="716">
        <v>0</v>
      </c>
      <c r="H11" s="716">
        <v>0</v>
      </c>
      <c r="I11" s="918">
        <f t="shared" si="5"/>
        <v>0</v>
      </c>
      <c r="J11" s="918">
        <f t="shared" si="6"/>
        <v>0</v>
      </c>
      <c r="K11" s="918">
        <f t="shared" si="7"/>
        <v>0</v>
      </c>
      <c r="N11" s="362" t="s">
        <v>947</v>
      </c>
      <c r="O11" s="362" t="s">
        <v>948</v>
      </c>
      <c r="P11" s="362" t="s">
        <v>447</v>
      </c>
      <c r="Q11" s="362" t="s">
        <v>447</v>
      </c>
      <c r="R11" s="248">
        <v>0</v>
      </c>
      <c r="S11" s="248">
        <v>4021444182</v>
      </c>
      <c r="T11" s="248">
        <v>3167207999</v>
      </c>
      <c r="U11" s="169">
        <f t="shared" si="8"/>
        <v>0</v>
      </c>
      <c r="V11" s="169">
        <f t="shared" si="9"/>
        <v>4021444.182</v>
      </c>
      <c r="W11" s="169">
        <f t="shared" si="10"/>
        <v>3167207.9989999998</v>
      </c>
      <c r="Y11" s="362" t="s">
        <v>444</v>
      </c>
      <c r="Z11" s="679" t="s">
        <v>468</v>
      </c>
      <c r="AA11" s="679" t="s">
        <v>446</v>
      </c>
      <c r="AB11" s="679" t="s">
        <v>322</v>
      </c>
      <c r="AC11" s="248">
        <v>3000000</v>
      </c>
      <c r="AD11" s="248">
        <v>0</v>
      </c>
      <c r="AE11" s="248">
        <v>0</v>
      </c>
      <c r="AF11" s="367">
        <f t="shared" si="11"/>
        <v>3000</v>
      </c>
      <c r="AG11" s="367">
        <f t="shared" si="12"/>
        <v>0</v>
      </c>
      <c r="AH11" s="367">
        <f t="shared" si="13"/>
        <v>0</v>
      </c>
      <c r="AJ11" s="1422" t="s">
        <v>953</v>
      </c>
      <c r="AK11" s="1446" t="s">
        <v>954</v>
      </c>
      <c r="AL11" s="1446" t="s">
        <v>447</v>
      </c>
      <c r="AM11" s="1446" t="s">
        <v>447</v>
      </c>
      <c r="AN11" s="1423">
        <v>471722272</v>
      </c>
      <c r="AO11" s="367">
        <f t="shared" si="14"/>
        <v>471722.272</v>
      </c>
      <c r="AR11" s="1432" t="s">
        <v>444</v>
      </c>
      <c r="AS11" s="1432" t="s">
        <v>468</v>
      </c>
      <c r="AT11" s="1432" t="s">
        <v>446</v>
      </c>
      <c r="AU11" s="1433" t="s">
        <v>322</v>
      </c>
      <c r="AV11" s="1434">
        <v>3000000</v>
      </c>
      <c r="AW11" s="1434">
        <v>0</v>
      </c>
      <c r="AX11" s="1434">
        <v>0</v>
      </c>
      <c r="AY11" s="169">
        <f t="shared" si="15"/>
        <v>3000</v>
      </c>
      <c r="AZ11" s="169">
        <f t="shared" si="16"/>
        <v>0</v>
      </c>
      <c r="BA11" s="169">
        <f t="shared" si="17"/>
        <v>0</v>
      </c>
      <c r="BD11" s="1467" t="s">
        <v>953</v>
      </c>
      <c r="BE11" s="1463" t="s">
        <v>954</v>
      </c>
      <c r="BF11" s="1463" t="s">
        <v>447</v>
      </c>
      <c r="BG11" s="1463" t="s">
        <v>447</v>
      </c>
      <c r="BH11" s="367">
        <v>1100255241</v>
      </c>
      <c r="BI11" s="1606">
        <f t="shared" si="18"/>
        <v>1100255.2409999999</v>
      </c>
      <c r="BK11" s="1463" t="s">
        <v>444</v>
      </c>
      <c r="BL11" s="1463" t="s">
        <v>468</v>
      </c>
      <c r="BM11" s="1463" t="s">
        <v>445</v>
      </c>
      <c r="BN11" s="1463" t="s">
        <v>277</v>
      </c>
      <c r="BO11" s="367">
        <v>282477000</v>
      </c>
      <c r="BP11" s="367">
        <v>0</v>
      </c>
      <c r="BQ11" s="367">
        <v>0</v>
      </c>
      <c r="BR11" s="1609">
        <f t="shared" si="19"/>
        <v>282477</v>
      </c>
      <c r="BS11" s="1609">
        <f t="shared" si="20"/>
        <v>0</v>
      </c>
      <c r="BT11" s="1609">
        <f t="shared" si="21"/>
        <v>0</v>
      </c>
    </row>
    <row r="12" spans="1:72" x14ac:dyDescent="0.35">
      <c r="A12" s="679" t="s">
        <v>444</v>
      </c>
      <c r="B12" s="679" t="s">
        <v>468</v>
      </c>
      <c r="C12" s="679" t="s">
        <v>446</v>
      </c>
      <c r="D12" s="679" t="s">
        <v>322</v>
      </c>
      <c r="E12" s="679" t="s">
        <v>547</v>
      </c>
      <c r="F12" s="716">
        <v>0</v>
      </c>
      <c r="G12" s="716">
        <v>2200000</v>
      </c>
      <c r="H12" s="716">
        <v>31448</v>
      </c>
      <c r="I12" s="918">
        <f t="shared" si="5"/>
        <v>0</v>
      </c>
      <c r="J12" s="918">
        <f t="shared" si="6"/>
        <v>2200</v>
      </c>
      <c r="K12" s="918">
        <f t="shared" si="7"/>
        <v>31.448</v>
      </c>
      <c r="N12" s="362" t="s">
        <v>949</v>
      </c>
      <c r="O12" s="362" t="s">
        <v>950</v>
      </c>
      <c r="P12" s="362" t="s">
        <v>447</v>
      </c>
      <c r="Q12" s="362" t="s">
        <v>447</v>
      </c>
      <c r="R12" s="248">
        <v>0</v>
      </c>
      <c r="S12" s="248">
        <v>0</v>
      </c>
      <c r="T12" s="248">
        <v>30909656</v>
      </c>
      <c r="U12" s="169">
        <f t="shared" si="8"/>
        <v>0</v>
      </c>
      <c r="V12" s="169">
        <f t="shared" si="9"/>
        <v>0</v>
      </c>
      <c r="W12" s="169">
        <f t="shared" si="10"/>
        <v>30909.655999999999</v>
      </c>
      <c r="Y12" s="362" t="s">
        <v>444</v>
      </c>
      <c r="Z12" s="679" t="s">
        <v>468</v>
      </c>
      <c r="AA12" s="679" t="s">
        <v>471</v>
      </c>
      <c r="AB12" s="679" t="s">
        <v>279</v>
      </c>
      <c r="AC12" s="248">
        <v>1500000</v>
      </c>
      <c r="AD12" s="248">
        <v>0</v>
      </c>
      <c r="AE12" s="248">
        <v>0</v>
      </c>
      <c r="AF12" s="367">
        <f t="shared" si="11"/>
        <v>1500</v>
      </c>
      <c r="AG12" s="367">
        <f t="shared" si="12"/>
        <v>0</v>
      </c>
      <c r="AH12" s="367">
        <f t="shared" si="13"/>
        <v>0</v>
      </c>
      <c r="AJ12" s="1422" t="s">
        <v>955</v>
      </c>
      <c r="AK12" s="1446" t="s">
        <v>956</v>
      </c>
      <c r="AL12" s="1446" t="s">
        <v>447</v>
      </c>
      <c r="AM12" s="1446" t="s">
        <v>447</v>
      </c>
      <c r="AN12" s="1423">
        <v>1268882474</v>
      </c>
      <c r="AO12" s="367">
        <f t="shared" si="14"/>
        <v>1268882.4739999999</v>
      </c>
      <c r="AR12" s="1432" t="s">
        <v>444</v>
      </c>
      <c r="AS12" s="1432" t="s">
        <v>468</v>
      </c>
      <c r="AT12" s="1432" t="s">
        <v>471</v>
      </c>
      <c r="AU12" s="1433" t="s">
        <v>279</v>
      </c>
      <c r="AV12" s="1434">
        <v>1500000</v>
      </c>
      <c r="AW12" s="1434">
        <v>0</v>
      </c>
      <c r="AX12" s="1434">
        <v>0</v>
      </c>
      <c r="AY12" s="169">
        <f t="shared" si="15"/>
        <v>1500</v>
      </c>
      <c r="AZ12" s="169">
        <f t="shared" si="16"/>
        <v>0</v>
      </c>
      <c r="BA12" s="169">
        <f t="shared" si="17"/>
        <v>0</v>
      </c>
      <c r="BD12" s="1467" t="s">
        <v>957</v>
      </c>
      <c r="BE12" s="1463" t="s">
        <v>958</v>
      </c>
      <c r="BF12" s="1463" t="s">
        <v>447</v>
      </c>
      <c r="BG12" s="1463" t="s">
        <v>447</v>
      </c>
      <c r="BH12" s="367">
        <v>142625884</v>
      </c>
      <c r="BI12" s="1606">
        <f t="shared" si="18"/>
        <v>142625.88399999999</v>
      </c>
      <c r="BK12" s="1463" t="s">
        <v>444</v>
      </c>
      <c r="BL12" s="1463" t="s">
        <v>468</v>
      </c>
      <c r="BM12" s="1463" t="s">
        <v>471</v>
      </c>
      <c r="BN12" s="1463" t="s">
        <v>279</v>
      </c>
      <c r="BO12" s="367">
        <v>4500000</v>
      </c>
      <c r="BP12" s="367">
        <v>0</v>
      </c>
      <c r="BQ12" s="367">
        <v>0</v>
      </c>
      <c r="BR12" s="1609">
        <f t="shared" si="19"/>
        <v>4500</v>
      </c>
      <c r="BS12" s="1609">
        <f t="shared" si="20"/>
        <v>0</v>
      </c>
      <c r="BT12" s="1609">
        <f t="shared" si="21"/>
        <v>0</v>
      </c>
    </row>
    <row r="13" spans="1:72" x14ac:dyDescent="0.35">
      <c r="A13" s="679" t="s">
        <v>444</v>
      </c>
      <c r="B13" s="679" t="s">
        <v>468</v>
      </c>
      <c r="C13" s="679" t="s">
        <v>472</v>
      </c>
      <c r="D13" s="679" t="s">
        <v>473</v>
      </c>
      <c r="E13" s="679" t="s">
        <v>547</v>
      </c>
      <c r="F13" s="716">
        <v>0</v>
      </c>
      <c r="G13" s="716">
        <v>23034206</v>
      </c>
      <c r="H13" s="716">
        <v>0</v>
      </c>
      <c r="I13" s="918">
        <f t="shared" si="5"/>
        <v>0</v>
      </c>
      <c r="J13" s="918">
        <f t="shared" si="6"/>
        <v>23034.205999999998</v>
      </c>
      <c r="K13" s="918">
        <f t="shared" si="7"/>
        <v>0</v>
      </c>
      <c r="N13" s="362" t="s">
        <v>951</v>
      </c>
      <c r="O13" s="362" t="s">
        <v>952</v>
      </c>
      <c r="P13" s="362" t="s">
        <v>447</v>
      </c>
      <c r="Q13" s="362" t="s">
        <v>447</v>
      </c>
      <c r="R13" s="248">
        <v>0</v>
      </c>
      <c r="S13" s="248">
        <v>1325893147</v>
      </c>
      <c r="T13" s="248">
        <v>595034170</v>
      </c>
      <c r="U13" s="169">
        <f t="shared" si="8"/>
        <v>0</v>
      </c>
      <c r="V13" s="169">
        <f t="shared" si="9"/>
        <v>1325893.1470000001</v>
      </c>
      <c r="W13" s="169">
        <f t="shared" si="10"/>
        <v>595034.17000000004</v>
      </c>
      <c r="Y13" s="362" t="s">
        <v>444</v>
      </c>
      <c r="Z13" s="679" t="s">
        <v>468</v>
      </c>
      <c r="AA13" s="679" t="s">
        <v>447</v>
      </c>
      <c r="AB13" s="679" t="s">
        <v>447</v>
      </c>
      <c r="AC13" s="248">
        <v>0</v>
      </c>
      <c r="AD13" s="248">
        <v>0</v>
      </c>
      <c r="AE13" s="248">
        <v>0</v>
      </c>
      <c r="AF13" s="367">
        <f t="shared" si="11"/>
        <v>0</v>
      </c>
      <c r="AG13" s="367">
        <f t="shared" si="12"/>
        <v>0</v>
      </c>
      <c r="AH13" s="367">
        <f t="shared" si="13"/>
        <v>0</v>
      </c>
      <c r="AJ13" s="1422" t="s">
        <v>957</v>
      </c>
      <c r="AK13" s="1446" t="s">
        <v>958</v>
      </c>
      <c r="AL13" s="1446" t="s">
        <v>447</v>
      </c>
      <c r="AM13" s="1446" t="s">
        <v>447</v>
      </c>
      <c r="AN13" s="1423">
        <v>347751238</v>
      </c>
      <c r="AO13" s="367">
        <f t="shared" si="14"/>
        <v>347751.23800000001</v>
      </c>
      <c r="AR13" s="1432" t="s">
        <v>444</v>
      </c>
      <c r="AS13" s="1432" t="s">
        <v>468</v>
      </c>
      <c r="AT13" s="1432" t="s">
        <v>447</v>
      </c>
      <c r="AU13" s="1433" t="s">
        <v>447</v>
      </c>
      <c r="AV13" s="1434">
        <v>0</v>
      </c>
      <c r="AW13" s="1434">
        <v>0</v>
      </c>
      <c r="AX13" s="1434">
        <v>0</v>
      </c>
      <c r="AY13" s="169">
        <f t="shared" si="15"/>
        <v>0</v>
      </c>
      <c r="AZ13" s="169">
        <f t="shared" si="16"/>
        <v>0</v>
      </c>
      <c r="BA13" s="169">
        <f t="shared" si="17"/>
        <v>0</v>
      </c>
      <c r="BD13" s="1467" t="s">
        <v>959</v>
      </c>
      <c r="BE13" s="1463" t="s">
        <v>960</v>
      </c>
      <c r="BF13" s="1463" t="s">
        <v>447</v>
      </c>
      <c r="BG13" s="1463" t="s">
        <v>447</v>
      </c>
      <c r="BH13" s="367">
        <v>41661000</v>
      </c>
      <c r="BI13" s="1606">
        <f t="shared" si="18"/>
        <v>41661</v>
      </c>
      <c r="BK13" s="1463" t="s">
        <v>444</v>
      </c>
      <c r="BL13" s="1463" t="s">
        <v>468</v>
      </c>
      <c r="BM13" s="1463" t="s">
        <v>446</v>
      </c>
      <c r="BN13" s="1463" t="s">
        <v>322</v>
      </c>
      <c r="BO13" s="367">
        <v>3000000</v>
      </c>
      <c r="BP13" s="367">
        <v>0</v>
      </c>
      <c r="BQ13" s="367">
        <v>0</v>
      </c>
      <c r="BR13" s="1609">
        <f t="shared" si="19"/>
        <v>3000</v>
      </c>
      <c r="BS13" s="1609">
        <f t="shared" si="20"/>
        <v>0</v>
      </c>
      <c r="BT13" s="1609">
        <f t="shared" si="21"/>
        <v>0</v>
      </c>
    </row>
    <row r="14" spans="1:72" x14ac:dyDescent="0.35">
      <c r="A14" s="679" t="s">
        <v>444</v>
      </c>
      <c r="B14" s="679" t="s">
        <v>468</v>
      </c>
      <c r="C14" s="679" t="s">
        <v>445</v>
      </c>
      <c r="D14" s="679" t="s">
        <v>277</v>
      </c>
      <c r="E14" s="679" t="s">
        <v>547</v>
      </c>
      <c r="F14" s="716">
        <v>0</v>
      </c>
      <c r="G14" s="716">
        <v>192285576</v>
      </c>
      <c r="H14" s="716">
        <v>17123798</v>
      </c>
      <c r="I14" s="918">
        <f t="shared" si="5"/>
        <v>0</v>
      </c>
      <c r="J14" s="918">
        <f t="shared" si="6"/>
        <v>192285.576</v>
      </c>
      <c r="K14" s="918">
        <f t="shared" si="7"/>
        <v>17123.797999999999</v>
      </c>
      <c r="N14" s="362" t="s">
        <v>953</v>
      </c>
      <c r="O14" s="362" t="s">
        <v>954</v>
      </c>
      <c r="P14" s="362" t="s">
        <v>447</v>
      </c>
      <c r="Q14" s="362" t="s">
        <v>447</v>
      </c>
      <c r="R14" s="248">
        <v>0</v>
      </c>
      <c r="S14" s="248">
        <v>2087428876</v>
      </c>
      <c r="T14" s="248">
        <v>1934903869</v>
      </c>
      <c r="U14" s="169">
        <f t="shared" si="8"/>
        <v>0</v>
      </c>
      <c r="V14" s="169">
        <f t="shared" si="9"/>
        <v>2087428.8759999999</v>
      </c>
      <c r="W14" s="169">
        <f t="shared" si="10"/>
        <v>1934903.8689999999</v>
      </c>
      <c r="Y14" s="362" t="s">
        <v>444</v>
      </c>
      <c r="Z14" s="679" t="s">
        <v>468</v>
      </c>
      <c r="AA14" s="679" t="s">
        <v>445</v>
      </c>
      <c r="AB14" s="679" t="s">
        <v>277</v>
      </c>
      <c r="AC14" s="248">
        <v>0</v>
      </c>
      <c r="AD14" s="248">
        <v>192285576</v>
      </c>
      <c r="AE14" s="248">
        <v>33047596</v>
      </c>
      <c r="AF14" s="367">
        <f t="shared" si="11"/>
        <v>0</v>
      </c>
      <c r="AG14" s="367">
        <f t="shared" si="12"/>
        <v>192285.576</v>
      </c>
      <c r="AH14" s="367">
        <f t="shared" si="13"/>
        <v>33047.595999999998</v>
      </c>
      <c r="AJ14" s="1422" t="s">
        <v>959</v>
      </c>
      <c r="AK14" s="1446" t="s">
        <v>960</v>
      </c>
      <c r="AL14" s="1446" t="s">
        <v>447</v>
      </c>
      <c r="AM14" s="1446" t="s">
        <v>447</v>
      </c>
      <c r="AN14" s="1423">
        <v>140969541</v>
      </c>
      <c r="AO14" s="367">
        <f t="shared" si="14"/>
        <v>140969.541</v>
      </c>
      <c r="AR14" s="1432" t="s">
        <v>444</v>
      </c>
      <c r="AS14" s="1432" t="s">
        <v>468</v>
      </c>
      <c r="AT14" s="1432" t="s">
        <v>471</v>
      </c>
      <c r="AU14" s="1433" t="s">
        <v>279</v>
      </c>
      <c r="AV14" s="1434">
        <v>0</v>
      </c>
      <c r="AW14" s="1434">
        <v>499999</v>
      </c>
      <c r="AX14" s="1434">
        <v>0</v>
      </c>
      <c r="AY14" s="169">
        <f t="shared" si="15"/>
        <v>0</v>
      </c>
      <c r="AZ14" s="169">
        <f t="shared" si="16"/>
        <v>499.99900000000002</v>
      </c>
      <c r="BA14" s="169">
        <f t="shared" si="17"/>
        <v>0</v>
      </c>
      <c r="BD14" s="1467" t="s">
        <v>963</v>
      </c>
      <c r="BE14" s="1463" t="s">
        <v>964</v>
      </c>
      <c r="BF14" s="1463" t="s">
        <v>447</v>
      </c>
      <c r="BG14" s="1463" t="s">
        <v>447</v>
      </c>
      <c r="BH14" s="367">
        <v>1551903202</v>
      </c>
      <c r="BI14" s="1606">
        <f t="shared" si="18"/>
        <v>1551903.202</v>
      </c>
      <c r="BK14" s="1463" t="s">
        <v>444</v>
      </c>
      <c r="BL14" s="1463" t="s">
        <v>468</v>
      </c>
      <c r="BM14" s="1463" t="s">
        <v>471</v>
      </c>
      <c r="BN14" s="1463" t="s">
        <v>279</v>
      </c>
      <c r="BO14" s="367">
        <v>0</v>
      </c>
      <c r="BP14" s="367">
        <v>1950014</v>
      </c>
      <c r="BQ14" s="367">
        <v>499999</v>
      </c>
      <c r="BR14" s="1609">
        <f t="shared" si="19"/>
        <v>0</v>
      </c>
      <c r="BS14" s="1609">
        <f t="shared" si="20"/>
        <v>1950.0139999999999</v>
      </c>
      <c r="BT14" s="1609">
        <f t="shared" si="21"/>
        <v>499.99900000000002</v>
      </c>
    </row>
    <row r="15" spans="1:72" x14ac:dyDescent="0.35">
      <c r="A15" s="679" t="s">
        <v>544</v>
      </c>
      <c r="B15" s="679" t="s">
        <v>545</v>
      </c>
      <c r="C15" s="679" t="s">
        <v>447</v>
      </c>
      <c r="D15" s="679" t="s">
        <v>447</v>
      </c>
      <c r="E15" s="679" t="s">
        <v>547</v>
      </c>
      <c r="F15" s="716">
        <v>10000</v>
      </c>
      <c r="G15" s="716">
        <v>0</v>
      </c>
      <c r="H15" s="716">
        <v>0</v>
      </c>
      <c r="I15" s="918">
        <f t="shared" si="5"/>
        <v>10</v>
      </c>
      <c r="J15" s="918">
        <f t="shared" si="6"/>
        <v>0</v>
      </c>
      <c r="K15" s="918">
        <f t="shared" si="7"/>
        <v>0</v>
      </c>
      <c r="N15" s="362" t="s">
        <v>955</v>
      </c>
      <c r="O15" s="362" t="s">
        <v>956</v>
      </c>
      <c r="P15" s="362" t="s">
        <v>447</v>
      </c>
      <c r="Q15" s="362" t="s">
        <v>447</v>
      </c>
      <c r="R15" s="248">
        <v>0</v>
      </c>
      <c r="S15" s="248">
        <v>3470113168</v>
      </c>
      <c r="T15" s="248">
        <v>2201230694</v>
      </c>
      <c r="U15" s="169">
        <f t="shared" si="8"/>
        <v>0</v>
      </c>
      <c r="V15" s="169">
        <f t="shared" si="9"/>
        <v>3470113.1680000001</v>
      </c>
      <c r="W15" s="169">
        <f t="shared" si="10"/>
        <v>2201230.6940000001</v>
      </c>
      <c r="Y15" s="362" t="s">
        <v>444</v>
      </c>
      <c r="Z15" s="679" t="s">
        <v>468</v>
      </c>
      <c r="AA15" s="679" t="s">
        <v>472</v>
      </c>
      <c r="AB15" s="679" t="s">
        <v>473</v>
      </c>
      <c r="AC15" s="248">
        <v>0</v>
      </c>
      <c r="AD15" s="248">
        <v>23034206</v>
      </c>
      <c r="AE15" s="248">
        <v>838747</v>
      </c>
      <c r="AF15" s="367">
        <f t="shared" si="11"/>
        <v>0</v>
      </c>
      <c r="AG15" s="367">
        <f t="shared" si="12"/>
        <v>23034.205999999998</v>
      </c>
      <c r="AH15" s="367">
        <f t="shared" si="13"/>
        <v>838.74699999999996</v>
      </c>
      <c r="AJ15" s="1422" t="s">
        <v>963</v>
      </c>
      <c r="AK15" s="1446" t="s">
        <v>964</v>
      </c>
      <c r="AL15" s="1446" t="s">
        <v>447</v>
      </c>
      <c r="AM15" s="1446" t="s">
        <v>447</v>
      </c>
      <c r="AN15" s="1423">
        <v>1515072391</v>
      </c>
      <c r="AO15" s="367">
        <f t="shared" si="14"/>
        <v>1515072.3910000001</v>
      </c>
      <c r="AR15" s="1432" t="s">
        <v>444</v>
      </c>
      <c r="AS15" s="1432" t="s">
        <v>468</v>
      </c>
      <c r="AT15" s="1432" t="s">
        <v>445</v>
      </c>
      <c r="AU15" s="1433" t="s">
        <v>277</v>
      </c>
      <c r="AV15" s="1434">
        <v>0</v>
      </c>
      <c r="AW15" s="1434">
        <v>202905603</v>
      </c>
      <c r="AX15" s="1434">
        <v>48209623</v>
      </c>
      <c r="AY15" s="169">
        <f t="shared" si="15"/>
        <v>0</v>
      </c>
      <c r="AZ15" s="169">
        <f t="shared" si="16"/>
        <v>202905.603</v>
      </c>
      <c r="BA15" s="169">
        <f t="shared" si="17"/>
        <v>48209.623</v>
      </c>
      <c r="BD15" s="1467" t="s">
        <v>451</v>
      </c>
      <c r="BE15" s="1463" t="s">
        <v>470</v>
      </c>
      <c r="BF15" s="1463" t="s">
        <v>447</v>
      </c>
      <c r="BG15" s="1463" t="s">
        <v>447</v>
      </c>
      <c r="BH15" s="367">
        <v>1039948825</v>
      </c>
      <c r="BI15" s="1606">
        <f t="shared" si="18"/>
        <v>1039948.825</v>
      </c>
      <c r="BK15" s="1463" t="s">
        <v>444</v>
      </c>
      <c r="BL15" s="1463" t="s">
        <v>468</v>
      </c>
      <c r="BM15" s="1463" t="s">
        <v>446</v>
      </c>
      <c r="BN15" s="1463" t="s">
        <v>322</v>
      </c>
      <c r="BO15" s="367">
        <v>0</v>
      </c>
      <c r="BP15" s="367">
        <v>2200000</v>
      </c>
      <c r="BQ15" s="367">
        <v>450496</v>
      </c>
      <c r="BR15" s="1609">
        <f t="shared" si="19"/>
        <v>0</v>
      </c>
      <c r="BS15" s="1609">
        <f t="shared" si="20"/>
        <v>2200</v>
      </c>
      <c r="BT15" s="1609">
        <f t="shared" si="21"/>
        <v>450.49599999999998</v>
      </c>
    </row>
    <row r="16" spans="1:72" x14ac:dyDescent="0.35">
      <c r="A16" s="679" t="s">
        <v>450</v>
      </c>
      <c r="B16" s="679" t="s">
        <v>142</v>
      </c>
      <c r="C16" s="679" t="s">
        <v>447</v>
      </c>
      <c r="D16" s="679" t="s">
        <v>447</v>
      </c>
      <c r="E16" s="679" t="s">
        <v>547</v>
      </c>
      <c r="F16" s="716">
        <v>5667935000</v>
      </c>
      <c r="G16" s="716">
        <v>0</v>
      </c>
      <c r="H16" s="716">
        <v>0</v>
      </c>
      <c r="I16" s="918">
        <f t="shared" si="5"/>
        <v>5667935</v>
      </c>
      <c r="J16" s="918">
        <f t="shared" si="6"/>
        <v>0</v>
      </c>
      <c r="K16" s="918">
        <f t="shared" si="7"/>
        <v>0</v>
      </c>
      <c r="N16" s="362" t="s">
        <v>957</v>
      </c>
      <c r="O16" s="362" t="s">
        <v>958</v>
      </c>
      <c r="P16" s="362" t="s">
        <v>447</v>
      </c>
      <c r="Q16" s="362" t="s">
        <v>447</v>
      </c>
      <c r="R16" s="248">
        <v>0</v>
      </c>
      <c r="S16" s="248">
        <v>422592850</v>
      </c>
      <c r="T16" s="248">
        <v>363792850</v>
      </c>
      <c r="U16" s="169">
        <f t="shared" si="8"/>
        <v>0</v>
      </c>
      <c r="V16" s="169">
        <f t="shared" si="9"/>
        <v>422592.85</v>
      </c>
      <c r="W16" s="169">
        <f t="shared" si="10"/>
        <v>363792.85</v>
      </c>
      <c r="Y16" s="362" t="s">
        <v>444</v>
      </c>
      <c r="Z16" s="679" t="s">
        <v>468</v>
      </c>
      <c r="AA16" s="679" t="s">
        <v>446</v>
      </c>
      <c r="AB16" s="679" t="s">
        <v>322</v>
      </c>
      <c r="AC16" s="248">
        <v>0</v>
      </c>
      <c r="AD16" s="248">
        <v>2200000</v>
      </c>
      <c r="AE16" s="248">
        <v>125356</v>
      </c>
      <c r="AF16" s="367">
        <f t="shared" si="11"/>
        <v>0</v>
      </c>
      <c r="AG16" s="367">
        <f t="shared" si="12"/>
        <v>2200</v>
      </c>
      <c r="AH16" s="367">
        <f t="shared" si="13"/>
        <v>125.35599999999999</v>
      </c>
      <c r="AJ16" s="1422" t="s">
        <v>965</v>
      </c>
      <c r="AK16" s="1446" t="s">
        <v>966</v>
      </c>
      <c r="AL16" s="1446" t="s">
        <v>447</v>
      </c>
      <c r="AM16" s="1446" t="s">
        <v>447</v>
      </c>
      <c r="AN16" s="1423">
        <v>0</v>
      </c>
      <c r="AO16" s="367">
        <f t="shared" si="14"/>
        <v>0</v>
      </c>
      <c r="AR16" s="1432" t="s">
        <v>444</v>
      </c>
      <c r="AS16" s="1432" t="s">
        <v>468</v>
      </c>
      <c r="AT16" s="1432" t="s">
        <v>446</v>
      </c>
      <c r="AU16" s="1433" t="s">
        <v>322</v>
      </c>
      <c r="AV16" s="1434">
        <v>0</v>
      </c>
      <c r="AW16" s="1434">
        <v>2200000</v>
      </c>
      <c r="AX16" s="1434">
        <v>287830</v>
      </c>
      <c r="AY16" s="169">
        <f t="shared" si="15"/>
        <v>0</v>
      </c>
      <c r="AZ16" s="169">
        <f t="shared" si="16"/>
        <v>2200</v>
      </c>
      <c r="BA16" s="169">
        <f t="shared" si="17"/>
        <v>287.83</v>
      </c>
      <c r="BI16" s="291">
        <f>SUM(BI3:BI15)</f>
        <v>28478710.312000003</v>
      </c>
      <c r="BK16" s="1463" t="s">
        <v>444</v>
      </c>
      <c r="BL16" s="1463" t="s">
        <v>468</v>
      </c>
      <c r="BM16" s="1463" t="s">
        <v>474</v>
      </c>
      <c r="BN16" s="1463" t="s">
        <v>276</v>
      </c>
      <c r="BO16" s="367">
        <v>0</v>
      </c>
      <c r="BP16" s="367">
        <v>713136390</v>
      </c>
      <c r="BQ16" s="367">
        <v>713136390</v>
      </c>
      <c r="BR16" s="1609">
        <f t="shared" si="19"/>
        <v>0</v>
      </c>
      <c r="BS16" s="1609">
        <f t="shared" si="20"/>
        <v>713136.39</v>
      </c>
      <c r="BT16" s="1609">
        <f t="shared" si="21"/>
        <v>713136.39</v>
      </c>
    </row>
    <row r="17" spans="1:72" x14ac:dyDescent="0.35">
      <c r="A17" s="679" t="s">
        <v>945</v>
      </c>
      <c r="B17" s="679" t="s">
        <v>946</v>
      </c>
      <c r="C17" s="679" t="s">
        <v>447</v>
      </c>
      <c r="D17" s="679" t="s">
        <v>447</v>
      </c>
      <c r="E17" s="679" t="s">
        <v>547</v>
      </c>
      <c r="F17" s="716">
        <v>42112712000</v>
      </c>
      <c r="G17" s="716">
        <v>0</v>
      </c>
      <c r="H17" s="716">
        <v>0</v>
      </c>
      <c r="I17" s="918">
        <f t="shared" si="5"/>
        <v>42112712</v>
      </c>
      <c r="J17" s="918">
        <f t="shared" si="6"/>
        <v>0</v>
      </c>
      <c r="K17" s="918">
        <f t="shared" si="7"/>
        <v>0</v>
      </c>
      <c r="N17" s="362" t="s">
        <v>959</v>
      </c>
      <c r="O17" s="362" t="s">
        <v>960</v>
      </c>
      <c r="P17" s="362" t="s">
        <v>447</v>
      </c>
      <c r="Q17" s="362" t="s">
        <v>447</v>
      </c>
      <c r="R17" s="248">
        <v>0</v>
      </c>
      <c r="S17" s="248">
        <v>250665791</v>
      </c>
      <c r="T17" s="248">
        <v>119696250</v>
      </c>
      <c r="U17" s="169">
        <f t="shared" si="8"/>
        <v>0</v>
      </c>
      <c r="V17" s="169">
        <f t="shared" si="9"/>
        <v>250665.791</v>
      </c>
      <c r="W17" s="169">
        <f t="shared" si="10"/>
        <v>119696.25</v>
      </c>
      <c r="Y17" s="362" t="s">
        <v>444</v>
      </c>
      <c r="Z17" s="679" t="s">
        <v>468</v>
      </c>
      <c r="AA17" s="679" t="s">
        <v>474</v>
      </c>
      <c r="AB17" s="679" t="s">
        <v>276</v>
      </c>
      <c r="AC17" s="248">
        <v>0</v>
      </c>
      <c r="AD17" s="248">
        <v>564586391</v>
      </c>
      <c r="AE17" s="248">
        <v>452855083</v>
      </c>
      <c r="AF17" s="367">
        <f t="shared" si="11"/>
        <v>0</v>
      </c>
      <c r="AG17" s="367">
        <f t="shared" si="12"/>
        <v>564586.39099999995</v>
      </c>
      <c r="AH17" s="367">
        <f t="shared" si="13"/>
        <v>452855.08299999998</v>
      </c>
      <c r="AJ17" s="1422" t="s">
        <v>451</v>
      </c>
      <c r="AK17" s="1446" t="s">
        <v>470</v>
      </c>
      <c r="AL17" s="1446" t="s">
        <v>447</v>
      </c>
      <c r="AM17" s="1446" t="s">
        <v>447</v>
      </c>
      <c r="AN17" s="1423">
        <v>128012751</v>
      </c>
      <c r="AO17" s="367">
        <f t="shared" si="14"/>
        <v>128012.751</v>
      </c>
      <c r="AR17" s="1432" t="s">
        <v>444</v>
      </c>
      <c r="AS17" s="1432" t="s">
        <v>468</v>
      </c>
      <c r="AT17" s="1432" t="s">
        <v>474</v>
      </c>
      <c r="AU17" s="1433" t="s">
        <v>276</v>
      </c>
      <c r="AV17" s="1434">
        <v>0</v>
      </c>
      <c r="AW17" s="1434">
        <v>655636391</v>
      </c>
      <c r="AX17" s="1434">
        <v>581536391</v>
      </c>
      <c r="AY17" s="169">
        <f t="shared" si="15"/>
        <v>0</v>
      </c>
      <c r="AZ17" s="169">
        <f t="shared" si="16"/>
        <v>655636.39099999995</v>
      </c>
      <c r="BA17" s="169">
        <f t="shared" si="17"/>
        <v>581536.39099999995</v>
      </c>
      <c r="BK17" s="1463" t="s">
        <v>444</v>
      </c>
      <c r="BL17" s="1463" t="s">
        <v>468</v>
      </c>
      <c r="BM17" s="1463" t="s">
        <v>447</v>
      </c>
      <c r="BN17" s="1463" t="s">
        <v>447</v>
      </c>
      <c r="BO17" s="367">
        <v>0</v>
      </c>
      <c r="BP17" s="367">
        <v>0</v>
      </c>
      <c r="BQ17" s="367">
        <v>0</v>
      </c>
      <c r="BR17" s="1609">
        <f t="shared" si="19"/>
        <v>0</v>
      </c>
      <c r="BS17" s="1609">
        <f t="shared" si="20"/>
        <v>0</v>
      </c>
      <c r="BT17" s="1609">
        <f t="shared" si="21"/>
        <v>0</v>
      </c>
    </row>
    <row r="18" spans="1:72" x14ac:dyDescent="0.35">
      <c r="A18" s="679" t="s">
        <v>947</v>
      </c>
      <c r="B18" s="679" t="s">
        <v>948</v>
      </c>
      <c r="C18" s="679" t="s">
        <v>447</v>
      </c>
      <c r="D18" s="679" t="s">
        <v>447</v>
      </c>
      <c r="E18" s="679" t="s">
        <v>547</v>
      </c>
      <c r="F18" s="716">
        <v>26521300000</v>
      </c>
      <c r="G18" s="716">
        <v>0</v>
      </c>
      <c r="H18" s="716">
        <v>0</v>
      </c>
      <c r="I18" s="918">
        <f t="shared" si="5"/>
        <v>26521300</v>
      </c>
      <c r="J18" s="918">
        <f t="shared" si="6"/>
        <v>0</v>
      </c>
      <c r="K18" s="918">
        <f t="shared" si="7"/>
        <v>0</v>
      </c>
      <c r="N18" s="362" t="s">
        <v>963</v>
      </c>
      <c r="O18" s="362" t="s">
        <v>964</v>
      </c>
      <c r="P18" s="362" t="s">
        <v>447</v>
      </c>
      <c r="Q18" s="362" t="s">
        <v>447</v>
      </c>
      <c r="R18" s="248">
        <v>0</v>
      </c>
      <c r="S18" s="248">
        <v>3764283001</v>
      </c>
      <c r="T18" s="248">
        <v>2136997216</v>
      </c>
      <c r="U18" s="169">
        <f t="shared" si="8"/>
        <v>0</v>
      </c>
      <c r="V18" s="169">
        <f t="shared" si="9"/>
        <v>3764283.0010000002</v>
      </c>
      <c r="W18" s="169">
        <f t="shared" si="10"/>
        <v>2136997.216</v>
      </c>
      <c r="Y18" s="362" t="s">
        <v>544</v>
      </c>
      <c r="Z18" s="679" t="s">
        <v>545</v>
      </c>
      <c r="AA18" s="679" t="s">
        <v>447</v>
      </c>
      <c r="AB18" s="679" t="s">
        <v>447</v>
      </c>
      <c r="AC18" s="248">
        <v>10000</v>
      </c>
      <c r="AD18" s="248">
        <v>0</v>
      </c>
      <c r="AE18" s="248">
        <v>0</v>
      </c>
      <c r="AF18" s="367">
        <f t="shared" si="11"/>
        <v>10</v>
      </c>
      <c r="AG18" s="367">
        <f t="shared" si="12"/>
        <v>0</v>
      </c>
      <c r="AH18" s="367">
        <f t="shared" si="13"/>
        <v>0</v>
      </c>
      <c r="AJ18" s="1422" t="s">
        <v>452</v>
      </c>
      <c r="AK18" s="1446" t="s">
        <v>128</v>
      </c>
      <c r="AL18" s="1446" t="s">
        <v>447</v>
      </c>
      <c r="AM18" s="1446" t="s">
        <v>447</v>
      </c>
      <c r="AN18" s="1423">
        <v>0</v>
      </c>
      <c r="AO18" s="367">
        <f t="shared" si="14"/>
        <v>0</v>
      </c>
      <c r="AR18" s="1432" t="s">
        <v>444</v>
      </c>
      <c r="AS18" s="1432" t="s">
        <v>468</v>
      </c>
      <c r="AT18" s="1432" t="s">
        <v>472</v>
      </c>
      <c r="AU18" s="1433" t="s">
        <v>473</v>
      </c>
      <c r="AV18" s="1434">
        <v>0</v>
      </c>
      <c r="AW18" s="1434">
        <v>23034206</v>
      </c>
      <c r="AX18" s="1434">
        <v>838747</v>
      </c>
      <c r="AY18" s="169">
        <f t="shared" si="15"/>
        <v>0</v>
      </c>
      <c r="AZ18" s="169">
        <f t="shared" si="16"/>
        <v>23034.205999999998</v>
      </c>
      <c r="BA18" s="169">
        <f t="shared" si="17"/>
        <v>838.74699999999996</v>
      </c>
      <c r="BK18" s="1463" t="s">
        <v>444</v>
      </c>
      <c r="BL18" s="1463" t="s">
        <v>468</v>
      </c>
      <c r="BM18" s="1463" t="s">
        <v>472</v>
      </c>
      <c r="BN18" s="1463" t="s">
        <v>473</v>
      </c>
      <c r="BO18" s="367">
        <v>0</v>
      </c>
      <c r="BP18" s="367">
        <v>23034206</v>
      </c>
      <c r="BQ18" s="367">
        <v>838747</v>
      </c>
      <c r="BR18" s="1609">
        <f t="shared" si="19"/>
        <v>0</v>
      </c>
      <c r="BS18" s="1609">
        <f t="shared" si="20"/>
        <v>23034.205999999998</v>
      </c>
      <c r="BT18" s="1609">
        <f t="shared" si="21"/>
        <v>838.74699999999996</v>
      </c>
    </row>
    <row r="19" spans="1:72" x14ac:dyDescent="0.35">
      <c r="A19" s="679" t="s">
        <v>947</v>
      </c>
      <c r="B19" s="679" t="s">
        <v>948</v>
      </c>
      <c r="C19" s="679" t="s">
        <v>447</v>
      </c>
      <c r="D19" s="679" t="s">
        <v>447</v>
      </c>
      <c r="E19" s="679" t="s">
        <v>547</v>
      </c>
      <c r="F19" s="716">
        <v>0</v>
      </c>
      <c r="G19" s="716">
        <v>904988624</v>
      </c>
      <c r="H19" s="716">
        <v>343835128</v>
      </c>
      <c r="I19" s="918">
        <f t="shared" si="5"/>
        <v>0</v>
      </c>
      <c r="J19" s="918">
        <f t="shared" si="6"/>
        <v>904988.62399999995</v>
      </c>
      <c r="K19" s="918">
        <f t="shared" si="7"/>
        <v>343835.12800000003</v>
      </c>
      <c r="N19" s="362" t="s">
        <v>965</v>
      </c>
      <c r="O19" s="362" t="s">
        <v>966</v>
      </c>
      <c r="P19" s="362" t="s">
        <v>447</v>
      </c>
      <c r="Q19" s="362" t="s">
        <v>447</v>
      </c>
      <c r="R19" s="248">
        <v>0</v>
      </c>
      <c r="S19" s="248">
        <v>93732000</v>
      </c>
      <c r="T19" s="248">
        <v>0</v>
      </c>
      <c r="U19" s="169">
        <f t="shared" si="8"/>
        <v>0</v>
      </c>
      <c r="V19" s="169">
        <f t="shared" si="9"/>
        <v>93732</v>
      </c>
      <c r="W19" s="169">
        <f t="shared" si="10"/>
        <v>0</v>
      </c>
      <c r="Y19" s="362" t="s">
        <v>450</v>
      </c>
      <c r="Z19" s="679" t="s">
        <v>142</v>
      </c>
      <c r="AA19" s="679" t="s">
        <v>447</v>
      </c>
      <c r="AB19" s="679" t="s">
        <v>447</v>
      </c>
      <c r="AC19" s="248">
        <v>5667935000</v>
      </c>
      <c r="AD19" s="248">
        <v>0</v>
      </c>
      <c r="AE19" s="248">
        <v>0</v>
      </c>
      <c r="AF19" s="367">
        <f t="shared" si="11"/>
        <v>5667935</v>
      </c>
      <c r="AG19" s="367">
        <f t="shared" si="12"/>
        <v>0</v>
      </c>
      <c r="AH19" s="367">
        <f t="shared" si="13"/>
        <v>0</v>
      </c>
      <c r="AK19" s="70"/>
      <c r="AL19" s="70"/>
      <c r="AM19" s="70"/>
      <c r="AO19" s="79"/>
      <c r="AR19" s="1432" t="s">
        <v>544</v>
      </c>
      <c r="AS19" s="1432" t="s">
        <v>545</v>
      </c>
      <c r="AT19" s="1432" t="s">
        <v>447</v>
      </c>
      <c r="AU19" s="1433" t="s">
        <v>447</v>
      </c>
      <c r="AV19" s="1434">
        <v>10000</v>
      </c>
      <c r="AW19" s="1434">
        <v>0</v>
      </c>
      <c r="AX19" s="1434">
        <v>0</v>
      </c>
      <c r="AY19" s="169">
        <f t="shared" si="15"/>
        <v>10</v>
      </c>
      <c r="AZ19" s="169">
        <f t="shared" si="16"/>
        <v>0</v>
      </c>
      <c r="BA19" s="169">
        <f t="shared" si="17"/>
        <v>0</v>
      </c>
      <c r="BK19" s="1463" t="s">
        <v>444</v>
      </c>
      <c r="BL19" s="1463" t="s">
        <v>468</v>
      </c>
      <c r="BM19" s="1463" t="s">
        <v>445</v>
      </c>
      <c r="BN19" s="1463" t="s">
        <v>277</v>
      </c>
      <c r="BO19" s="367">
        <v>0</v>
      </c>
      <c r="BP19" s="367">
        <v>202905603</v>
      </c>
      <c r="BQ19" s="367">
        <v>66535843</v>
      </c>
      <c r="BR19" s="1609">
        <f t="shared" si="19"/>
        <v>0</v>
      </c>
      <c r="BS19" s="1609">
        <f t="shared" si="20"/>
        <v>202905.603</v>
      </c>
      <c r="BT19" s="1609">
        <f t="shared" si="21"/>
        <v>66535.842999999993</v>
      </c>
    </row>
    <row r="20" spans="1:72" x14ac:dyDescent="0.35">
      <c r="A20" s="679" t="s">
        <v>949</v>
      </c>
      <c r="B20" s="679" t="s">
        <v>950</v>
      </c>
      <c r="C20" s="679" t="s">
        <v>447</v>
      </c>
      <c r="D20" s="679" t="s">
        <v>447</v>
      </c>
      <c r="E20" s="679" t="s">
        <v>547</v>
      </c>
      <c r="F20" s="716">
        <v>16643266000</v>
      </c>
      <c r="G20" s="716">
        <v>0</v>
      </c>
      <c r="H20" s="716">
        <v>0</v>
      </c>
      <c r="I20" s="918">
        <f t="shared" si="5"/>
        <v>16643266</v>
      </c>
      <c r="J20" s="918">
        <f t="shared" si="6"/>
        <v>0</v>
      </c>
      <c r="K20" s="918">
        <f t="shared" si="7"/>
        <v>0</v>
      </c>
      <c r="U20" s="169">
        <f t="shared" si="8"/>
        <v>0</v>
      </c>
      <c r="V20" s="169">
        <f t="shared" si="9"/>
        <v>0</v>
      </c>
      <c r="W20" s="169">
        <f>SUM(W3:W19)</f>
        <v>66296129.201000005</v>
      </c>
      <c r="Y20" s="362" t="s">
        <v>450</v>
      </c>
      <c r="Z20" s="679" t="s">
        <v>142</v>
      </c>
      <c r="AA20" s="679" t="s">
        <v>447</v>
      </c>
      <c r="AB20" s="679" t="s">
        <v>447</v>
      </c>
      <c r="AC20" s="248">
        <v>0</v>
      </c>
      <c r="AD20" s="248">
        <v>322320961</v>
      </c>
      <c r="AE20" s="248">
        <v>322320961</v>
      </c>
      <c r="AF20" s="367">
        <f t="shared" si="11"/>
        <v>0</v>
      </c>
      <c r="AG20" s="367">
        <f t="shared" si="12"/>
        <v>322320.96100000001</v>
      </c>
      <c r="AH20" s="367">
        <f t="shared" si="13"/>
        <v>322320.96100000001</v>
      </c>
      <c r="AR20" s="1432" t="s">
        <v>450</v>
      </c>
      <c r="AS20" s="1432" t="s">
        <v>142</v>
      </c>
      <c r="AT20" s="1432" t="s">
        <v>447</v>
      </c>
      <c r="AU20" s="1433" t="s">
        <v>447</v>
      </c>
      <c r="AV20" s="1434">
        <v>5667935000</v>
      </c>
      <c r="AW20" s="1434">
        <v>0</v>
      </c>
      <c r="AX20" s="1434">
        <v>0</v>
      </c>
      <c r="AY20" s="169">
        <f t="shared" si="15"/>
        <v>5667935</v>
      </c>
      <c r="AZ20" s="169">
        <f t="shared" si="16"/>
        <v>0</v>
      </c>
      <c r="BA20" s="169">
        <f t="shared" si="17"/>
        <v>0</v>
      </c>
      <c r="BK20" s="1463" t="s">
        <v>544</v>
      </c>
      <c r="BL20" s="1463" t="s">
        <v>545</v>
      </c>
      <c r="BM20" s="1463" t="s">
        <v>447</v>
      </c>
      <c r="BN20" s="1463" t="s">
        <v>447</v>
      </c>
      <c r="BO20" s="367">
        <v>10000</v>
      </c>
      <c r="BP20" s="367">
        <v>0</v>
      </c>
      <c r="BQ20" s="367">
        <v>0</v>
      </c>
      <c r="BR20" s="1609">
        <f t="shared" si="19"/>
        <v>10</v>
      </c>
      <c r="BS20" s="1609">
        <f t="shared" si="20"/>
        <v>0</v>
      </c>
      <c r="BT20" s="1609">
        <f t="shared" si="21"/>
        <v>0</v>
      </c>
    </row>
    <row r="21" spans="1:72" x14ac:dyDescent="0.35">
      <c r="A21" s="679" t="s">
        <v>949</v>
      </c>
      <c r="B21" s="679" t="s">
        <v>950</v>
      </c>
      <c r="C21" s="679" t="s">
        <v>447</v>
      </c>
      <c r="D21" s="679" t="s">
        <v>447</v>
      </c>
      <c r="E21" s="679" t="s">
        <v>547</v>
      </c>
      <c r="F21" s="716">
        <v>0</v>
      </c>
      <c r="G21" s="716">
        <v>9611191441</v>
      </c>
      <c r="H21" s="716">
        <v>4778120491</v>
      </c>
      <c r="I21" s="918">
        <f t="shared" si="5"/>
        <v>0</v>
      </c>
      <c r="J21" s="918">
        <f t="shared" si="6"/>
        <v>9611191.4409999996</v>
      </c>
      <c r="K21" s="918">
        <f t="shared" si="7"/>
        <v>4778120.4910000004</v>
      </c>
      <c r="Y21" s="362" t="s">
        <v>945</v>
      </c>
      <c r="Z21" s="679" t="s">
        <v>946</v>
      </c>
      <c r="AA21" s="679" t="s">
        <v>447</v>
      </c>
      <c r="AB21" s="679" t="s">
        <v>447</v>
      </c>
      <c r="AC21" s="248">
        <v>42112712000</v>
      </c>
      <c r="AD21" s="248">
        <v>0</v>
      </c>
      <c r="AE21" s="248">
        <v>0</v>
      </c>
      <c r="AF21" s="367">
        <f t="shared" si="11"/>
        <v>42112712</v>
      </c>
      <c r="AG21" s="367">
        <f t="shared" si="12"/>
        <v>0</v>
      </c>
      <c r="AH21" s="367">
        <f t="shared" si="13"/>
        <v>0</v>
      </c>
      <c r="AO21" s="49"/>
      <c r="AR21" s="1432" t="s">
        <v>450</v>
      </c>
      <c r="AS21" s="1432" t="s">
        <v>142</v>
      </c>
      <c r="AT21" s="1432" t="s">
        <v>447</v>
      </c>
      <c r="AU21" s="1433" t="s">
        <v>447</v>
      </c>
      <c r="AV21" s="1434">
        <v>0</v>
      </c>
      <c r="AW21" s="1434">
        <v>322320961</v>
      </c>
      <c r="AX21" s="1434">
        <v>322320961</v>
      </c>
      <c r="AY21" s="169">
        <f t="shared" si="15"/>
        <v>0</v>
      </c>
      <c r="AZ21" s="169">
        <f t="shared" si="16"/>
        <v>322320.96100000001</v>
      </c>
      <c r="BA21" s="169">
        <f t="shared" si="17"/>
        <v>322320.96100000001</v>
      </c>
      <c r="BK21" s="1463" t="s">
        <v>450</v>
      </c>
      <c r="BL21" s="1463" t="s">
        <v>142</v>
      </c>
      <c r="BM21" s="1463" t="s">
        <v>447</v>
      </c>
      <c r="BN21" s="1463" t="s">
        <v>447</v>
      </c>
      <c r="BO21" s="367">
        <v>5667935000</v>
      </c>
      <c r="BP21" s="367">
        <v>0</v>
      </c>
      <c r="BQ21" s="367">
        <v>0</v>
      </c>
      <c r="BR21" s="1609">
        <f t="shared" si="19"/>
        <v>5667935</v>
      </c>
      <c r="BS21" s="1609">
        <f t="shared" si="20"/>
        <v>0</v>
      </c>
      <c r="BT21" s="1609">
        <f t="shared" si="21"/>
        <v>0</v>
      </c>
    </row>
    <row r="22" spans="1:72" x14ac:dyDescent="0.35">
      <c r="A22" s="679" t="s">
        <v>951</v>
      </c>
      <c r="B22" s="679" t="s">
        <v>952</v>
      </c>
      <c r="C22" s="679" t="s">
        <v>447</v>
      </c>
      <c r="D22" s="679" t="s">
        <v>447</v>
      </c>
      <c r="E22" s="679" t="s">
        <v>547</v>
      </c>
      <c r="F22" s="716">
        <v>5000000000</v>
      </c>
      <c r="G22" s="716">
        <v>0</v>
      </c>
      <c r="H22" s="716">
        <v>0</v>
      </c>
      <c r="I22" s="918">
        <f t="shared" si="5"/>
        <v>5000000</v>
      </c>
      <c r="J22" s="918">
        <f t="shared" si="6"/>
        <v>0</v>
      </c>
      <c r="K22" s="918">
        <f t="shared" si="7"/>
        <v>0</v>
      </c>
      <c r="Y22" s="362" t="s">
        <v>947</v>
      </c>
      <c r="Z22" s="679" t="s">
        <v>948</v>
      </c>
      <c r="AA22" s="679" t="s">
        <v>447</v>
      </c>
      <c r="AB22" s="679" t="s">
        <v>447</v>
      </c>
      <c r="AC22" s="248">
        <v>26521300000</v>
      </c>
      <c r="AD22" s="248">
        <v>0</v>
      </c>
      <c r="AE22" s="248">
        <v>0</v>
      </c>
      <c r="AF22" s="367">
        <f t="shared" si="11"/>
        <v>26521300</v>
      </c>
      <c r="AG22" s="367">
        <f t="shared" si="12"/>
        <v>0</v>
      </c>
      <c r="AH22" s="367">
        <f t="shared" si="13"/>
        <v>0</v>
      </c>
      <c r="AR22" s="1432" t="s">
        <v>945</v>
      </c>
      <c r="AS22" s="1432" t="s">
        <v>946</v>
      </c>
      <c r="AT22" s="1432" t="s">
        <v>447</v>
      </c>
      <c r="AU22" s="1433" t="s">
        <v>447</v>
      </c>
      <c r="AV22" s="1434">
        <v>42112712000</v>
      </c>
      <c r="AW22" s="1434">
        <v>0</v>
      </c>
      <c r="AX22" s="1434">
        <v>0</v>
      </c>
      <c r="AY22" s="169">
        <f t="shared" si="15"/>
        <v>42112712</v>
      </c>
      <c r="AZ22" s="169">
        <f t="shared" si="16"/>
        <v>0</v>
      </c>
      <c r="BA22" s="169">
        <f t="shared" si="17"/>
        <v>0</v>
      </c>
      <c r="BK22" s="1463" t="s">
        <v>450</v>
      </c>
      <c r="BL22" s="1463" t="s">
        <v>142</v>
      </c>
      <c r="BM22" s="1463" t="s">
        <v>447</v>
      </c>
      <c r="BN22" s="1463" t="s">
        <v>447</v>
      </c>
      <c r="BO22" s="367">
        <v>0</v>
      </c>
      <c r="BP22" s="367">
        <v>322320961</v>
      </c>
      <c r="BQ22" s="367">
        <v>322320961</v>
      </c>
      <c r="BR22" s="1609">
        <f t="shared" si="19"/>
        <v>0</v>
      </c>
      <c r="BS22" s="1609">
        <f t="shared" si="20"/>
        <v>322320.96100000001</v>
      </c>
      <c r="BT22" s="1609">
        <f t="shared" si="21"/>
        <v>322320.96100000001</v>
      </c>
    </row>
    <row r="23" spans="1:72" x14ac:dyDescent="0.35">
      <c r="A23" s="679" t="s">
        <v>953</v>
      </c>
      <c r="B23" s="679" t="s">
        <v>954</v>
      </c>
      <c r="C23" s="679" t="s">
        <v>447</v>
      </c>
      <c r="D23" s="679" t="s">
        <v>447</v>
      </c>
      <c r="E23" s="679" t="s">
        <v>547</v>
      </c>
      <c r="F23" s="716">
        <v>5736407000</v>
      </c>
      <c r="G23" s="716">
        <v>0</v>
      </c>
      <c r="H23" s="716">
        <v>0</v>
      </c>
      <c r="I23" s="918">
        <f t="shared" si="5"/>
        <v>5736407</v>
      </c>
      <c r="J23" s="918">
        <f t="shared" si="6"/>
        <v>0</v>
      </c>
      <c r="K23" s="918">
        <f t="shared" si="7"/>
        <v>0</v>
      </c>
      <c r="Y23" s="362" t="s">
        <v>947</v>
      </c>
      <c r="Z23" s="679" t="s">
        <v>948</v>
      </c>
      <c r="AA23" s="679" t="s">
        <v>447</v>
      </c>
      <c r="AB23" s="679" t="s">
        <v>447</v>
      </c>
      <c r="AC23" s="248">
        <v>0</v>
      </c>
      <c r="AD23" s="248">
        <v>4926432806</v>
      </c>
      <c r="AE23" s="248">
        <v>3511043127</v>
      </c>
      <c r="AF23" s="367">
        <f t="shared" si="11"/>
        <v>0</v>
      </c>
      <c r="AG23" s="367">
        <f t="shared" si="12"/>
        <v>4926432.8059999999</v>
      </c>
      <c r="AH23" s="367">
        <f t="shared" si="13"/>
        <v>3511043.1269999999</v>
      </c>
      <c r="AR23" s="1432" t="s">
        <v>947</v>
      </c>
      <c r="AS23" s="1432" t="s">
        <v>948</v>
      </c>
      <c r="AT23" s="1432" t="s">
        <v>447</v>
      </c>
      <c r="AU23" s="1433" t="s">
        <v>447</v>
      </c>
      <c r="AV23" s="1434">
        <v>26521300000</v>
      </c>
      <c r="AW23" s="1434">
        <v>0</v>
      </c>
      <c r="AX23" s="1434">
        <v>0</v>
      </c>
      <c r="AY23" s="169">
        <f t="shared" si="15"/>
        <v>26521300</v>
      </c>
      <c r="AZ23" s="169">
        <f t="shared" si="16"/>
        <v>0</v>
      </c>
      <c r="BA23" s="169">
        <f t="shared" si="17"/>
        <v>0</v>
      </c>
      <c r="BK23" s="1463" t="s">
        <v>945</v>
      </c>
      <c r="BL23" s="1463" t="s">
        <v>946</v>
      </c>
      <c r="BM23" s="1463" t="s">
        <v>447</v>
      </c>
      <c r="BN23" s="1463" t="s">
        <v>447</v>
      </c>
      <c r="BO23" s="367">
        <v>42112712000</v>
      </c>
      <c r="BP23" s="367">
        <v>0</v>
      </c>
      <c r="BQ23" s="367">
        <v>0</v>
      </c>
      <c r="BR23" s="1609">
        <f t="shared" si="19"/>
        <v>42112712</v>
      </c>
      <c r="BS23" s="1609">
        <f t="shared" si="20"/>
        <v>0</v>
      </c>
      <c r="BT23" s="1609">
        <f t="shared" si="21"/>
        <v>0</v>
      </c>
    </row>
    <row r="24" spans="1:72" x14ac:dyDescent="0.35">
      <c r="A24" s="679" t="s">
        <v>953</v>
      </c>
      <c r="B24" s="679" t="s">
        <v>954</v>
      </c>
      <c r="C24" s="679" t="s">
        <v>447</v>
      </c>
      <c r="D24" s="679" t="s">
        <v>447</v>
      </c>
      <c r="E24" s="679" t="s">
        <v>547</v>
      </c>
      <c r="F24" s="716">
        <v>0</v>
      </c>
      <c r="G24" s="716">
        <v>53816666</v>
      </c>
      <c r="H24" s="716">
        <v>53816666</v>
      </c>
      <c r="I24" s="918">
        <f t="shared" si="5"/>
        <v>0</v>
      </c>
      <c r="J24" s="918">
        <f t="shared" si="6"/>
        <v>53816.665999999997</v>
      </c>
      <c r="K24" s="918">
        <f t="shared" si="7"/>
        <v>53816.665999999997</v>
      </c>
      <c r="Y24" s="362" t="s">
        <v>949</v>
      </c>
      <c r="Z24" s="679" t="s">
        <v>950</v>
      </c>
      <c r="AA24" s="679" t="s">
        <v>447</v>
      </c>
      <c r="AB24" s="679" t="s">
        <v>447</v>
      </c>
      <c r="AC24" s="248">
        <v>16643266000</v>
      </c>
      <c r="AD24" s="248">
        <v>0</v>
      </c>
      <c r="AE24" s="248">
        <v>0</v>
      </c>
      <c r="AF24" s="367">
        <f t="shared" si="11"/>
        <v>16643266</v>
      </c>
      <c r="AG24" s="367">
        <f t="shared" si="12"/>
        <v>0</v>
      </c>
      <c r="AH24" s="367">
        <f t="shared" si="13"/>
        <v>0</v>
      </c>
      <c r="AR24" s="1432" t="s">
        <v>947</v>
      </c>
      <c r="AS24" s="1432" t="s">
        <v>948</v>
      </c>
      <c r="AT24" s="1432" t="s">
        <v>447</v>
      </c>
      <c r="AU24" s="1433" t="s">
        <v>447</v>
      </c>
      <c r="AV24" s="1434">
        <v>0</v>
      </c>
      <c r="AW24" s="1434">
        <v>7051380880</v>
      </c>
      <c r="AX24" s="1434">
        <v>6102580287</v>
      </c>
      <c r="AY24" s="169">
        <f t="shared" si="15"/>
        <v>0</v>
      </c>
      <c r="AZ24" s="169">
        <f t="shared" si="16"/>
        <v>7051380.8799999999</v>
      </c>
      <c r="BA24" s="169">
        <f t="shared" si="17"/>
        <v>6102580.2869999995</v>
      </c>
      <c r="BK24" s="1463" t="s">
        <v>945</v>
      </c>
      <c r="BL24" s="1463" t="s">
        <v>946</v>
      </c>
      <c r="BM24" s="1463" t="s">
        <v>447</v>
      </c>
      <c r="BN24" s="1463" t="s">
        <v>447</v>
      </c>
      <c r="BO24" s="367">
        <v>0</v>
      </c>
      <c r="BP24" s="367">
        <v>70000000</v>
      </c>
      <c r="BQ24" s="367">
        <v>0</v>
      </c>
      <c r="BR24" s="1609">
        <f t="shared" si="19"/>
        <v>0</v>
      </c>
      <c r="BS24" s="1609">
        <f t="shared" si="20"/>
        <v>70000</v>
      </c>
      <c r="BT24" s="1609">
        <f>+BQ24/$BR$1*$BT$1</f>
        <v>0</v>
      </c>
    </row>
    <row r="25" spans="1:72" x14ac:dyDescent="0.35">
      <c r="A25" s="679" t="s">
        <v>955</v>
      </c>
      <c r="B25" s="679" t="s">
        <v>956</v>
      </c>
      <c r="C25" s="679" t="s">
        <v>447</v>
      </c>
      <c r="D25" s="679" t="s">
        <v>447</v>
      </c>
      <c r="E25" s="679" t="s">
        <v>547</v>
      </c>
      <c r="F25" s="716">
        <v>7925135000</v>
      </c>
      <c r="G25" s="716">
        <v>0</v>
      </c>
      <c r="H25" s="716">
        <v>0</v>
      </c>
      <c r="I25" s="918">
        <f t="shared" si="5"/>
        <v>7925135</v>
      </c>
      <c r="J25" s="918">
        <f t="shared" si="6"/>
        <v>0</v>
      </c>
      <c r="K25" s="918">
        <f t="shared" si="7"/>
        <v>0</v>
      </c>
      <c r="Y25" s="362" t="s">
        <v>949</v>
      </c>
      <c r="Z25" s="679" t="s">
        <v>950</v>
      </c>
      <c r="AA25" s="679" t="s">
        <v>447</v>
      </c>
      <c r="AB25" s="679" t="s">
        <v>447</v>
      </c>
      <c r="AC25" s="248">
        <v>0</v>
      </c>
      <c r="AD25" s="248">
        <v>9611191441</v>
      </c>
      <c r="AE25" s="248">
        <v>4809030147</v>
      </c>
      <c r="AF25" s="367">
        <f t="shared" si="11"/>
        <v>0</v>
      </c>
      <c r="AG25" s="367">
        <f t="shared" si="12"/>
        <v>9611191.4409999996</v>
      </c>
      <c r="AH25" s="367">
        <f t="shared" si="13"/>
        <v>4809030.1469999999</v>
      </c>
      <c r="AR25" s="1432" t="s">
        <v>949</v>
      </c>
      <c r="AS25" s="1432" t="s">
        <v>950</v>
      </c>
      <c r="AT25" s="1432" t="s">
        <v>447</v>
      </c>
      <c r="AU25" s="1433" t="s">
        <v>447</v>
      </c>
      <c r="AV25" s="1434">
        <v>16643266000</v>
      </c>
      <c r="AW25" s="1434">
        <v>0</v>
      </c>
      <c r="AX25" s="1434">
        <v>0</v>
      </c>
      <c r="AY25" s="169">
        <f t="shared" si="15"/>
        <v>16643266</v>
      </c>
      <c r="AZ25" s="169">
        <f t="shared" si="16"/>
        <v>0</v>
      </c>
      <c r="BA25" s="169">
        <f t="shared" si="17"/>
        <v>0</v>
      </c>
      <c r="BK25" s="1463" t="s">
        <v>947</v>
      </c>
      <c r="BL25" s="1463" t="s">
        <v>948</v>
      </c>
      <c r="BM25" s="1463" t="s">
        <v>447</v>
      </c>
      <c r="BN25" s="1463" t="s">
        <v>447</v>
      </c>
      <c r="BO25" s="367">
        <v>26521300000</v>
      </c>
      <c r="BP25" s="367">
        <v>0</v>
      </c>
      <c r="BQ25" s="367">
        <v>0</v>
      </c>
      <c r="BR25" s="1609">
        <f t="shared" si="19"/>
        <v>26521300</v>
      </c>
      <c r="BS25" s="1609">
        <f t="shared" si="20"/>
        <v>0</v>
      </c>
      <c r="BT25" s="1609">
        <f t="shared" si="21"/>
        <v>0</v>
      </c>
    </row>
    <row r="26" spans="1:72" x14ac:dyDescent="0.35">
      <c r="A26" s="679" t="s">
        <v>957</v>
      </c>
      <c r="B26" s="679" t="s">
        <v>958</v>
      </c>
      <c r="C26" s="679" t="s">
        <v>447</v>
      </c>
      <c r="D26" s="679" t="s">
        <v>447</v>
      </c>
      <c r="E26" s="679" t="s">
        <v>547</v>
      </c>
      <c r="F26" s="716">
        <v>1946254000</v>
      </c>
      <c r="G26" s="716">
        <v>0</v>
      </c>
      <c r="H26" s="716">
        <v>0</v>
      </c>
      <c r="I26" s="918">
        <f t="shared" si="5"/>
        <v>1946254</v>
      </c>
      <c r="J26" s="918">
        <f t="shared" si="6"/>
        <v>0</v>
      </c>
      <c r="K26" s="918">
        <f t="shared" si="7"/>
        <v>0</v>
      </c>
      <c r="Y26" s="362" t="s">
        <v>951</v>
      </c>
      <c r="Z26" s="679" t="s">
        <v>952</v>
      </c>
      <c r="AA26" s="679" t="s">
        <v>447</v>
      </c>
      <c r="AB26" s="679" t="s">
        <v>447</v>
      </c>
      <c r="AC26" s="248">
        <v>5000000000</v>
      </c>
      <c r="AD26" s="248">
        <v>0</v>
      </c>
      <c r="AE26" s="248">
        <v>0</v>
      </c>
      <c r="AF26" s="367">
        <f t="shared" si="11"/>
        <v>5000000</v>
      </c>
      <c r="AG26" s="367">
        <f t="shared" si="12"/>
        <v>0</v>
      </c>
      <c r="AH26" s="367">
        <f t="shared" si="13"/>
        <v>0</v>
      </c>
      <c r="AR26" s="1432" t="s">
        <v>949</v>
      </c>
      <c r="AS26" s="1432" t="s">
        <v>950</v>
      </c>
      <c r="AT26" s="1432" t="s">
        <v>447</v>
      </c>
      <c r="AU26" s="1433" t="s">
        <v>447</v>
      </c>
      <c r="AV26" s="1434">
        <v>0</v>
      </c>
      <c r="AW26" s="1434">
        <v>9611191441</v>
      </c>
      <c r="AX26" s="1434">
        <v>4809030147</v>
      </c>
      <c r="AY26" s="169">
        <f t="shared" si="15"/>
        <v>0</v>
      </c>
      <c r="AZ26" s="169">
        <f t="shared" si="16"/>
        <v>9611191.4409999996</v>
      </c>
      <c r="BA26" s="169">
        <f t="shared" si="17"/>
        <v>4809030.1469999999</v>
      </c>
      <c r="BK26" s="1463" t="s">
        <v>947</v>
      </c>
      <c r="BL26" s="1463" t="s">
        <v>948</v>
      </c>
      <c r="BM26" s="1463" t="s">
        <v>447</v>
      </c>
      <c r="BN26" s="1463" t="s">
        <v>447</v>
      </c>
      <c r="BO26" s="367">
        <v>0</v>
      </c>
      <c r="BP26" s="367">
        <v>10138072433</v>
      </c>
      <c r="BQ26" s="367">
        <v>8149438056</v>
      </c>
      <c r="BR26" s="1609">
        <f t="shared" si="19"/>
        <v>0</v>
      </c>
      <c r="BS26" s="1609">
        <f t="shared" si="20"/>
        <v>10138072.433</v>
      </c>
      <c r="BT26" s="1609">
        <f t="shared" si="21"/>
        <v>8149438.0559999999</v>
      </c>
    </row>
    <row r="27" spans="1:72" x14ac:dyDescent="0.35">
      <c r="A27" s="679" t="s">
        <v>959</v>
      </c>
      <c r="B27" s="679" t="s">
        <v>960</v>
      </c>
      <c r="C27" s="679" t="s">
        <v>447</v>
      </c>
      <c r="D27" s="679" t="s">
        <v>447</v>
      </c>
      <c r="E27" s="679" t="s">
        <v>547</v>
      </c>
      <c r="F27" s="716">
        <v>2260410000</v>
      </c>
      <c r="G27" s="716">
        <v>0</v>
      </c>
      <c r="H27" s="716">
        <v>0</v>
      </c>
      <c r="I27" s="918">
        <f t="shared" si="5"/>
        <v>2260410</v>
      </c>
      <c r="J27" s="918">
        <f t="shared" si="6"/>
        <v>0</v>
      </c>
      <c r="K27" s="918">
        <f t="shared" si="7"/>
        <v>0</v>
      </c>
      <c r="Y27" s="362" t="s">
        <v>951</v>
      </c>
      <c r="Z27" s="679" t="s">
        <v>952</v>
      </c>
      <c r="AA27" s="679" t="s">
        <v>447</v>
      </c>
      <c r="AB27" s="679" t="s">
        <v>447</v>
      </c>
      <c r="AC27" s="248">
        <v>0</v>
      </c>
      <c r="AD27" s="248">
        <v>1325893147</v>
      </c>
      <c r="AE27" s="248">
        <v>595034170</v>
      </c>
      <c r="AF27" s="367">
        <f t="shared" si="11"/>
        <v>0</v>
      </c>
      <c r="AG27" s="367">
        <f t="shared" si="12"/>
        <v>1325893.1470000001</v>
      </c>
      <c r="AH27" s="367">
        <f t="shared" si="13"/>
        <v>595034.17000000004</v>
      </c>
      <c r="AR27" s="1432" t="s">
        <v>951</v>
      </c>
      <c r="AS27" s="1432" t="s">
        <v>952</v>
      </c>
      <c r="AT27" s="1432" t="s">
        <v>447</v>
      </c>
      <c r="AU27" s="1433" t="s">
        <v>447</v>
      </c>
      <c r="AV27" s="1434">
        <v>5000000000</v>
      </c>
      <c r="AW27" s="1434">
        <v>0</v>
      </c>
      <c r="AX27" s="1434">
        <v>0</v>
      </c>
      <c r="AY27" s="169">
        <f t="shared" si="15"/>
        <v>5000000</v>
      </c>
      <c r="AZ27" s="169">
        <f t="shared" si="16"/>
        <v>0</v>
      </c>
      <c r="BA27" s="169">
        <f t="shared" si="17"/>
        <v>0</v>
      </c>
      <c r="BK27" s="1463" t="s">
        <v>949</v>
      </c>
      <c r="BL27" s="1463" t="s">
        <v>950</v>
      </c>
      <c r="BM27" s="1463" t="s">
        <v>447</v>
      </c>
      <c r="BN27" s="1463" t="s">
        <v>447</v>
      </c>
      <c r="BO27" s="367">
        <v>16643266000</v>
      </c>
      <c r="BP27" s="367">
        <v>0</v>
      </c>
      <c r="BQ27" s="367">
        <v>0</v>
      </c>
      <c r="BR27" s="1609">
        <f t="shared" si="19"/>
        <v>16643266</v>
      </c>
      <c r="BS27" s="1609">
        <f t="shared" si="20"/>
        <v>0</v>
      </c>
      <c r="BT27" s="1609">
        <f t="shared" si="21"/>
        <v>0</v>
      </c>
    </row>
    <row r="28" spans="1:72" x14ac:dyDescent="0.35">
      <c r="A28" s="679" t="s">
        <v>961</v>
      </c>
      <c r="B28" s="679" t="s">
        <v>962</v>
      </c>
      <c r="C28" s="679" t="s">
        <v>447</v>
      </c>
      <c r="D28" s="679" t="s">
        <v>447</v>
      </c>
      <c r="E28" s="679" t="s">
        <v>547</v>
      </c>
      <c r="F28" s="716">
        <v>21256852000</v>
      </c>
      <c r="G28" s="716">
        <v>0</v>
      </c>
      <c r="H28" s="716">
        <v>0</v>
      </c>
      <c r="I28" s="918">
        <f t="shared" si="5"/>
        <v>21256852</v>
      </c>
      <c r="J28" s="918">
        <f t="shared" si="6"/>
        <v>0</v>
      </c>
      <c r="K28" s="918">
        <f t="shared" si="7"/>
        <v>0</v>
      </c>
      <c r="Y28" s="362" t="s">
        <v>953</v>
      </c>
      <c r="Z28" s="679" t="s">
        <v>954</v>
      </c>
      <c r="AA28" s="679" t="s">
        <v>447</v>
      </c>
      <c r="AB28" s="679" t="s">
        <v>447</v>
      </c>
      <c r="AC28" s="248">
        <v>5736407000</v>
      </c>
      <c r="AD28" s="248">
        <v>0</v>
      </c>
      <c r="AE28" s="248">
        <v>0</v>
      </c>
      <c r="AF28" s="367">
        <f t="shared" si="11"/>
        <v>5736407</v>
      </c>
      <c r="AG28" s="367">
        <f t="shared" si="12"/>
        <v>0</v>
      </c>
      <c r="AH28" s="367">
        <f t="shared" si="13"/>
        <v>0</v>
      </c>
      <c r="AR28" s="1432" t="s">
        <v>951</v>
      </c>
      <c r="AS28" s="1432" t="s">
        <v>952</v>
      </c>
      <c r="AT28" s="1432" t="s">
        <v>447</v>
      </c>
      <c r="AU28" s="1433" t="s">
        <v>447</v>
      </c>
      <c r="AV28" s="1434">
        <v>0</v>
      </c>
      <c r="AW28" s="1434">
        <v>1526728973</v>
      </c>
      <c r="AX28" s="1434">
        <v>1452369446</v>
      </c>
      <c r="AY28" s="169">
        <f t="shared" si="15"/>
        <v>0</v>
      </c>
      <c r="AZ28" s="169">
        <f t="shared" si="16"/>
        <v>1526728.973</v>
      </c>
      <c r="BA28" s="169">
        <f t="shared" si="17"/>
        <v>1452369.446</v>
      </c>
      <c r="BK28" s="1463" t="s">
        <v>949</v>
      </c>
      <c r="BL28" s="1463" t="s">
        <v>950</v>
      </c>
      <c r="BM28" s="1463" t="s">
        <v>447</v>
      </c>
      <c r="BN28" s="1463" t="s">
        <v>447</v>
      </c>
      <c r="BO28" s="367">
        <v>0</v>
      </c>
      <c r="BP28" s="367">
        <v>9611191441</v>
      </c>
      <c r="BQ28" s="367">
        <v>7068858796</v>
      </c>
      <c r="BR28" s="1609">
        <f t="shared" si="19"/>
        <v>0</v>
      </c>
      <c r="BS28" s="1609">
        <f t="shared" si="20"/>
        <v>9611191.4409999996</v>
      </c>
      <c r="BT28" s="1609">
        <f t="shared" si="21"/>
        <v>7068858.7960000001</v>
      </c>
    </row>
    <row r="29" spans="1:72" x14ac:dyDescent="0.35">
      <c r="A29" s="679" t="s">
        <v>963</v>
      </c>
      <c r="B29" s="679" t="s">
        <v>964</v>
      </c>
      <c r="C29" s="679" t="s">
        <v>447</v>
      </c>
      <c r="D29" s="679" t="s">
        <v>447</v>
      </c>
      <c r="E29" s="679" t="s">
        <v>547</v>
      </c>
      <c r="F29" s="716">
        <v>17487115000</v>
      </c>
      <c r="G29" s="716">
        <v>0</v>
      </c>
      <c r="H29" s="716">
        <v>0</v>
      </c>
      <c r="I29" s="918">
        <f t="shared" si="5"/>
        <v>17487115</v>
      </c>
      <c r="J29" s="918">
        <f t="shared" si="6"/>
        <v>0</v>
      </c>
      <c r="K29" s="918">
        <f t="shared" si="7"/>
        <v>0</v>
      </c>
      <c r="Y29" s="362" t="s">
        <v>953</v>
      </c>
      <c r="Z29" s="679" t="s">
        <v>954</v>
      </c>
      <c r="AA29" s="679" t="s">
        <v>447</v>
      </c>
      <c r="AB29" s="679" t="s">
        <v>447</v>
      </c>
      <c r="AC29" s="248">
        <v>0</v>
      </c>
      <c r="AD29" s="248">
        <v>2141245542</v>
      </c>
      <c r="AE29" s="248">
        <v>1988720535</v>
      </c>
      <c r="AF29" s="367">
        <f t="shared" si="11"/>
        <v>0</v>
      </c>
      <c r="AG29" s="367">
        <f t="shared" si="12"/>
        <v>2141245.5419999999</v>
      </c>
      <c r="AH29" s="367">
        <f t="shared" si="13"/>
        <v>1988720.5349999999</v>
      </c>
      <c r="AR29" s="1432" t="s">
        <v>953</v>
      </c>
      <c r="AS29" s="1432" t="s">
        <v>954</v>
      </c>
      <c r="AT29" s="1432" t="s">
        <v>447</v>
      </c>
      <c r="AU29" s="1433" t="s">
        <v>447</v>
      </c>
      <c r="AV29" s="1434">
        <v>5736407000</v>
      </c>
      <c r="AW29" s="1434">
        <v>0</v>
      </c>
      <c r="AX29" s="1434">
        <v>0</v>
      </c>
      <c r="AY29" s="169">
        <f t="shared" si="15"/>
        <v>5736407</v>
      </c>
      <c r="AZ29" s="169">
        <f t="shared" si="16"/>
        <v>0</v>
      </c>
      <c r="BA29" s="169">
        <f t="shared" si="17"/>
        <v>0</v>
      </c>
      <c r="BK29" s="1463" t="s">
        <v>951</v>
      </c>
      <c r="BL29" s="1463" t="s">
        <v>952</v>
      </c>
      <c r="BM29" s="1463" t="s">
        <v>447</v>
      </c>
      <c r="BN29" s="1463" t="s">
        <v>447</v>
      </c>
      <c r="BO29" s="367">
        <v>5000000000</v>
      </c>
      <c r="BP29" s="367">
        <v>0</v>
      </c>
      <c r="BQ29" s="367">
        <v>0</v>
      </c>
      <c r="BR29" s="1609">
        <f t="shared" si="19"/>
        <v>5000000</v>
      </c>
      <c r="BS29" s="1609">
        <f t="shared" si="20"/>
        <v>0</v>
      </c>
      <c r="BT29" s="1609">
        <f t="shared" si="21"/>
        <v>0</v>
      </c>
    </row>
    <row r="30" spans="1:72" x14ac:dyDescent="0.35">
      <c r="A30" s="679" t="s">
        <v>963</v>
      </c>
      <c r="B30" s="679" t="s">
        <v>964</v>
      </c>
      <c r="C30" s="679" t="s">
        <v>447</v>
      </c>
      <c r="D30" s="679" t="s">
        <v>447</v>
      </c>
      <c r="E30" s="679" t="s">
        <v>547</v>
      </c>
      <c r="F30" s="716">
        <v>0</v>
      </c>
      <c r="G30" s="716">
        <v>123539428</v>
      </c>
      <c r="H30" s="716">
        <v>123539428</v>
      </c>
      <c r="I30" s="918">
        <f t="shared" si="5"/>
        <v>0</v>
      </c>
      <c r="J30" s="918">
        <f t="shared" si="6"/>
        <v>123539.428</v>
      </c>
      <c r="K30" s="918">
        <f t="shared" si="7"/>
        <v>123539.428</v>
      </c>
      <c r="Y30" s="362" t="s">
        <v>955</v>
      </c>
      <c r="Z30" s="679" t="s">
        <v>956</v>
      </c>
      <c r="AA30" s="679" t="s">
        <v>447</v>
      </c>
      <c r="AB30" s="679" t="s">
        <v>447</v>
      </c>
      <c r="AC30" s="248">
        <v>7925135000</v>
      </c>
      <c r="AD30" s="248">
        <v>0</v>
      </c>
      <c r="AE30" s="248">
        <v>0</v>
      </c>
      <c r="AF30" s="367">
        <f t="shared" si="11"/>
        <v>7925135</v>
      </c>
      <c r="AG30" s="367">
        <f t="shared" si="12"/>
        <v>0</v>
      </c>
      <c r="AH30" s="367">
        <f t="shared" si="13"/>
        <v>0</v>
      </c>
      <c r="AR30" s="1432" t="s">
        <v>953</v>
      </c>
      <c r="AS30" s="1432" t="s">
        <v>954</v>
      </c>
      <c r="AT30" s="1432" t="s">
        <v>447</v>
      </c>
      <c r="AU30" s="1433" t="s">
        <v>447</v>
      </c>
      <c r="AV30" s="1434">
        <v>0</v>
      </c>
      <c r="AW30" s="1434">
        <v>2792642807</v>
      </c>
      <c r="AX30" s="1434">
        <v>2460442807</v>
      </c>
      <c r="AY30" s="169">
        <f t="shared" si="15"/>
        <v>0</v>
      </c>
      <c r="AZ30" s="169">
        <f t="shared" si="16"/>
        <v>2792642.807</v>
      </c>
      <c r="BA30" s="169">
        <f t="shared" si="17"/>
        <v>2460442.807</v>
      </c>
      <c r="BK30" s="1463" t="s">
        <v>951</v>
      </c>
      <c r="BL30" s="1463" t="s">
        <v>952</v>
      </c>
      <c r="BM30" s="1463" t="s">
        <v>447</v>
      </c>
      <c r="BN30" s="1463" t="s">
        <v>447</v>
      </c>
      <c r="BO30" s="367">
        <v>0</v>
      </c>
      <c r="BP30" s="367">
        <v>1749408971</v>
      </c>
      <c r="BQ30" s="367">
        <v>1676728971</v>
      </c>
      <c r="BR30" s="1609">
        <f t="shared" si="19"/>
        <v>0</v>
      </c>
      <c r="BS30" s="1609">
        <f t="shared" si="20"/>
        <v>1749408.9709999999</v>
      </c>
      <c r="BT30" s="1609">
        <f t="shared" si="21"/>
        <v>1676728.9709999999</v>
      </c>
    </row>
    <row r="31" spans="1:72" x14ac:dyDescent="0.35">
      <c r="A31" s="679" t="s">
        <v>965</v>
      </c>
      <c r="B31" s="679" t="s">
        <v>966</v>
      </c>
      <c r="C31" s="679" t="s">
        <v>447</v>
      </c>
      <c r="D31" s="679" t="s">
        <v>447</v>
      </c>
      <c r="E31" s="679" t="s">
        <v>547</v>
      </c>
      <c r="F31" s="716">
        <v>14656065000</v>
      </c>
      <c r="G31" s="716">
        <v>0</v>
      </c>
      <c r="H31" s="716">
        <v>0</v>
      </c>
      <c r="I31" s="918">
        <f t="shared" si="5"/>
        <v>14656065</v>
      </c>
      <c r="J31" s="918">
        <f t="shared" si="6"/>
        <v>0</v>
      </c>
      <c r="K31" s="918">
        <f t="shared" si="7"/>
        <v>0</v>
      </c>
      <c r="Y31" s="362" t="s">
        <v>955</v>
      </c>
      <c r="Z31" s="679" t="s">
        <v>956</v>
      </c>
      <c r="AA31" s="679" t="s">
        <v>447</v>
      </c>
      <c r="AB31" s="679" t="s">
        <v>447</v>
      </c>
      <c r="AC31" s="248">
        <v>0</v>
      </c>
      <c r="AD31" s="248">
        <v>3470113168</v>
      </c>
      <c r="AE31" s="248">
        <v>2201230694</v>
      </c>
      <c r="AF31" s="367">
        <f t="shared" si="11"/>
        <v>0</v>
      </c>
      <c r="AG31" s="367">
        <f t="shared" si="12"/>
        <v>3470113.1680000001</v>
      </c>
      <c r="AH31" s="367">
        <f t="shared" si="13"/>
        <v>2201230.6940000001</v>
      </c>
      <c r="AR31" s="1432" t="s">
        <v>955</v>
      </c>
      <c r="AS31" s="1432" t="s">
        <v>956</v>
      </c>
      <c r="AT31" s="1432" t="s">
        <v>447</v>
      </c>
      <c r="AU31" s="1433" t="s">
        <v>447</v>
      </c>
      <c r="AV31" s="1434">
        <v>7925135000</v>
      </c>
      <c r="AW31" s="1434">
        <v>0</v>
      </c>
      <c r="AX31" s="1434">
        <v>0</v>
      </c>
      <c r="AY31" s="169">
        <f t="shared" si="15"/>
        <v>7925135</v>
      </c>
      <c r="AZ31" s="169">
        <f t="shared" si="16"/>
        <v>0</v>
      </c>
      <c r="BA31" s="169">
        <f t="shared" si="17"/>
        <v>0</v>
      </c>
      <c r="BK31" s="1463" t="s">
        <v>953</v>
      </c>
      <c r="BL31" s="1463" t="s">
        <v>954</v>
      </c>
      <c r="BM31" s="1463" t="s">
        <v>447</v>
      </c>
      <c r="BN31" s="1463" t="s">
        <v>447</v>
      </c>
      <c r="BO31" s="367">
        <v>5736407000</v>
      </c>
      <c r="BP31" s="367">
        <v>0</v>
      </c>
      <c r="BQ31" s="367">
        <v>0</v>
      </c>
      <c r="BR31" s="1609">
        <f t="shared" si="19"/>
        <v>5736407</v>
      </c>
      <c r="BS31" s="1609">
        <f t="shared" si="20"/>
        <v>0</v>
      </c>
      <c r="BT31" s="1609">
        <f t="shared" si="21"/>
        <v>0</v>
      </c>
    </row>
    <row r="32" spans="1:72" x14ac:dyDescent="0.35">
      <c r="A32" s="679" t="s">
        <v>448</v>
      </c>
      <c r="B32" s="679" t="s">
        <v>469</v>
      </c>
      <c r="C32" s="679" t="s">
        <v>447</v>
      </c>
      <c r="D32" s="679" t="s">
        <v>447</v>
      </c>
      <c r="E32" s="679" t="s">
        <v>547</v>
      </c>
      <c r="F32" s="716">
        <v>16934493000</v>
      </c>
      <c r="G32" s="716">
        <v>0</v>
      </c>
      <c r="H32" s="716">
        <v>0</v>
      </c>
      <c r="I32" s="918">
        <f t="shared" si="5"/>
        <v>16934493</v>
      </c>
      <c r="J32" s="918">
        <f t="shared" si="6"/>
        <v>0</v>
      </c>
      <c r="K32" s="918">
        <f t="shared" si="7"/>
        <v>0</v>
      </c>
      <c r="Y32" s="362" t="s">
        <v>957</v>
      </c>
      <c r="Z32" s="679" t="s">
        <v>958</v>
      </c>
      <c r="AA32" s="679" t="s">
        <v>447</v>
      </c>
      <c r="AB32" s="679" t="s">
        <v>447</v>
      </c>
      <c r="AC32" s="248">
        <v>1946254000</v>
      </c>
      <c r="AD32" s="248">
        <v>0</v>
      </c>
      <c r="AE32" s="248">
        <v>0</v>
      </c>
      <c r="AF32" s="367">
        <f t="shared" si="11"/>
        <v>1946254</v>
      </c>
      <c r="AG32" s="367">
        <f t="shared" si="12"/>
        <v>0</v>
      </c>
      <c r="AH32" s="367">
        <f t="shared" si="13"/>
        <v>0</v>
      </c>
      <c r="AR32" s="1432" t="s">
        <v>955</v>
      </c>
      <c r="AS32" s="1432" t="s">
        <v>956</v>
      </c>
      <c r="AT32" s="1432" t="s">
        <v>447</v>
      </c>
      <c r="AU32" s="1433" t="s">
        <v>447</v>
      </c>
      <c r="AV32" s="1434">
        <v>0</v>
      </c>
      <c r="AW32" s="1434">
        <v>3470113168</v>
      </c>
      <c r="AX32" s="1434">
        <v>3470113168</v>
      </c>
      <c r="AY32" s="169">
        <f t="shared" si="15"/>
        <v>0</v>
      </c>
      <c r="AZ32" s="169">
        <f t="shared" si="16"/>
        <v>3470113.1680000001</v>
      </c>
      <c r="BA32" s="169">
        <f t="shared" si="17"/>
        <v>3470113.1680000001</v>
      </c>
      <c r="BK32" s="1463" t="s">
        <v>953</v>
      </c>
      <c r="BL32" s="1463" t="s">
        <v>954</v>
      </c>
      <c r="BM32" s="1463" t="s">
        <v>447</v>
      </c>
      <c r="BN32" s="1463" t="s">
        <v>447</v>
      </c>
      <c r="BO32" s="367">
        <v>0</v>
      </c>
      <c r="BP32" s="367">
        <v>3955298048</v>
      </c>
      <c r="BQ32" s="367">
        <v>3560698048</v>
      </c>
      <c r="BR32" s="1609">
        <f t="shared" si="19"/>
        <v>0</v>
      </c>
      <c r="BS32" s="1609">
        <f t="shared" si="20"/>
        <v>3955298.048</v>
      </c>
      <c r="BT32" s="1609">
        <f t="shared" si="21"/>
        <v>3560698.048</v>
      </c>
    </row>
    <row r="33" spans="1:72" x14ac:dyDescent="0.35">
      <c r="A33" s="679" t="s">
        <v>451</v>
      </c>
      <c r="B33" s="679" t="s">
        <v>470</v>
      </c>
      <c r="C33" s="679" t="s">
        <v>447</v>
      </c>
      <c r="D33" s="679" t="s">
        <v>447</v>
      </c>
      <c r="E33" s="679" t="s">
        <v>547</v>
      </c>
      <c r="F33" s="716">
        <v>8635311000</v>
      </c>
      <c r="G33" s="716">
        <v>0</v>
      </c>
      <c r="H33" s="716">
        <v>0</v>
      </c>
      <c r="I33" s="918">
        <f t="shared" si="5"/>
        <v>8635311</v>
      </c>
      <c r="J33" s="918">
        <f t="shared" si="6"/>
        <v>0</v>
      </c>
      <c r="K33" s="918">
        <f t="shared" si="7"/>
        <v>0</v>
      </c>
      <c r="Y33" s="362" t="s">
        <v>957</v>
      </c>
      <c r="Z33" s="679" t="s">
        <v>958</v>
      </c>
      <c r="AA33" s="679" t="s">
        <v>447</v>
      </c>
      <c r="AB33" s="679" t="s">
        <v>447</v>
      </c>
      <c r="AC33" s="248">
        <v>0</v>
      </c>
      <c r="AD33" s="248">
        <v>422592850</v>
      </c>
      <c r="AE33" s="248">
        <v>363792850</v>
      </c>
      <c r="AF33" s="367">
        <f t="shared" si="11"/>
        <v>0</v>
      </c>
      <c r="AG33" s="367">
        <f t="shared" si="12"/>
        <v>422592.85</v>
      </c>
      <c r="AH33" s="367">
        <f t="shared" si="13"/>
        <v>363792.85</v>
      </c>
      <c r="AR33" s="1432" t="s">
        <v>957</v>
      </c>
      <c r="AS33" s="1432" t="s">
        <v>958</v>
      </c>
      <c r="AT33" s="1432" t="s">
        <v>447</v>
      </c>
      <c r="AU33" s="1433" t="s">
        <v>447</v>
      </c>
      <c r="AV33" s="1434">
        <v>1946254000</v>
      </c>
      <c r="AW33" s="1434">
        <v>0</v>
      </c>
      <c r="AX33" s="1434">
        <v>0</v>
      </c>
      <c r="AY33" s="169">
        <f t="shared" si="15"/>
        <v>1946254</v>
      </c>
      <c r="AZ33" s="169">
        <f t="shared" si="16"/>
        <v>0</v>
      </c>
      <c r="BA33" s="169">
        <f t="shared" si="17"/>
        <v>0</v>
      </c>
      <c r="BK33" s="1463" t="s">
        <v>955</v>
      </c>
      <c r="BL33" s="1463" t="s">
        <v>956</v>
      </c>
      <c r="BM33" s="1463" t="s">
        <v>447</v>
      </c>
      <c r="BN33" s="1463" t="s">
        <v>447</v>
      </c>
      <c r="BO33" s="367">
        <v>7925135000</v>
      </c>
      <c r="BP33" s="367">
        <v>0</v>
      </c>
      <c r="BQ33" s="367">
        <v>0</v>
      </c>
      <c r="BR33" s="1609">
        <f t="shared" si="19"/>
        <v>7925135</v>
      </c>
      <c r="BS33" s="1609">
        <f t="shared" si="20"/>
        <v>0</v>
      </c>
      <c r="BT33" s="1609">
        <f t="shared" si="21"/>
        <v>0</v>
      </c>
    </row>
    <row r="34" spans="1:72" x14ac:dyDescent="0.35">
      <c r="A34" s="679" t="s">
        <v>452</v>
      </c>
      <c r="B34" s="679" t="s">
        <v>128</v>
      </c>
      <c r="C34" s="679" t="s">
        <v>447</v>
      </c>
      <c r="D34" s="679" t="s">
        <v>447</v>
      </c>
      <c r="E34" s="679" t="s">
        <v>547</v>
      </c>
      <c r="F34" s="716">
        <v>10000</v>
      </c>
      <c r="G34" s="716">
        <v>0</v>
      </c>
      <c r="H34" s="716">
        <v>0</v>
      </c>
      <c r="I34" s="918">
        <f t="shared" si="5"/>
        <v>10</v>
      </c>
      <c r="J34" s="918">
        <f t="shared" si="6"/>
        <v>0</v>
      </c>
      <c r="K34" s="918">
        <f t="shared" si="7"/>
        <v>0</v>
      </c>
      <c r="Y34" s="362" t="s">
        <v>959</v>
      </c>
      <c r="Z34" s="679" t="s">
        <v>960</v>
      </c>
      <c r="AA34" s="679" t="s">
        <v>447</v>
      </c>
      <c r="AB34" s="679" t="s">
        <v>447</v>
      </c>
      <c r="AC34" s="248">
        <v>2260410000</v>
      </c>
      <c r="AD34" s="248">
        <v>0</v>
      </c>
      <c r="AE34" s="248">
        <v>0</v>
      </c>
      <c r="AF34" s="367">
        <f t="shared" si="11"/>
        <v>2260410</v>
      </c>
      <c r="AG34" s="367">
        <f t="shared" si="12"/>
        <v>0</v>
      </c>
      <c r="AH34" s="367">
        <f t="shared" si="13"/>
        <v>0</v>
      </c>
      <c r="AR34" s="1432" t="s">
        <v>957</v>
      </c>
      <c r="AS34" s="1432" t="s">
        <v>958</v>
      </c>
      <c r="AT34" s="1432" t="s">
        <v>447</v>
      </c>
      <c r="AU34" s="1433" t="s">
        <v>447</v>
      </c>
      <c r="AV34" s="1434">
        <v>0</v>
      </c>
      <c r="AW34" s="1434">
        <v>754744088</v>
      </c>
      <c r="AX34" s="1434">
        <v>711544088</v>
      </c>
      <c r="AY34" s="169">
        <f t="shared" si="15"/>
        <v>0</v>
      </c>
      <c r="AZ34" s="169">
        <f t="shared" si="16"/>
        <v>754744.08799999999</v>
      </c>
      <c r="BA34" s="169">
        <f t="shared" si="17"/>
        <v>711544.08799999999</v>
      </c>
      <c r="BK34" s="1463" t="s">
        <v>955</v>
      </c>
      <c r="BL34" s="1463" t="s">
        <v>956</v>
      </c>
      <c r="BM34" s="1463" t="s">
        <v>447</v>
      </c>
      <c r="BN34" s="1463" t="s">
        <v>447</v>
      </c>
      <c r="BO34" s="367">
        <v>0</v>
      </c>
      <c r="BP34" s="367">
        <v>3470113168</v>
      </c>
      <c r="BQ34" s="367">
        <v>3470113168</v>
      </c>
      <c r="BR34" s="1609">
        <f t="shared" si="19"/>
        <v>0</v>
      </c>
      <c r="BS34" s="1609">
        <f t="shared" si="20"/>
        <v>3470113.1680000001</v>
      </c>
      <c r="BT34" s="1609">
        <f t="shared" si="21"/>
        <v>3470113.1680000001</v>
      </c>
    </row>
    <row r="35" spans="1:72" x14ac:dyDescent="0.35">
      <c r="A35" s="679" t="s">
        <v>452</v>
      </c>
      <c r="B35" s="679" t="s">
        <v>128</v>
      </c>
      <c r="C35" s="679" t="s">
        <v>447</v>
      </c>
      <c r="D35" s="679" t="s">
        <v>447</v>
      </c>
      <c r="E35" s="679" t="s">
        <v>547</v>
      </c>
      <c r="F35" s="716">
        <v>0</v>
      </c>
      <c r="G35" s="716">
        <v>18204215</v>
      </c>
      <c r="H35" s="716">
        <v>18204215</v>
      </c>
      <c r="I35" s="918">
        <f t="shared" si="5"/>
        <v>0</v>
      </c>
      <c r="J35" s="918">
        <f t="shared" si="6"/>
        <v>18204.215</v>
      </c>
      <c r="K35" s="918">
        <f t="shared" si="7"/>
        <v>18204.215</v>
      </c>
      <c r="Y35" s="362" t="s">
        <v>959</v>
      </c>
      <c r="Z35" s="679" t="s">
        <v>960</v>
      </c>
      <c r="AA35" s="679" t="s">
        <v>447</v>
      </c>
      <c r="AB35" s="679" t="s">
        <v>447</v>
      </c>
      <c r="AC35" s="248">
        <v>0</v>
      </c>
      <c r="AD35" s="248">
        <v>250665791</v>
      </c>
      <c r="AE35" s="248">
        <v>119696250</v>
      </c>
      <c r="AF35" s="367">
        <f t="shared" si="11"/>
        <v>0</v>
      </c>
      <c r="AG35" s="367">
        <f t="shared" si="12"/>
        <v>250665.791</v>
      </c>
      <c r="AH35" s="367">
        <f t="shared" si="13"/>
        <v>119696.25</v>
      </c>
      <c r="AR35" s="1432" t="s">
        <v>959</v>
      </c>
      <c r="AS35" s="1432" t="s">
        <v>960</v>
      </c>
      <c r="AT35" s="1432" t="s">
        <v>447</v>
      </c>
      <c r="AU35" s="1433" t="s">
        <v>447</v>
      </c>
      <c r="AV35" s="1434">
        <v>2260410000</v>
      </c>
      <c r="AW35" s="1434">
        <v>0</v>
      </c>
      <c r="AX35" s="1434">
        <v>0</v>
      </c>
      <c r="AY35" s="169">
        <f t="shared" si="15"/>
        <v>2260410</v>
      </c>
      <c r="AZ35" s="169">
        <f t="shared" si="16"/>
        <v>0</v>
      </c>
      <c r="BA35" s="169">
        <f t="shared" si="17"/>
        <v>0</v>
      </c>
      <c r="BK35" s="1463" t="s">
        <v>957</v>
      </c>
      <c r="BL35" s="1463" t="s">
        <v>958</v>
      </c>
      <c r="BM35" s="1463" t="s">
        <v>447</v>
      </c>
      <c r="BN35" s="1463" t="s">
        <v>447</v>
      </c>
      <c r="BO35" s="367">
        <v>1946254000</v>
      </c>
      <c r="BP35" s="367">
        <v>0</v>
      </c>
      <c r="BQ35" s="367">
        <v>0</v>
      </c>
      <c r="BR35" s="1609">
        <f t="shared" si="19"/>
        <v>1946254</v>
      </c>
      <c r="BS35" s="1609">
        <f t="shared" si="20"/>
        <v>0</v>
      </c>
      <c r="BT35" s="1609">
        <f t="shared" si="21"/>
        <v>0</v>
      </c>
    </row>
    <row r="36" spans="1:72" x14ac:dyDescent="0.35">
      <c r="I36" s="717">
        <f>SUM(I3:I35)</f>
        <v>271469048</v>
      </c>
      <c r="J36" s="717">
        <f t="shared" ref="J36:K36" si="22">SUM(J3:J35)</f>
        <v>10929260.155999998</v>
      </c>
      <c r="K36" s="717">
        <f t="shared" si="22"/>
        <v>5334671.1740000006</v>
      </c>
      <c r="Y36" s="362" t="s">
        <v>961</v>
      </c>
      <c r="Z36" s="679" t="s">
        <v>962</v>
      </c>
      <c r="AA36" s="679" t="s">
        <v>447</v>
      </c>
      <c r="AB36" s="679" t="s">
        <v>447</v>
      </c>
      <c r="AC36" s="248">
        <v>21256852000</v>
      </c>
      <c r="AD36" s="248">
        <v>0</v>
      </c>
      <c r="AE36" s="248">
        <v>0</v>
      </c>
      <c r="AF36" s="367">
        <f t="shared" si="11"/>
        <v>21256852</v>
      </c>
      <c r="AG36" s="367">
        <f t="shared" si="12"/>
        <v>0</v>
      </c>
      <c r="AH36" s="367">
        <f t="shared" si="13"/>
        <v>0</v>
      </c>
      <c r="AR36" s="1432" t="s">
        <v>959</v>
      </c>
      <c r="AS36" s="1432" t="s">
        <v>960</v>
      </c>
      <c r="AT36" s="1432" t="s">
        <v>447</v>
      </c>
      <c r="AU36" s="1433" t="s">
        <v>447</v>
      </c>
      <c r="AV36" s="1434">
        <v>0</v>
      </c>
      <c r="AW36" s="1434">
        <v>260665791</v>
      </c>
      <c r="AX36" s="1434">
        <v>260665791</v>
      </c>
      <c r="AY36" s="169">
        <f t="shared" si="15"/>
        <v>0</v>
      </c>
      <c r="AZ36" s="169">
        <f t="shared" si="16"/>
        <v>260665.791</v>
      </c>
      <c r="BA36" s="169">
        <f t="shared" si="17"/>
        <v>260665.791</v>
      </c>
      <c r="BK36" s="1463" t="s">
        <v>957</v>
      </c>
      <c r="BL36" s="1463" t="s">
        <v>958</v>
      </c>
      <c r="BM36" s="1463" t="s">
        <v>447</v>
      </c>
      <c r="BN36" s="1463" t="s">
        <v>447</v>
      </c>
      <c r="BO36" s="367">
        <v>0</v>
      </c>
      <c r="BP36" s="367">
        <v>932169972</v>
      </c>
      <c r="BQ36" s="367">
        <v>854169972</v>
      </c>
      <c r="BR36" s="1609">
        <f t="shared" si="19"/>
        <v>0</v>
      </c>
      <c r="BS36" s="1609">
        <f t="shared" si="20"/>
        <v>932169.97199999995</v>
      </c>
      <c r="BT36" s="1609">
        <f t="shared" si="21"/>
        <v>854169.97199999995</v>
      </c>
    </row>
    <row r="37" spans="1:72" x14ac:dyDescent="0.35">
      <c r="Y37" s="362" t="s">
        <v>963</v>
      </c>
      <c r="Z37" s="679" t="s">
        <v>964</v>
      </c>
      <c r="AA37" s="679" t="s">
        <v>447</v>
      </c>
      <c r="AB37" s="679" t="s">
        <v>447</v>
      </c>
      <c r="AC37" s="248">
        <v>17487115000</v>
      </c>
      <c r="AD37" s="248">
        <v>0</v>
      </c>
      <c r="AE37" s="248">
        <v>0</v>
      </c>
      <c r="AF37" s="367">
        <f t="shared" si="11"/>
        <v>17487115</v>
      </c>
      <c r="AG37" s="367">
        <f t="shared" si="12"/>
        <v>0</v>
      </c>
      <c r="AH37" s="367">
        <f t="shared" si="13"/>
        <v>0</v>
      </c>
      <c r="AR37" s="1432" t="s">
        <v>961</v>
      </c>
      <c r="AS37" s="1432" t="s">
        <v>962</v>
      </c>
      <c r="AT37" s="1432" t="s">
        <v>447</v>
      </c>
      <c r="AU37" s="1433" t="s">
        <v>447</v>
      </c>
      <c r="AV37" s="1434">
        <v>21256852000</v>
      </c>
      <c r="AW37" s="1434">
        <v>0</v>
      </c>
      <c r="AX37" s="1434">
        <v>0</v>
      </c>
      <c r="AY37" s="169">
        <f t="shared" si="15"/>
        <v>21256852</v>
      </c>
      <c r="AZ37" s="169">
        <f t="shared" si="16"/>
        <v>0</v>
      </c>
      <c r="BA37" s="169">
        <f t="shared" si="17"/>
        <v>0</v>
      </c>
      <c r="BK37" s="1463" t="s">
        <v>959</v>
      </c>
      <c r="BL37" s="1463" t="s">
        <v>960</v>
      </c>
      <c r="BM37" s="1463" t="s">
        <v>447</v>
      </c>
      <c r="BN37" s="1463" t="s">
        <v>447</v>
      </c>
      <c r="BO37" s="367">
        <v>2260410000</v>
      </c>
      <c r="BP37" s="367">
        <v>0</v>
      </c>
      <c r="BQ37" s="367">
        <v>0</v>
      </c>
      <c r="BR37" s="1609">
        <f t="shared" si="19"/>
        <v>2260410</v>
      </c>
      <c r="BS37" s="1609">
        <f t="shared" si="20"/>
        <v>0</v>
      </c>
      <c r="BT37" s="1609">
        <f t="shared" si="21"/>
        <v>0</v>
      </c>
    </row>
    <row r="38" spans="1:72" x14ac:dyDescent="0.35">
      <c r="Y38" s="362" t="s">
        <v>963</v>
      </c>
      <c r="Z38" s="679" t="s">
        <v>964</v>
      </c>
      <c r="AA38" s="679" t="s">
        <v>447</v>
      </c>
      <c r="AB38" s="679" t="s">
        <v>447</v>
      </c>
      <c r="AC38" s="248">
        <v>0</v>
      </c>
      <c r="AD38" s="248">
        <v>3887822429</v>
      </c>
      <c r="AE38" s="248">
        <v>2260536644</v>
      </c>
      <c r="AF38" s="367">
        <f t="shared" si="11"/>
        <v>0</v>
      </c>
      <c r="AG38" s="367">
        <f t="shared" si="12"/>
        <v>3887822.429</v>
      </c>
      <c r="AH38" s="367">
        <f t="shared" si="13"/>
        <v>2260536.6439999999</v>
      </c>
      <c r="AR38" s="1432" t="s">
        <v>963</v>
      </c>
      <c r="AS38" s="1432" t="s">
        <v>964</v>
      </c>
      <c r="AT38" s="1432" t="s">
        <v>447</v>
      </c>
      <c r="AU38" s="1433" t="s">
        <v>447</v>
      </c>
      <c r="AV38" s="1434">
        <v>17487115000</v>
      </c>
      <c r="AW38" s="1434">
        <v>0</v>
      </c>
      <c r="AX38" s="1434">
        <v>0</v>
      </c>
      <c r="AY38" s="169">
        <f t="shared" si="15"/>
        <v>17487115</v>
      </c>
      <c r="AZ38" s="169">
        <f t="shared" si="16"/>
        <v>0</v>
      </c>
      <c r="BA38" s="169">
        <f t="shared" si="17"/>
        <v>0</v>
      </c>
      <c r="BK38" s="1463" t="s">
        <v>959</v>
      </c>
      <c r="BL38" s="1463" t="s">
        <v>960</v>
      </c>
      <c r="BM38" s="1463" t="s">
        <v>447</v>
      </c>
      <c r="BN38" s="1463" t="s">
        <v>447</v>
      </c>
      <c r="BO38" s="367">
        <v>0</v>
      </c>
      <c r="BP38" s="367">
        <v>302326791</v>
      </c>
      <c r="BQ38" s="367">
        <v>302326791</v>
      </c>
      <c r="BR38" s="1609">
        <f t="shared" si="19"/>
        <v>0</v>
      </c>
      <c r="BS38" s="1609">
        <f t="shared" si="20"/>
        <v>302326.79100000003</v>
      </c>
      <c r="BT38" s="1609">
        <f t="shared" si="21"/>
        <v>302326.79100000003</v>
      </c>
    </row>
    <row r="39" spans="1:72" x14ac:dyDescent="0.35">
      <c r="Y39" s="362" t="s">
        <v>965</v>
      </c>
      <c r="Z39" s="679" t="s">
        <v>966</v>
      </c>
      <c r="AA39" s="679" t="s">
        <v>447</v>
      </c>
      <c r="AB39" s="679" t="s">
        <v>447</v>
      </c>
      <c r="AC39" s="248">
        <v>14656065000</v>
      </c>
      <c r="AD39" s="248">
        <v>0</v>
      </c>
      <c r="AE39" s="248">
        <v>0</v>
      </c>
      <c r="AF39" s="367">
        <f t="shared" si="11"/>
        <v>14656065</v>
      </c>
      <c r="AG39" s="367">
        <f t="shared" si="12"/>
        <v>0</v>
      </c>
      <c r="AH39" s="367">
        <f t="shared" si="13"/>
        <v>0</v>
      </c>
      <c r="AR39" s="1432" t="s">
        <v>963</v>
      </c>
      <c r="AS39" s="1432" t="s">
        <v>964</v>
      </c>
      <c r="AT39" s="1432" t="s">
        <v>447</v>
      </c>
      <c r="AU39" s="1433" t="s">
        <v>447</v>
      </c>
      <c r="AV39" s="1434">
        <v>0</v>
      </c>
      <c r="AW39" s="1434">
        <v>5116917460</v>
      </c>
      <c r="AX39" s="1434">
        <v>3775609035</v>
      </c>
      <c r="AY39" s="169">
        <f t="shared" si="15"/>
        <v>0</v>
      </c>
      <c r="AZ39" s="169">
        <f t="shared" si="16"/>
        <v>5116917.46</v>
      </c>
      <c r="BA39" s="169">
        <f t="shared" si="17"/>
        <v>3775609.0350000001</v>
      </c>
      <c r="BK39" s="1463" t="s">
        <v>961</v>
      </c>
      <c r="BL39" s="1463" t="s">
        <v>962</v>
      </c>
      <c r="BM39" s="1463" t="s">
        <v>447</v>
      </c>
      <c r="BN39" s="1463" t="s">
        <v>447</v>
      </c>
      <c r="BO39" s="367">
        <v>21256852000</v>
      </c>
      <c r="BP39" s="367">
        <v>0</v>
      </c>
      <c r="BQ39" s="367">
        <v>0</v>
      </c>
      <c r="BR39" s="1609">
        <f t="shared" si="19"/>
        <v>21256852</v>
      </c>
      <c r="BS39" s="1609">
        <f t="shared" si="20"/>
        <v>0</v>
      </c>
      <c r="BT39" s="1609">
        <f t="shared" si="21"/>
        <v>0</v>
      </c>
    </row>
    <row r="40" spans="1:72" x14ac:dyDescent="0.35">
      <c r="Y40" s="362" t="s">
        <v>965</v>
      </c>
      <c r="Z40" s="679" t="s">
        <v>966</v>
      </c>
      <c r="AA40" s="679" t="s">
        <v>447</v>
      </c>
      <c r="AB40" s="679" t="s">
        <v>447</v>
      </c>
      <c r="AC40" s="248">
        <v>0</v>
      </c>
      <c r="AD40" s="248">
        <v>93732000</v>
      </c>
      <c r="AE40" s="248">
        <v>0</v>
      </c>
      <c r="AF40" s="367">
        <f t="shared" si="11"/>
        <v>0</v>
      </c>
      <c r="AG40" s="367">
        <f t="shared" si="12"/>
        <v>93732</v>
      </c>
      <c r="AH40" s="367">
        <f t="shared" si="13"/>
        <v>0</v>
      </c>
      <c r="AR40" s="1432" t="s">
        <v>965</v>
      </c>
      <c r="AS40" s="1432" t="s">
        <v>966</v>
      </c>
      <c r="AT40" s="1432" t="s">
        <v>447</v>
      </c>
      <c r="AU40" s="1433" t="s">
        <v>447</v>
      </c>
      <c r="AV40" s="1434">
        <v>14616065000</v>
      </c>
      <c r="AW40" s="1434">
        <v>0</v>
      </c>
      <c r="AX40" s="1434">
        <v>0</v>
      </c>
      <c r="AY40" s="169">
        <f t="shared" si="15"/>
        <v>14616065</v>
      </c>
      <c r="AZ40" s="169">
        <f t="shared" si="16"/>
        <v>0</v>
      </c>
      <c r="BA40" s="169">
        <f t="shared" si="17"/>
        <v>0</v>
      </c>
      <c r="BK40" s="1463" t="s">
        <v>963</v>
      </c>
      <c r="BL40" s="1463" t="s">
        <v>964</v>
      </c>
      <c r="BM40" s="1463" t="s">
        <v>447</v>
      </c>
      <c r="BN40" s="1463" t="s">
        <v>447</v>
      </c>
      <c r="BO40" s="367">
        <v>17487115000</v>
      </c>
      <c r="BP40" s="367">
        <v>0</v>
      </c>
      <c r="BQ40" s="367">
        <v>0</v>
      </c>
      <c r="BR40" s="1609">
        <f t="shared" si="19"/>
        <v>17487115</v>
      </c>
      <c r="BS40" s="1609">
        <f t="shared" si="20"/>
        <v>0</v>
      </c>
      <c r="BT40" s="1609">
        <f t="shared" si="21"/>
        <v>0</v>
      </c>
    </row>
    <row r="41" spans="1:72" x14ac:dyDescent="0.35">
      <c r="Y41" s="362" t="s">
        <v>448</v>
      </c>
      <c r="Z41" s="679" t="s">
        <v>469</v>
      </c>
      <c r="AA41" s="679" t="s">
        <v>447</v>
      </c>
      <c r="AB41" s="679" t="s">
        <v>447</v>
      </c>
      <c r="AC41" s="248">
        <v>16934493000</v>
      </c>
      <c r="AD41" s="248">
        <v>0</v>
      </c>
      <c r="AE41" s="248">
        <v>0</v>
      </c>
      <c r="AF41" s="367">
        <f t="shared" si="11"/>
        <v>16934493</v>
      </c>
      <c r="AG41" s="367">
        <f t="shared" si="12"/>
        <v>0</v>
      </c>
      <c r="AH41" s="367">
        <f t="shared" si="13"/>
        <v>0</v>
      </c>
      <c r="AR41" s="1432" t="s">
        <v>965</v>
      </c>
      <c r="AS41" s="1432" t="s">
        <v>966</v>
      </c>
      <c r="AT41" s="1432" t="s">
        <v>447</v>
      </c>
      <c r="AU41" s="1433" t="s">
        <v>447</v>
      </c>
      <c r="AV41" s="1434">
        <v>0</v>
      </c>
      <c r="AW41" s="1434">
        <v>93732000</v>
      </c>
      <c r="AX41" s="1434">
        <v>0</v>
      </c>
      <c r="AY41" s="169">
        <f t="shared" si="15"/>
        <v>0</v>
      </c>
      <c r="AZ41" s="169">
        <f t="shared" si="16"/>
        <v>93732</v>
      </c>
      <c r="BA41" s="169">
        <f t="shared" si="17"/>
        <v>0</v>
      </c>
      <c r="BK41" s="1463" t="s">
        <v>963</v>
      </c>
      <c r="BL41" s="1463" t="s">
        <v>964</v>
      </c>
      <c r="BM41" s="1463" t="s">
        <v>447</v>
      </c>
      <c r="BN41" s="1463" t="s">
        <v>447</v>
      </c>
      <c r="BO41" s="367">
        <v>0</v>
      </c>
      <c r="BP41" s="367">
        <v>6292093483</v>
      </c>
      <c r="BQ41" s="367">
        <v>5327512237</v>
      </c>
      <c r="BR41" s="1609">
        <f t="shared" si="19"/>
        <v>0</v>
      </c>
      <c r="BS41" s="1609">
        <f t="shared" si="20"/>
        <v>6292093.483</v>
      </c>
      <c r="BT41" s="1609">
        <f t="shared" si="21"/>
        <v>5327512.2369999997</v>
      </c>
    </row>
    <row r="42" spans="1:72" x14ac:dyDescent="0.35">
      <c r="Y42" s="362" t="s">
        <v>451</v>
      </c>
      <c r="Z42" s="679" t="s">
        <v>470</v>
      </c>
      <c r="AA42" s="679" t="s">
        <v>447</v>
      </c>
      <c r="AB42" s="679" t="s">
        <v>447</v>
      </c>
      <c r="AC42" s="248">
        <v>8635311000</v>
      </c>
      <c r="AD42" s="248">
        <v>0</v>
      </c>
      <c r="AE42" s="248">
        <v>0</v>
      </c>
      <c r="AF42" s="367">
        <f t="shared" si="11"/>
        <v>8635311</v>
      </c>
      <c r="AG42" s="367">
        <f t="shared" si="12"/>
        <v>0</v>
      </c>
      <c r="AH42" s="367">
        <f t="shared" si="13"/>
        <v>0</v>
      </c>
      <c r="AR42" s="1432" t="s">
        <v>448</v>
      </c>
      <c r="AS42" s="1432" t="s">
        <v>469</v>
      </c>
      <c r="AT42" s="1432" t="s">
        <v>447</v>
      </c>
      <c r="AU42" s="1433" t="s">
        <v>447</v>
      </c>
      <c r="AV42" s="1434">
        <v>16934493000</v>
      </c>
      <c r="AW42" s="1434">
        <v>0</v>
      </c>
      <c r="AX42" s="1434">
        <v>0</v>
      </c>
      <c r="AY42" s="169">
        <f t="shared" si="15"/>
        <v>16934493</v>
      </c>
      <c r="AZ42" s="169">
        <f t="shared" si="16"/>
        <v>0</v>
      </c>
      <c r="BA42" s="169">
        <f t="shared" si="17"/>
        <v>0</v>
      </c>
      <c r="BK42" s="1463" t="s">
        <v>965</v>
      </c>
      <c r="BL42" s="1463" t="s">
        <v>966</v>
      </c>
      <c r="BM42" s="1463" t="s">
        <v>447</v>
      </c>
      <c r="BN42" s="1463" t="s">
        <v>447</v>
      </c>
      <c r="BO42" s="367">
        <v>14616065000</v>
      </c>
      <c r="BP42" s="367">
        <v>0</v>
      </c>
      <c r="BQ42" s="367">
        <v>0</v>
      </c>
      <c r="BR42" s="1609">
        <f t="shared" si="19"/>
        <v>14616065</v>
      </c>
      <c r="BS42" s="1609">
        <f t="shared" si="20"/>
        <v>0</v>
      </c>
      <c r="BT42" s="1609">
        <f t="shared" si="21"/>
        <v>0</v>
      </c>
    </row>
    <row r="43" spans="1:72" x14ac:dyDescent="0.35">
      <c r="Y43" s="362" t="s">
        <v>452</v>
      </c>
      <c r="Z43" s="679" t="s">
        <v>128</v>
      </c>
      <c r="AA43" s="679" t="s">
        <v>447</v>
      </c>
      <c r="AB43" s="679" t="s">
        <v>447</v>
      </c>
      <c r="AC43" s="248">
        <v>10000</v>
      </c>
      <c r="AD43" s="248">
        <v>0</v>
      </c>
      <c r="AE43" s="248">
        <v>0</v>
      </c>
      <c r="AF43" s="367">
        <f t="shared" si="11"/>
        <v>10</v>
      </c>
      <c r="AG43" s="367">
        <f t="shared" si="12"/>
        <v>0</v>
      </c>
      <c r="AH43" s="367">
        <f t="shared" si="13"/>
        <v>0</v>
      </c>
      <c r="AR43" s="1432" t="s">
        <v>451</v>
      </c>
      <c r="AS43" s="1432" t="s">
        <v>470</v>
      </c>
      <c r="AT43" s="1432" t="s">
        <v>447</v>
      </c>
      <c r="AU43" s="1433" t="s">
        <v>447</v>
      </c>
      <c r="AV43" s="1434">
        <v>8635311000</v>
      </c>
      <c r="AW43" s="1434">
        <v>0</v>
      </c>
      <c r="AX43" s="1434">
        <v>0</v>
      </c>
      <c r="AY43" s="169">
        <f t="shared" si="15"/>
        <v>8635311</v>
      </c>
      <c r="AZ43" s="169">
        <f t="shared" si="16"/>
        <v>0</v>
      </c>
      <c r="BA43" s="169">
        <f t="shared" si="17"/>
        <v>0</v>
      </c>
      <c r="BK43" s="1463" t="s">
        <v>965</v>
      </c>
      <c r="BL43" s="1463" t="s">
        <v>966</v>
      </c>
      <c r="BM43" s="1463" t="s">
        <v>447</v>
      </c>
      <c r="BN43" s="1463" t="s">
        <v>447</v>
      </c>
      <c r="BO43" s="367">
        <v>0</v>
      </c>
      <c r="BP43" s="367">
        <v>93732000</v>
      </c>
      <c r="BQ43" s="367">
        <v>0</v>
      </c>
      <c r="BR43" s="1609">
        <f t="shared" si="19"/>
        <v>0</v>
      </c>
      <c r="BS43" s="1609">
        <f t="shared" si="20"/>
        <v>93732</v>
      </c>
      <c r="BT43" s="1609">
        <f t="shared" si="21"/>
        <v>0</v>
      </c>
    </row>
    <row r="44" spans="1:72" x14ac:dyDescent="0.35">
      <c r="Y44" s="362" t="s">
        <v>452</v>
      </c>
      <c r="Z44" s="679" t="s">
        <v>128</v>
      </c>
      <c r="AA44" s="679" t="s">
        <v>447</v>
      </c>
      <c r="AB44" s="679" t="s">
        <v>447</v>
      </c>
      <c r="AC44" s="248">
        <v>0</v>
      </c>
      <c r="AD44" s="248">
        <v>18204215</v>
      </c>
      <c r="AE44" s="248">
        <v>18204215</v>
      </c>
      <c r="AF44" s="367">
        <f t="shared" si="11"/>
        <v>0</v>
      </c>
      <c r="AG44" s="367">
        <f t="shared" si="12"/>
        <v>18204.215</v>
      </c>
      <c r="AH44" s="367">
        <f t="shared" si="13"/>
        <v>18204.215</v>
      </c>
      <c r="AR44" s="1432" t="s">
        <v>451</v>
      </c>
      <c r="AS44" s="1432" t="s">
        <v>470</v>
      </c>
      <c r="AT44" s="1432" t="s">
        <v>447</v>
      </c>
      <c r="AU44" s="1433" t="s">
        <v>447</v>
      </c>
      <c r="AV44" s="1434">
        <v>0</v>
      </c>
      <c r="AW44" s="1434">
        <v>128012751</v>
      </c>
      <c r="AX44" s="1434">
        <v>128012751</v>
      </c>
      <c r="AY44" s="169">
        <f t="shared" si="15"/>
        <v>0</v>
      </c>
      <c r="AZ44" s="169">
        <f t="shared" si="16"/>
        <v>128012.751</v>
      </c>
      <c r="BA44" s="169">
        <f t="shared" si="17"/>
        <v>128012.751</v>
      </c>
      <c r="BK44" s="1463" t="s">
        <v>448</v>
      </c>
      <c r="BL44" s="1463" t="s">
        <v>469</v>
      </c>
      <c r="BM44" s="1463" t="s">
        <v>447</v>
      </c>
      <c r="BN44" s="1463" t="s">
        <v>447</v>
      </c>
      <c r="BO44" s="367">
        <v>16934493000</v>
      </c>
      <c r="BP44" s="367">
        <v>0</v>
      </c>
      <c r="BQ44" s="367">
        <v>0</v>
      </c>
      <c r="BR44" s="1609">
        <f t="shared" si="19"/>
        <v>16934493</v>
      </c>
      <c r="BS44" s="1609">
        <f t="shared" si="20"/>
        <v>0</v>
      </c>
      <c r="BT44" s="1609">
        <f t="shared" si="21"/>
        <v>0</v>
      </c>
    </row>
    <row r="45" spans="1:72" x14ac:dyDescent="0.35">
      <c r="AR45" s="1432" t="s">
        <v>452</v>
      </c>
      <c r="AS45" s="1432" t="s">
        <v>128</v>
      </c>
      <c r="AT45" s="1432" t="s">
        <v>447</v>
      </c>
      <c r="AU45" s="1433" t="s">
        <v>447</v>
      </c>
      <c r="AV45" s="1434">
        <v>18205000</v>
      </c>
      <c r="AW45" s="1434">
        <v>0</v>
      </c>
      <c r="AX45" s="1434">
        <v>0</v>
      </c>
      <c r="AY45" s="169">
        <f t="shared" si="15"/>
        <v>18205</v>
      </c>
      <c r="AZ45" s="169">
        <f t="shared" si="16"/>
        <v>0</v>
      </c>
      <c r="BA45" s="169">
        <f t="shared" si="17"/>
        <v>0</v>
      </c>
      <c r="BK45" s="1463" t="s">
        <v>451</v>
      </c>
      <c r="BL45" s="1463" t="s">
        <v>470</v>
      </c>
      <c r="BM45" s="1463" t="s">
        <v>447</v>
      </c>
      <c r="BN45" s="1463" t="s">
        <v>447</v>
      </c>
      <c r="BO45" s="367">
        <v>8635311000</v>
      </c>
      <c r="BP45" s="367">
        <v>0</v>
      </c>
      <c r="BQ45" s="367">
        <v>0</v>
      </c>
      <c r="BR45" s="1609">
        <f t="shared" si="19"/>
        <v>8635311</v>
      </c>
      <c r="BS45" s="1609">
        <f t="shared" si="20"/>
        <v>0</v>
      </c>
      <c r="BT45" s="1609">
        <f t="shared" si="21"/>
        <v>0</v>
      </c>
    </row>
    <row r="46" spans="1:72" x14ac:dyDescent="0.35">
      <c r="AR46" s="1432" t="s">
        <v>452</v>
      </c>
      <c r="AS46" s="1432" t="s">
        <v>128</v>
      </c>
      <c r="AT46" s="1432" t="s">
        <v>447</v>
      </c>
      <c r="AU46" s="1433" t="s">
        <v>447</v>
      </c>
      <c r="AV46" s="1434">
        <v>0</v>
      </c>
      <c r="AW46" s="1434">
        <v>18204215</v>
      </c>
      <c r="AX46" s="1434">
        <v>18204215</v>
      </c>
      <c r="AY46" s="169">
        <f t="shared" si="15"/>
        <v>0</v>
      </c>
      <c r="AZ46" s="169">
        <f t="shared" si="16"/>
        <v>18204.215</v>
      </c>
      <c r="BA46" s="169">
        <f t="shared" si="17"/>
        <v>18204.215</v>
      </c>
      <c r="BK46" s="1463" t="s">
        <v>451</v>
      </c>
      <c r="BL46" s="1463" t="s">
        <v>470</v>
      </c>
      <c r="BM46" s="1463" t="s">
        <v>447</v>
      </c>
      <c r="BN46" s="1463" t="s">
        <v>447</v>
      </c>
      <c r="BO46" s="367">
        <v>0</v>
      </c>
      <c r="BP46" s="367">
        <v>1167961576</v>
      </c>
      <c r="BQ46" s="367">
        <v>1167961576</v>
      </c>
      <c r="BR46" s="1609">
        <f t="shared" si="19"/>
        <v>0</v>
      </c>
      <c r="BS46" s="1609">
        <f t="shared" si="20"/>
        <v>1167961.5759999999</v>
      </c>
      <c r="BT46" s="1609">
        <f t="shared" si="21"/>
        <v>1167961.5759999999</v>
      </c>
    </row>
    <row r="47" spans="1:72" x14ac:dyDescent="0.35">
      <c r="AY47" s="291">
        <f>SUM(AY3:AY46)</f>
        <v>271447243</v>
      </c>
      <c r="AZ47" s="291">
        <f>SUM(AZ3:AZ46)</f>
        <v>86985254.733999997</v>
      </c>
      <c r="BA47" s="291">
        <f>SUM(BA3:BA46)</f>
        <v>79096089.287</v>
      </c>
      <c r="BK47" s="1463" t="s">
        <v>452</v>
      </c>
      <c r="BL47" s="1463" t="s">
        <v>128</v>
      </c>
      <c r="BM47" s="1463" t="s">
        <v>447</v>
      </c>
      <c r="BN47" s="1463" t="s">
        <v>447</v>
      </c>
      <c r="BO47" s="367">
        <v>18205000</v>
      </c>
      <c r="BP47" s="367">
        <v>0</v>
      </c>
      <c r="BQ47" s="367">
        <v>0</v>
      </c>
      <c r="BR47" s="1609">
        <f t="shared" si="19"/>
        <v>18205</v>
      </c>
      <c r="BS47" s="1609">
        <f t="shared" si="20"/>
        <v>0</v>
      </c>
      <c r="BT47" s="1609">
        <f t="shared" si="21"/>
        <v>0</v>
      </c>
    </row>
    <row r="48" spans="1:72" x14ac:dyDescent="0.35">
      <c r="AY48" s="49"/>
      <c r="AZ48" s="49"/>
      <c r="BA48" s="49"/>
      <c r="BK48" s="1463" t="s">
        <v>452</v>
      </c>
      <c r="BL48" s="1463" t="s">
        <v>128</v>
      </c>
      <c r="BM48" s="1463" t="s">
        <v>447</v>
      </c>
      <c r="BN48" s="1463" t="s">
        <v>447</v>
      </c>
      <c r="BO48" s="367">
        <v>0</v>
      </c>
      <c r="BP48" s="367">
        <v>18204215</v>
      </c>
      <c r="BQ48" s="367">
        <v>18204215</v>
      </c>
      <c r="BR48" s="1609">
        <f t="shared" si="19"/>
        <v>0</v>
      </c>
      <c r="BS48" s="1609">
        <f t="shared" si="20"/>
        <v>18204.215</v>
      </c>
      <c r="BT48" s="1609">
        <f t="shared" si="21"/>
        <v>18204.215</v>
      </c>
    </row>
  </sheetData>
  <mergeCells count="7">
    <mergeCell ref="BD1:BG1"/>
    <mergeCell ref="BK1:BQ1"/>
    <mergeCell ref="AJ1:AM1"/>
    <mergeCell ref="AR1:AU1"/>
    <mergeCell ref="A1:D1"/>
    <mergeCell ref="N1:T1"/>
    <mergeCell ref="Y1:AE1"/>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A60"/>
  <sheetViews>
    <sheetView topLeftCell="BB1" zoomScale="90" zoomScaleNormal="90" workbookViewId="0">
      <selection activeCell="BO19" sqref="BO17:BS19"/>
    </sheetView>
  </sheetViews>
  <sheetFormatPr baseColWidth="10" defaultRowHeight="16.5" x14ac:dyDescent="0.3"/>
  <cols>
    <col min="1" max="1" width="15" style="941" bestFit="1" customWidth="1"/>
    <col min="2" max="2" width="46.28515625" style="941" bestFit="1" customWidth="1"/>
    <col min="3" max="3" width="13.28515625" style="941" bestFit="1" customWidth="1"/>
    <col min="4" max="4" width="46" style="941" bestFit="1" customWidth="1"/>
    <col min="5" max="5" width="19.140625" style="941" hidden="1" customWidth="1"/>
    <col min="6" max="6" width="19.140625" style="941" customWidth="1"/>
    <col min="7" max="7" width="14.140625" style="941" hidden="1" customWidth="1"/>
    <col min="8" max="8" width="14.140625" style="941" customWidth="1"/>
    <col min="9" max="9" width="12" style="941" bestFit="1" customWidth="1"/>
    <col min="10" max="10" width="11.7109375" style="941" bestFit="1" customWidth="1"/>
    <col min="11" max="12" width="11.42578125" style="941"/>
    <col min="13" max="13" width="25.28515625" style="941" customWidth="1"/>
    <col min="14" max="14" width="11.42578125" style="941"/>
    <col min="15" max="15" width="22.5703125" style="941" customWidth="1"/>
    <col min="16" max="16" width="0" style="941" hidden="1" customWidth="1"/>
    <col min="17" max="19" width="11.7109375" style="941" bestFit="1" customWidth="1"/>
    <col min="20" max="21" width="11.42578125" style="941"/>
    <col min="22" max="22" width="30.42578125" style="941" customWidth="1"/>
    <col min="23" max="24" width="11.42578125" style="941"/>
    <col min="25" max="25" width="0" style="941" hidden="1" customWidth="1"/>
    <col min="26" max="26" width="11.85546875" style="941" bestFit="1" customWidth="1"/>
    <col min="27" max="28" width="11.7109375" style="941" bestFit="1" customWidth="1"/>
    <col min="29" max="32" width="11.42578125" style="941"/>
    <col min="33" max="33" width="38.28515625" style="941" customWidth="1"/>
    <col min="34" max="34" width="14.140625" style="941" hidden="1" customWidth="1"/>
    <col min="35" max="35" width="11.85546875" style="941" bestFit="1" customWidth="1"/>
    <col min="36" max="36" width="12" style="941" bestFit="1" customWidth="1"/>
    <col min="37" max="37" width="11.7109375" style="941" bestFit="1" customWidth="1"/>
    <col min="38" max="38" width="11.42578125" style="941"/>
    <col min="39" max="39" width="15" style="941" bestFit="1" customWidth="1"/>
    <col min="40" max="40" width="46.28515625" style="941" bestFit="1" customWidth="1"/>
    <col min="41" max="41" width="13.28515625" style="941" bestFit="1" customWidth="1"/>
    <col min="42" max="42" width="46" style="941" bestFit="1" customWidth="1"/>
    <col min="43" max="43" width="19.140625" style="941" hidden="1" customWidth="1"/>
    <col min="44" max="44" width="19.140625" style="941" customWidth="1"/>
    <col min="45" max="45" width="16.28515625" style="941" bestFit="1" customWidth="1"/>
    <col min="46" max="46" width="12" style="941" bestFit="1" customWidth="1"/>
    <col min="47" max="47" width="11.7109375" style="941" bestFit="1" customWidth="1"/>
    <col min="48" max="48" width="13.28515625" style="941" bestFit="1" customWidth="1"/>
    <col min="49" max="49" width="11.42578125" style="941"/>
    <col min="50" max="50" width="15" style="941" bestFit="1" customWidth="1"/>
    <col min="51" max="51" width="44.42578125" style="941" bestFit="1" customWidth="1"/>
    <col min="52" max="52" width="13.28515625" style="941" bestFit="1" customWidth="1"/>
    <col min="53" max="53" width="35.5703125" style="941" bestFit="1" customWidth="1"/>
    <col min="54" max="54" width="18.140625" style="941" customWidth="1"/>
    <col min="55" max="55" width="14.140625" style="941" bestFit="1" customWidth="1"/>
    <col min="56" max="57" width="11.7109375" style="941" bestFit="1" customWidth="1"/>
    <col min="58" max="58" width="11.42578125" style="941"/>
    <col min="59" max="59" width="14.5703125" style="941" customWidth="1"/>
    <col min="60" max="60" width="46.28515625" style="941" bestFit="1" customWidth="1"/>
    <col min="61" max="61" width="12.5703125" style="941" bestFit="1" customWidth="1"/>
    <col min="62" max="62" width="46" style="941" bestFit="1" customWidth="1"/>
    <col min="63" max="63" width="18.42578125" style="941" hidden="1" customWidth="1"/>
    <col min="64" max="64" width="16.28515625" style="941" hidden="1" customWidth="1"/>
    <col min="65" max="65" width="14.140625" style="941" hidden="1" customWidth="1"/>
    <col min="66" max="66" width="21.7109375" style="941" bestFit="1" customWidth="1"/>
    <col min="67" max="67" width="19.42578125" style="941" bestFit="1" customWidth="1"/>
    <col min="68" max="68" width="16.5703125" style="941" bestFit="1" customWidth="1"/>
    <col min="69" max="70" width="11.7109375" style="941" bestFit="1" customWidth="1"/>
    <col min="71" max="73" width="11.42578125" style="941"/>
    <col min="74" max="74" width="11.7109375" style="941" bestFit="1" customWidth="1"/>
    <col min="75" max="76" width="11.42578125" style="941"/>
    <col min="77" max="79" width="0" style="941" hidden="1" customWidth="1"/>
    <col min="80" max="80" width="11.7109375" style="944" bestFit="1" customWidth="1"/>
    <col min="81" max="81" width="12.28515625" style="944" bestFit="1" customWidth="1"/>
    <col min="82" max="82" width="11.7109375" style="944" bestFit="1" customWidth="1"/>
    <col min="83" max="84" width="11.7109375" style="941" bestFit="1" customWidth="1"/>
    <col min="85" max="89" width="11.42578125" style="941"/>
    <col min="90" max="92" width="14.140625" style="941" hidden="1" customWidth="1"/>
    <col min="93" max="95" width="13.28515625" style="941" bestFit="1" customWidth="1"/>
    <col min="96" max="97" width="11.7109375" style="941" bestFit="1" customWidth="1"/>
    <col min="98" max="99" width="11.42578125" style="941"/>
    <col min="100" max="100" width="48" style="941" customWidth="1"/>
    <col min="101" max="102" width="11.42578125" style="941"/>
    <col min="103" max="107" width="0" style="941" hidden="1" customWidth="1"/>
    <col min="108" max="110" width="11.7109375" style="941" bestFit="1" customWidth="1"/>
    <col min="111" max="115" width="11.42578125" style="941"/>
    <col min="116" max="118" width="0" style="941" hidden="1" customWidth="1"/>
    <col min="119" max="120" width="13.42578125" style="941" bestFit="1" customWidth="1"/>
    <col min="121" max="121" width="14.5703125" style="941" bestFit="1" customWidth="1"/>
    <col min="122" max="123" width="11.7109375" style="941" bestFit="1" customWidth="1"/>
    <col min="124" max="129" width="11.42578125" style="941"/>
    <col min="130" max="130" width="11.7109375" style="941" hidden="1" customWidth="1"/>
    <col min="131" max="131" width="12.140625" style="941" hidden="1" customWidth="1"/>
    <col min="132" max="132" width="11.7109375" style="941" hidden="1" customWidth="1"/>
    <col min="133" max="133" width="12" style="941" bestFit="1" customWidth="1"/>
    <col min="134" max="134" width="13.7109375" style="941" bestFit="1" customWidth="1"/>
    <col min="135" max="135" width="13.42578125" style="941" bestFit="1" customWidth="1"/>
    <col min="136" max="136" width="5.5703125" style="941" customWidth="1"/>
    <col min="137" max="137" width="3.7109375" style="941" customWidth="1"/>
    <col min="138" max="143" width="11.42578125" style="941"/>
    <col min="144" max="146" width="0" style="941" hidden="1" customWidth="1"/>
    <col min="147" max="149" width="13.28515625" style="944" bestFit="1" customWidth="1"/>
    <col min="150" max="150" width="6.28515625" style="941" customWidth="1"/>
    <col min="151" max="151" width="11.7109375" style="941" bestFit="1" customWidth="1"/>
    <col min="152" max="157" width="11.42578125" style="941"/>
    <col min="158" max="160" width="13.28515625" style="941" hidden="1" customWidth="1"/>
    <col min="161" max="162" width="13.28515625" style="941" bestFit="1" customWidth="1"/>
    <col min="163" max="163" width="13.42578125" style="941" bestFit="1" customWidth="1"/>
    <col min="164" max="164" width="11.7109375" style="941" bestFit="1" customWidth="1"/>
    <col min="165" max="165" width="4" style="941" customWidth="1"/>
    <col min="166" max="166" width="8.28515625" style="941" customWidth="1"/>
    <col min="167" max="170" width="11.42578125" style="941"/>
    <col min="171" max="171" width="19.42578125" style="941" customWidth="1"/>
    <col min="172" max="174" width="16.28515625" style="944" hidden="1" customWidth="1"/>
    <col min="175" max="177" width="13.42578125" style="941" bestFit="1" customWidth="1"/>
    <col min="178" max="179" width="11.7109375" style="941" bestFit="1" customWidth="1"/>
    <col min="180" max="185" width="11.42578125" style="941"/>
    <col min="186" max="188" width="0" style="941" hidden="1" customWidth="1"/>
    <col min="189" max="189" width="13" style="941" bestFit="1" customWidth="1"/>
    <col min="190" max="191" width="12.140625" style="941" bestFit="1" customWidth="1"/>
    <col min="192" max="193" width="11.7109375" style="941" bestFit="1" customWidth="1"/>
    <col min="194" max="195" width="11.42578125" style="941"/>
    <col min="196" max="196" width="11.42578125" style="950"/>
    <col min="197" max="197" width="11.42578125" style="941"/>
    <col min="198" max="198" width="35" style="941" customWidth="1"/>
    <col min="199" max="199" width="11.42578125" style="941" customWidth="1"/>
    <col min="200" max="202" width="11.42578125" style="941" hidden="1" customWidth="1"/>
    <col min="203" max="203" width="13.5703125" style="941" customWidth="1"/>
    <col min="204" max="205" width="13.140625" style="941" bestFit="1" customWidth="1"/>
    <col min="206" max="207" width="11.7109375" style="941" bestFit="1" customWidth="1"/>
    <col min="208" max="208" width="11.42578125" style="941"/>
    <col min="209" max="209" width="15.7109375" style="941" customWidth="1"/>
    <col min="210" max="210" width="52.42578125" style="941" customWidth="1"/>
    <col min="211" max="213" width="15.7109375" style="941" customWidth="1"/>
    <col min="214" max="216" width="15.7109375" style="941" hidden="1" customWidth="1"/>
    <col min="217" max="219" width="10.140625" style="941" customWidth="1"/>
    <col min="220" max="221" width="11.7109375" style="941" bestFit="1" customWidth="1"/>
    <col min="222" max="223" width="11.42578125" style="941"/>
    <col min="224" max="224" width="22.140625" style="941" customWidth="1"/>
    <col min="225" max="225" width="11.42578125" style="941"/>
    <col min="226" max="226" width="21.140625" style="941" customWidth="1"/>
    <col min="227" max="227" width="23.85546875" style="941" hidden="1" customWidth="1"/>
    <col min="228" max="230" width="0" style="941" hidden="1" customWidth="1"/>
    <col min="231" max="233" width="13.42578125" style="941" bestFit="1" customWidth="1"/>
    <col min="234" max="235" width="11.7109375" style="941" bestFit="1" customWidth="1"/>
    <col min="236" max="237" width="11.42578125" style="941"/>
    <col min="238" max="238" width="35.85546875" style="941" customWidth="1"/>
    <col min="239" max="239" width="17.42578125" style="941" customWidth="1"/>
    <col min="240" max="240" width="31.7109375" style="941" customWidth="1"/>
    <col min="241" max="246" width="11.42578125" style="941" hidden="1" customWidth="1"/>
    <col min="247" max="247" width="13.28515625" style="941" bestFit="1" customWidth="1"/>
    <col min="248" max="249" width="11.7109375" style="941" bestFit="1" customWidth="1"/>
    <col min="250" max="253" width="11.42578125" style="941"/>
    <col min="254" max="254" width="25.7109375" style="941" customWidth="1"/>
    <col min="255" max="258" width="0" style="941" hidden="1" customWidth="1"/>
    <col min="259" max="259" width="13.28515625" style="941" bestFit="1" customWidth="1"/>
    <col min="260" max="260" width="15.5703125" style="941" customWidth="1"/>
    <col min="261" max="261" width="14.28515625" style="941" customWidth="1"/>
    <col min="262" max="263" width="11.7109375" style="941" bestFit="1" customWidth="1"/>
    <col min="264" max="264" width="11.42578125" style="941"/>
    <col min="265" max="265" width="11.42578125" style="950"/>
    <col min="266" max="266" width="25" style="950" customWidth="1"/>
    <col min="267" max="267" width="11.28515625" style="950" customWidth="1"/>
    <col min="268" max="268" width="24.140625" style="950" customWidth="1"/>
    <col min="269" max="269" width="11.42578125" style="941" hidden="1" customWidth="1"/>
    <col min="270" max="270" width="11.7109375" style="941" hidden="1" customWidth="1"/>
    <col min="271" max="271" width="16.42578125" style="941" customWidth="1"/>
    <col min="272" max="272" width="12.28515625" style="941" bestFit="1" customWidth="1"/>
    <col min="273" max="273" width="11.7109375" style="941" bestFit="1" customWidth="1"/>
    <col min="274" max="274" width="11.42578125" style="941"/>
    <col min="275" max="275" width="13.28515625" style="945" customWidth="1"/>
    <col min="276" max="276" width="31.7109375" style="945" customWidth="1"/>
    <col min="277" max="277" width="17.5703125" style="945" customWidth="1"/>
    <col min="278" max="278" width="37.5703125" style="977" customWidth="1"/>
    <col min="279" max="282" width="0" style="945" hidden="1" customWidth="1"/>
    <col min="283" max="285" width="14.28515625" style="945" customWidth="1"/>
    <col min="286" max="287" width="11.7109375" style="941" bestFit="1" customWidth="1"/>
    <col min="288" max="16384" width="11.42578125" style="941"/>
  </cols>
  <sheetData>
    <row r="1" spans="1:287" ht="15.75" customHeight="1" x14ac:dyDescent="0.3">
      <c r="A1" s="1789">
        <v>44562</v>
      </c>
      <c r="B1" s="1788"/>
      <c r="C1" s="1788"/>
      <c r="D1" s="1788"/>
      <c r="E1" s="1788"/>
      <c r="F1" s="1788"/>
      <c r="G1" s="1788"/>
      <c r="H1" s="1788"/>
      <c r="I1" s="1788"/>
      <c r="L1" s="1788" t="s">
        <v>694</v>
      </c>
      <c r="M1" s="1788"/>
      <c r="N1" s="1788"/>
      <c r="O1" s="1788"/>
      <c r="P1" s="1788"/>
      <c r="Q1" s="1788"/>
      <c r="R1" s="941">
        <v>1000</v>
      </c>
      <c r="S1" s="941">
        <v>1.0629999999999999</v>
      </c>
      <c r="U1" s="1788" t="s">
        <v>763</v>
      </c>
      <c r="V1" s="1788"/>
      <c r="W1" s="1788"/>
      <c r="X1" s="1788"/>
      <c r="Y1" s="1788"/>
      <c r="Z1" s="1788"/>
      <c r="AD1" s="1788" t="s">
        <v>640</v>
      </c>
      <c r="AE1" s="1788"/>
      <c r="AF1" s="1788"/>
      <c r="AG1" s="1788"/>
      <c r="AH1" s="1788"/>
      <c r="AI1" s="1788"/>
      <c r="AM1" s="1788" t="s">
        <v>693</v>
      </c>
      <c r="AN1" s="1788"/>
      <c r="AO1" s="1788"/>
      <c r="AP1" s="1788"/>
      <c r="AQ1" s="1788"/>
      <c r="AR1" s="1788"/>
      <c r="AS1" s="1788"/>
      <c r="AX1" s="1788" t="s">
        <v>530</v>
      </c>
      <c r="AY1" s="1788"/>
      <c r="AZ1" s="1788"/>
      <c r="BA1" s="1788"/>
      <c r="BB1" s="1788"/>
      <c r="BC1" s="1788"/>
      <c r="BG1" s="1788" t="s">
        <v>803</v>
      </c>
      <c r="BH1" s="1788"/>
      <c r="BI1" s="1788"/>
      <c r="BJ1" s="1788"/>
      <c r="BK1" s="1788"/>
      <c r="BL1" s="1788"/>
      <c r="BM1" s="1788"/>
      <c r="BN1" s="1788"/>
      <c r="BO1" s="1788"/>
      <c r="BP1" s="1788"/>
      <c r="BT1" s="1788" t="s">
        <v>696</v>
      </c>
      <c r="BU1" s="1788"/>
      <c r="BV1" s="1788"/>
      <c r="BW1" s="1788"/>
      <c r="BX1" s="1788"/>
      <c r="BY1" s="1788"/>
      <c r="BZ1" s="1788"/>
      <c r="CA1" s="1788"/>
      <c r="CB1" s="1788"/>
      <c r="CC1" s="1788"/>
      <c r="CD1" s="1788"/>
      <c r="CH1" s="1788" t="s">
        <v>697</v>
      </c>
      <c r="CI1" s="1788"/>
      <c r="CJ1" s="1788"/>
      <c r="CK1" s="1788"/>
      <c r="CL1" s="1788"/>
      <c r="CM1" s="1788"/>
      <c r="CN1" s="1788"/>
      <c r="CO1" s="1788"/>
      <c r="CP1" s="1788"/>
      <c r="CQ1" s="1788"/>
      <c r="CU1" s="1788" t="s">
        <v>847</v>
      </c>
      <c r="CV1" s="1788"/>
      <c r="CW1" s="1788"/>
      <c r="CX1" s="1788"/>
      <c r="CY1" s="1788"/>
      <c r="CZ1" s="1788"/>
      <c r="DA1" s="1788"/>
      <c r="DB1" s="1788"/>
      <c r="DC1" s="1788"/>
      <c r="DD1" s="1788"/>
      <c r="DE1" s="1788"/>
      <c r="DF1" s="1788"/>
      <c r="DH1" s="1788" t="s">
        <v>848</v>
      </c>
      <c r="DI1" s="1788"/>
      <c r="DJ1" s="1788"/>
      <c r="DK1" s="1788"/>
      <c r="DL1" s="1788"/>
      <c r="DM1" s="1788"/>
      <c r="DN1" s="1788"/>
      <c r="DO1" s="1788"/>
      <c r="DP1" s="1788"/>
      <c r="DQ1" s="1788"/>
      <c r="DU1" s="1788" t="s">
        <v>79</v>
      </c>
      <c r="DV1" s="1788"/>
      <c r="DW1" s="1788"/>
      <c r="DX1" s="1788"/>
      <c r="DY1" s="1788"/>
      <c r="DZ1" s="1788"/>
      <c r="EA1" s="1788"/>
      <c r="EB1" s="1788"/>
      <c r="EC1" s="1788"/>
      <c r="ED1" s="1788"/>
      <c r="EE1" s="1788"/>
      <c r="EI1" s="1788" t="s">
        <v>864</v>
      </c>
      <c r="EJ1" s="1788"/>
      <c r="EK1" s="1788"/>
      <c r="EL1" s="1788"/>
      <c r="EM1" s="1788"/>
      <c r="EN1" s="1788"/>
      <c r="EO1" s="1788"/>
      <c r="EP1" s="1788"/>
      <c r="EQ1" s="1788"/>
      <c r="ER1" s="1788"/>
      <c r="ES1" s="1788"/>
      <c r="EW1" s="1788" t="s">
        <v>10</v>
      </c>
      <c r="EX1" s="1788"/>
      <c r="EY1" s="1788"/>
      <c r="EZ1" s="1788"/>
      <c r="FA1" s="1788"/>
      <c r="FB1" s="1788"/>
      <c r="FC1" s="1788"/>
      <c r="FD1" s="1788"/>
      <c r="FE1" s="1788"/>
      <c r="FF1" s="1788"/>
      <c r="FG1" s="1788"/>
      <c r="FL1" s="1788" t="s">
        <v>871</v>
      </c>
      <c r="FM1" s="1788"/>
      <c r="FN1" s="1788"/>
      <c r="FO1" s="1788"/>
      <c r="FP1" s="1788"/>
      <c r="FQ1" s="1788"/>
      <c r="FR1" s="1788"/>
      <c r="FS1" s="1788"/>
      <c r="FT1" s="1788"/>
      <c r="FU1" s="1788"/>
      <c r="FY1" s="1789" t="s">
        <v>11</v>
      </c>
      <c r="FZ1" s="1788"/>
      <c r="GA1" s="1788"/>
      <c r="GB1" s="1788"/>
      <c r="GC1" s="1788"/>
      <c r="GD1" s="1788"/>
      <c r="GE1" s="1788"/>
      <c r="GF1" s="1788"/>
      <c r="GG1" s="1788"/>
      <c r="GH1" s="1788"/>
      <c r="GI1" s="1788"/>
      <c r="GM1" s="1789" t="s">
        <v>878</v>
      </c>
      <c r="GN1" s="1788"/>
      <c r="GO1" s="1788"/>
      <c r="GP1" s="1788"/>
      <c r="GQ1" s="1788"/>
      <c r="GR1" s="1788"/>
      <c r="GS1" s="1788"/>
      <c r="GT1" s="1788"/>
      <c r="GU1" s="1788"/>
      <c r="GV1" s="1788"/>
      <c r="GW1" s="1788"/>
      <c r="HA1" s="1789" t="s">
        <v>12</v>
      </c>
      <c r="HB1" s="1788"/>
      <c r="HC1" s="1788"/>
      <c r="HD1" s="1788"/>
      <c r="HE1" s="1788"/>
      <c r="HF1" s="1788"/>
      <c r="HG1" s="1788"/>
      <c r="HH1" s="1788"/>
      <c r="HI1" s="1788"/>
      <c r="HJ1" s="1788"/>
      <c r="HK1" s="1788"/>
      <c r="HO1" s="1790" t="s">
        <v>910</v>
      </c>
      <c r="HP1" s="1790"/>
      <c r="HQ1" s="1790"/>
      <c r="HR1" s="1790"/>
      <c r="HS1" s="1790"/>
      <c r="HT1" s="1790"/>
      <c r="HU1" s="1790"/>
      <c r="HV1" s="1790"/>
      <c r="HW1" s="1790"/>
      <c r="HX1" s="1790"/>
      <c r="HY1" s="1790"/>
      <c r="HZ1" s="1790"/>
      <c r="IA1" s="1790"/>
      <c r="IC1" s="1790" t="s">
        <v>13</v>
      </c>
      <c r="ID1" s="1790"/>
      <c r="IE1" s="1790"/>
      <c r="IF1" s="1790"/>
      <c r="IG1" s="1790"/>
      <c r="IH1" s="1790"/>
      <c r="II1" s="1790"/>
      <c r="IJ1" s="1790"/>
      <c r="IK1" s="1790"/>
      <c r="IL1" s="1790"/>
      <c r="IM1" s="1790"/>
      <c r="IQ1" s="1790" t="s">
        <v>908</v>
      </c>
      <c r="IR1" s="1790"/>
      <c r="IS1" s="1790"/>
      <c r="IT1" s="1790"/>
      <c r="IU1" s="1790"/>
      <c r="IV1" s="1790"/>
      <c r="IW1" s="1790"/>
      <c r="IX1" s="1790"/>
      <c r="IY1" s="1790"/>
      <c r="IZ1" s="1790"/>
      <c r="JA1" s="1790"/>
      <c r="JE1" s="1790" t="s">
        <v>14</v>
      </c>
      <c r="JF1" s="1790"/>
      <c r="JG1" s="1790"/>
      <c r="JH1" s="1790"/>
      <c r="JI1" s="1790"/>
      <c r="JJ1" s="1790"/>
      <c r="JK1" s="1790"/>
      <c r="JL1" s="1790"/>
      <c r="JM1" s="1790"/>
      <c r="JO1" s="1791" t="s">
        <v>918</v>
      </c>
      <c r="JP1" s="1791"/>
      <c r="JQ1" s="1791"/>
      <c r="JR1" s="1791"/>
      <c r="JS1" s="1791"/>
      <c r="JT1" s="1791"/>
      <c r="JU1" s="1791"/>
      <c r="JV1" s="1791"/>
      <c r="JW1" s="1791"/>
      <c r="JX1" s="1791"/>
      <c r="JY1" s="1791"/>
    </row>
    <row r="2" spans="1:287" ht="39.75" customHeight="1" x14ac:dyDescent="0.3">
      <c r="A2" s="952" t="s">
        <v>425</v>
      </c>
      <c r="B2" s="952" t="s">
        <v>453</v>
      </c>
      <c r="C2" s="952" t="s">
        <v>426</v>
      </c>
      <c r="D2" s="952" t="s">
        <v>535</v>
      </c>
      <c r="E2" s="952" t="s">
        <v>467</v>
      </c>
      <c r="F2" s="952" t="s">
        <v>467</v>
      </c>
      <c r="G2" s="952" t="s">
        <v>429</v>
      </c>
      <c r="H2" s="952" t="s">
        <v>429</v>
      </c>
      <c r="I2" s="941">
        <v>1000</v>
      </c>
      <c r="J2" s="941">
        <v>1.0629999999999999</v>
      </c>
      <c r="L2" s="952" t="s">
        <v>425</v>
      </c>
      <c r="M2" s="952" t="s">
        <v>453</v>
      </c>
      <c r="N2" s="952" t="s">
        <v>426</v>
      </c>
      <c r="O2" s="952" t="s">
        <v>535</v>
      </c>
      <c r="P2" s="952" t="s">
        <v>429</v>
      </c>
      <c r="Q2" s="952" t="s">
        <v>429</v>
      </c>
      <c r="U2" s="952" t="s">
        <v>425</v>
      </c>
      <c r="V2" s="952" t="s">
        <v>453</v>
      </c>
      <c r="W2" s="952" t="s">
        <v>426</v>
      </c>
      <c r="X2" s="952" t="s">
        <v>535</v>
      </c>
      <c r="Y2" s="952" t="s">
        <v>467</v>
      </c>
      <c r="Z2" s="952" t="s">
        <v>467</v>
      </c>
      <c r="AA2" s="941">
        <v>1000</v>
      </c>
      <c r="AB2" s="941">
        <v>1.0629999999999999</v>
      </c>
      <c r="AD2" s="953" t="s">
        <v>425</v>
      </c>
      <c r="AE2" s="953" t="s">
        <v>453</v>
      </c>
      <c r="AF2" s="953" t="s">
        <v>426</v>
      </c>
      <c r="AG2" s="953" t="s">
        <v>535</v>
      </c>
      <c r="AH2" s="953" t="s">
        <v>429</v>
      </c>
      <c r="AI2" s="953" t="s">
        <v>429</v>
      </c>
      <c r="AJ2" s="941">
        <v>1000</v>
      </c>
      <c r="AK2" s="941">
        <v>1.0629999999999999</v>
      </c>
      <c r="AM2" s="953" t="s">
        <v>425</v>
      </c>
      <c r="AN2" s="953" t="s">
        <v>453</v>
      </c>
      <c r="AO2" s="953" t="s">
        <v>426</v>
      </c>
      <c r="AP2" s="953" t="s">
        <v>535</v>
      </c>
      <c r="AQ2" s="953" t="s">
        <v>467</v>
      </c>
      <c r="AR2" s="953" t="s">
        <v>467</v>
      </c>
      <c r="AS2" s="953" t="s">
        <v>429</v>
      </c>
      <c r="AT2" s="941">
        <v>1000</v>
      </c>
      <c r="AU2" s="941">
        <v>1.0629999999999999</v>
      </c>
      <c r="AX2" s="1605" t="s">
        <v>425</v>
      </c>
      <c r="AY2" s="1605" t="s">
        <v>453</v>
      </c>
      <c r="AZ2" s="1605" t="s">
        <v>426</v>
      </c>
      <c r="BA2" s="1605" t="s">
        <v>535</v>
      </c>
      <c r="BB2" s="1605" t="s">
        <v>429</v>
      </c>
      <c r="BC2" s="1605" t="s">
        <v>429</v>
      </c>
      <c r="BD2" s="941">
        <v>1000</v>
      </c>
      <c r="BE2" s="941">
        <v>1.0629999999999999</v>
      </c>
      <c r="BG2" s="1605" t="s">
        <v>425</v>
      </c>
      <c r="BH2" s="1605" t="s">
        <v>453</v>
      </c>
      <c r="BI2" s="1605" t="s">
        <v>426</v>
      </c>
      <c r="BJ2" s="1605" t="s">
        <v>535</v>
      </c>
      <c r="BK2" s="1605" t="s">
        <v>467</v>
      </c>
      <c r="BL2" s="1605" t="s">
        <v>487</v>
      </c>
      <c r="BM2" s="1605" t="s">
        <v>429</v>
      </c>
      <c r="BN2" s="1605" t="s">
        <v>490</v>
      </c>
      <c r="BO2" s="1605" t="s">
        <v>524</v>
      </c>
      <c r="BP2" s="1605" t="s">
        <v>440</v>
      </c>
      <c r="BQ2" s="941">
        <v>1000</v>
      </c>
      <c r="BR2" s="941">
        <v>1.0629999999999999</v>
      </c>
      <c r="BT2" s="837" t="s">
        <v>425</v>
      </c>
      <c r="BU2" s="837" t="s">
        <v>453</v>
      </c>
      <c r="BV2" s="837" t="s">
        <v>426</v>
      </c>
      <c r="BW2" s="837" t="s">
        <v>535</v>
      </c>
      <c r="BX2" s="837" t="s">
        <v>427</v>
      </c>
      <c r="BY2" s="837" t="s">
        <v>467</v>
      </c>
      <c r="BZ2" s="837" t="s">
        <v>487</v>
      </c>
      <c r="CA2" s="837" t="s">
        <v>429</v>
      </c>
      <c r="CB2" s="837" t="s">
        <v>821</v>
      </c>
      <c r="CC2" s="837" t="s">
        <v>824</v>
      </c>
      <c r="CD2" s="837" t="s">
        <v>823</v>
      </c>
      <c r="CE2" s="941">
        <v>1000</v>
      </c>
      <c r="CF2" s="941">
        <v>1</v>
      </c>
      <c r="CH2" s="837" t="s">
        <v>425</v>
      </c>
      <c r="CI2" s="837" t="s">
        <v>453</v>
      </c>
      <c r="CJ2" s="837" t="s">
        <v>426</v>
      </c>
      <c r="CK2" s="837" t="s">
        <v>535</v>
      </c>
      <c r="CL2" s="837" t="s">
        <v>467</v>
      </c>
      <c r="CM2" s="837" t="s">
        <v>487</v>
      </c>
      <c r="CN2" s="837" t="s">
        <v>429</v>
      </c>
      <c r="CO2" s="837" t="s">
        <v>821</v>
      </c>
      <c r="CP2" s="837" t="s">
        <v>824</v>
      </c>
      <c r="CQ2" s="837" t="s">
        <v>823</v>
      </c>
      <c r="CR2" s="941">
        <v>1000</v>
      </c>
      <c r="CS2" s="941">
        <v>1</v>
      </c>
      <c r="CU2" s="837" t="s">
        <v>425</v>
      </c>
      <c r="CV2" s="837" t="s">
        <v>453</v>
      </c>
      <c r="CW2" s="837" t="s">
        <v>426</v>
      </c>
      <c r="CX2" s="837" t="s">
        <v>535</v>
      </c>
      <c r="CY2" s="837" t="s">
        <v>467</v>
      </c>
      <c r="CZ2" s="837" t="s">
        <v>487</v>
      </c>
      <c r="DA2" s="837" t="s">
        <v>429</v>
      </c>
      <c r="DB2" s="837" t="s">
        <v>467</v>
      </c>
      <c r="DC2" s="837" t="s">
        <v>487</v>
      </c>
      <c r="DD2" s="837" t="s">
        <v>429</v>
      </c>
      <c r="DE2" s="941">
        <v>1000</v>
      </c>
      <c r="DF2" s="941">
        <v>1</v>
      </c>
      <c r="DH2" s="837" t="s">
        <v>425</v>
      </c>
      <c r="DI2" s="837" t="s">
        <v>453</v>
      </c>
      <c r="DJ2" s="837" t="s">
        <v>426</v>
      </c>
      <c r="DK2" s="837" t="s">
        <v>535</v>
      </c>
      <c r="DL2" s="837" t="s">
        <v>467</v>
      </c>
      <c r="DM2" s="837" t="s">
        <v>487</v>
      </c>
      <c r="DN2" s="837" t="s">
        <v>429</v>
      </c>
      <c r="DO2" s="837" t="s">
        <v>467</v>
      </c>
      <c r="DP2" s="837" t="s">
        <v>487</v>
      </c>
      <c r="DQ2" s="837" t="s">
        <v>429</v>
      </c>
      <c r="DR2" s="941">
        <v>1000</v>
      </c>
      <c r="DS2" s="941">
        <v>1</v>
      </c>
      <c r="DU2" s="837" t="s">
        <v>425</v>
      </c>
      <c r="DV2" s="837" t="s">
        <v>453</v>
      </c>
      <c r="DW2" s="837" t="s">
        <v>426</v>
      </c>
      <c r="DX2" s="837" t="s">
        <v>535</v>
      </c>
      <c r="DY2" s="837" t="s">
        <v>427</v>
      </c>
      <c r="DZ2" s="837" t="s">
        <v>467</v>
      </c>
      <c r="EA2" s="837" t="s">
        <v>487</v>
      </c>
      <c r="EB2" s="837" t="s">
        <v>429</v>
      </c>
      <c r="EC2" s="837" t="s">
        <v>858</v>
      </c>
      <c r="ED2" s="837" t="s">
        <v>862</v>
      </c>
      <c r="EE2" s="837" t="s">
        <v>863</v>
      </c>
      <c r="EF2" s="941">
        <v>1000</v>
      </c>
      <c r="EG2" s="941">
        <v>1</v>
      </c>
      <c r="EI2" s="837" t="s">
        <v>425</v>
      </c>
      <c r="EJ2" s="837" t="s">
        <v>453</v>
      </c>
      <c r="EK2" s="837" t="s">
        <v>426</v>
      </c>
      <c r="EL2" s="837" t="s">
        <v>535</v>
      </c>
      <c r="EM2" s="837" t="s">
        <v>427</v>
      </c>
      <c r="EN2" s="837" t="s">
        <v>467</v>
      </c>
      <c r="EO2" s="837" t="s">
        <v>487</v>
      </c>
      <c r="EP2" s="837" t="s">
        <v>429</v>
      </c>
      <c r="EQ2" s="837" t="s">
        <v>858</v>
      </c>
      <c r="ER2" s="837" t="s">
        <v>862</v>
      </c>
      <c r="ES2" s="837" t="s">
        <v>863</v>
      </c>
      <c r="ET2" s="941">
        <v>1000</v>
      </c>
      <c r="EU2" s="941">
        <v>1</v>
      </c>
      <c r="EW2" s="837" t="s">
        <v>425</v>
      </c>
      <c r="EX2" s="837" t="s">
        <v>453</v>
      </c>
      <c r="EY2" s="837" t="s">
        <v>426</v>
      </c>
      <c r="EZ2" s="837" t="s">
        <v>535</v>
      </c>
      <c r="FA2" s="837" t="s">
        <v>427</v>
      </c>
      <c r="FB2" s="837" t="s">
        <v>467</v>
      </c>
      <c r="FC2" s="837" t="s">
        <v>487</v>
      </c>
      <c r="FD2" s="837" t="s">
        <v>429</v>
      </c>
      <c r="FE2" s="837" t="s">
        <v>467</v>
      </c>
      <c r="FF2" s="837" t="s">
        <v>487</v>
      </c>
      <c r="FG2" s="837" t="s">
        <v>429</v>
      </c>
      <c r="FH2" s="941">
        <v>1000</v>
      </c>
      <c r="FI2" s="941">
        <v>1</v>
      </c>
      <c r="FK2" s="837" t="s">
        <v>425</v>
      </c>
      <c r="FL2" s="837" t="s">
        <v>453</v>
      </c>
      <c r="FM2" s="837" t="s">
        <v>426</v>
      </c>
      <c r="FN2" s="837" t="s">
        <v>535</v>
      </c>
      <c r="FO2" s="837" t="s">
        <v>427</v>
      </c>
      <c r="FP2" s="837" t="s">
        <v>467</v>
      </c>
      <c r="FQ2" s="837" t="s">
        <v>487</v>
      </c>
      <c r="FR2" s="837" t="s">
        <v>429</v>
      </c>
      <c r="FS2" s="837" t="s">
        <v>467</v>
      </c>
      <c r="FT2" s="837" t="s">
        <v>487</v>
      </c>
      <c r="FU2" s="837" t="s">
        <v>429</v>
      </c>
      <c r="FV2" s="941">
        <v>1000</v>
      </c>
      <c r="FW2" s="941">
        <v>1</v>
      </c>
      <c r="FY2" s="837" t="s">
        <v>425</v>
      </c>
      <c r="FZ2" s="837" t="s">
        <v>453</v>
      </c>
      <c r="GA2" s="837" t="s">
        <v>426</v>
      </c>
      <c r="GB2" s="837" t="s">
        <v>535</v>
      </c>
      <c r="GC2" s="837" t="s">
        <v>427</v>
      </c>
      <c r="GD2" s="837" t="s">
        <v>467</v>
      </c>
      <c r="GE2" s="837" t="s">
        <v>487</v>
      </c>
      <c r="GF2" s="837" t="s">
        <v>429</v>
      </c>
      <c r="GG2" s="837" t="s">
        <v>467</v>
      </c>
      <c r="GH2" s="837" t="s">
        <v>487</v>
      </c>
      <c r="GI2" s="837" t="s">
        <v>429</v>
      </c>
      <c r="GJ2" s="941">
        <v>1000</v>
      </c>
      <c r="GK2" s="941">
        <v>1</v>
      </c>
      <c r="GM2" s="837" t="s">
        <v>425</v>
      </c>
      <c r="GN2" s="837" t="s">
        <v>453</v>
      </c>
      <c r="GO2" s="837" t="s">
        <v>426</v>
      </c>
      <c r="GP2" s="837" t="s">
        <v>535</v>
      </c>
      <c r="GQ2" s="837" t="s">
        <v>427</v>
      </c>
      <c r="GR2" s="837" t="s">
        <v>467</v>
      </c>
      <c r="GS2" s="837" t="s">
        <v>487</v>
      </c>
      <c r="GT2" s="837" t="s">
        <v>429</v>
      </c>
      <c r="GU2" s="837" t="s">
        <v>467</v>
      </c>
      <c r="GV2" s="837" t="s">
        <v>487</v>
      </c>
      <c r="GW2" s="837" t="s">
        <v>429</v>
      </c>
      <c r="GX2" s="941">
        <v>1000</v>
      </c>
      <c r="GY2" s="941">
        <v>1</v>
      </c>
      <c r="HA2" s="837" t="s">
        <v>425</v>
      </c>
      <c r="HB2" s="837" t="s">
        <v>453</v>
      </c>
      <c r="HC2" s="837" t="s">
        <v>426</v>
      </c>
      <c r="HD2" s="837" t="s">
        <v>535</v>
      </c>
      <c r="HE2" s="837" t="s">
        <v>427</v>
      </c>
      <c r="HF2" s="837" t="s">
        <v>467</v>
      </c>
      <c r="HG2" s="837" t="s">
        <v>487</v>
      </c>
      <c r="HH2" s="837" t="s">
        <v>429</v>
      </c>
      <c r="HI2" s="837" t="s">
        <v>467</v>
      </c>
      <c r="HJ2" s="837" t="s">
        <v>487</v>
      </c>
      <c r="HK2" s="837" t="s">
        <v>429</v>
      </c>
      <c r="HL2" s="941">
        <v>1000</v>
      </c>
      <c r="HM2" s="941">
        <v>1</v>
      </c>
      <c r="HO2" s="837" t="s">
        <v>425</v>
      </c>
      <c r="HP2" s="837" t="s">
        <v>453</v>
      </c>
      <c r="HQ2" s="837" t="s">
        <v>426</v>
      </c>
      <c r="HR2" s="837" t="s">
        <v>535</v>
      </c>
      <c r="HS2" s="837" t="s">
        <v>427</v>
      </c>
      <c r="HT2" s="837" t="s">
        <v>467</v>
      </c>
      <c r="HU2" s="837" t="s">
        <v>487</v>
      </c>
      <c r="HV2" s="837" t="s">
        <v>429</v>
      </c>
      <c r="HW2" s="837" t="s">
        <v>467</v>
      </c>
      <c r="HX2" s="837" t="s">
        <v>487</v>
      </c>
      <c r="HY2" s="837" t="s">
        <v>429</v>
      </c>
      <c r="HZ2" s="941">
        <v>1000</v>
      </c>
      <c r="IA2" s="941">
        <v>1</v>
      </c>
      <c r="IC2" s="837" t="s">
        <v>425</v>
      </c>
      <c r="ID2" s="837" t="s">
        <v>453</v>
      </c>
      <c r="IE2" s="837" t="s">
        <v>426</v>
      </c>
      <c r="IF2" s="837" t="s">
        <v>535</v>
      </c>
      <c r="IG2" s="837" t="s">
        <v>427</v>
      </c>
      <c r="IH2" s="837" t="s">
        <v>467</v>
      </c>
      <c r="II2" s="837" t="s">
        <v>487</v>
      </c>
      <c r="IJ2" s="837" t="s">
        <v>429</v>
      </c>
      <c r="IK2" s="837" t="s">
        <v>467</v>
      </c>
      <c r="IL2" s="837" t="s">
        <v>487</v>
      </c>
      <c r="IM2" s="837" t="s">
        <v>429</v>
      </c>
      <c r="IN2" s="941">
        <v>1000</v>
      </c>
      <c r="IO2" s="941">
        <v>1</v>
      </c>
      <c r="IQ2" s="837" t="s">
        <v>425</v>
      </c>
      <c r="IR2" s="837" t="s">
        <v>453</v>
      </c>
      <c r="IS2" s="837" t="s">
        <v>426</v>
      </c>
      <c r="IT2" s="837" t="s">
        <v>535</v>
      </c>
      <c r="IU2" s="837" t="s">
        <v>427</v>
      </c>
      <c r="IV2" s="837" t="s">
        <v>467</v>
      </c>
      <c r="IW2" s="837" t="s">
        <v>487</v>
      </c>
      <c r="IX2" s="837" t="s">
        <v>429</v>
      </c>
      <c r="IY2" s="837" t="s">
        <v>467</v>
      </c>
      <c r="IZ2" s="837" t="s">
        <v>487</v>
      </c>
      <c r="JA2" s="837" t="s">
        <v>429</v>
      </c>
      <c r="JB2" s="941">
        <v>1000</v>
      </c>
      <c r="JC2" s="941">
        <v>1</v>
      </c>
      <c r="JE2" s="837" t="s">
        <v>425</v>
      </c>
      <c r="JF2" s="837" t="s">
        <v>453</v>
      </c>
      <c r="JG2" s="837" t="s">
        <v>426</v>
      </c>
      <c r="JH2" s="837" t="s">
        <v>535</v>
      </c>
      <c r="JI2" s="837" t="s">
        <v>427</v>
      </c>
      <c r="JJ2" s="837" t="s">
        <v>429</v>
      </c>
      <c r="JK2" s="837" t="s">
        <v>429</v>
      </c>
      <c r="JL2" s="941">
        <v>1000</v>
      </c>
      <c r="JM2" s="941">
        <v>1</v>
      </c>
      <c r="JO2" s="837" t="s">
        <v>425</v>
      </c>
      <c r="JP2" s="837" t="s">
        <v>453</v>
      </c>
      <c r="JQ2" s="837" t="s">
        <v>426</v>
      </c>
      <c r="JR2" s="837" t="s">
        <v>535</v>
      </c>
      <c r="JS2" s="837" t="s">
        <v>427</v>
      </c>
      <c r="JT2" s="837" t="s">
        <v>467</v>
      </c>
      <c r="JU2" s="837" t="s">
        <v>487</v>
      </c>
      <c r="JV2" s="837" t="s">
        <v>429</v>
      </c>
      <c r="JW2" s="837" t="s">
        <v>467</v>
      </c>
      <c r="JX2" s="837" t="s">
        <v>487</v>
      </c>
      <c r="JY2" s="837" t="s">
        <v>429</v>
      </c>
      <c r="JZ2" s="941">
        <v>1000</v>
      </c>
      <c r="KA2" s="941">
        <v>1</v>
      </c>
    </row>
    <row r="3" spans="1:287" ht="15" customHeight="1" x14ac:dyDescent="0.3">
      <c r="A3" s="954" t="s">
        <v>442</v>
      </c>
      <c r="B3" s="954" t="s">
        <v>220</v>
      </c>
      <c r="C3" s="954" t="s">
        <v>497</v>
      </c>
      <c r="D3" s="954" t="s">
        <v>297</v>
      </c>
      <c r="E3" s="955">
        <v>51697388000</v>
      </c>
      <c r="F3" s="955">
        <f>+E3/$I$2*$J$2</f>
        <v>54954323.443999998</v>
      </c>
      <c r="G3" s="955">
        <v>0</v>
      </c>
      <c r="H3" s="955">
        <f>+G3/$I$2*$J$2</f>
        <v>0</v>
      </c>
      <c r="I3" s="942">
        <f>+F3+F4</f>
        <v>74875015.728</v>
      </c>
      <c r="L3" s="956" t="s">
        <v>442</v>
      </c>
      <c r="M3" s="956" t="s">
        <v>220</v>
      </c>
      <c r="N3" s="956" t="s">
        <v>497</v>
      </c>
      <c r="O3" s="956" t="s">
        <v>297</v>
      </c>
      <c r="P3" s="957">
        <v>7439252680</v>
      </c>
      <c r="Q3" s="957">
        <f>+P3/$R$1*$S$1</f>
        <v>7907925.5988399992</v>
      </c>
      <c r="R3" s="942">
        <f>+Q3+Q4</f>
        <v>7850172.8534859996</v>
      </c>
      <c r="U3" s="956" t="s">
        <v>442</v>
      </c>
      <c r="V3" s="956" t="s">
        <v>220</v>
      </c>
      <c r="W3" s="956" t="s">
        <v>497</v>
      </c>
      <c r="X3" s="956" t="s">
        <v>297</v>
      </c>
      <c r="Y3" s="957">
        <v>51697388000</v>
      </c>
      <c r="Z3" s="957">
        <f>+Y3/$AA$2*$AB$2</f>
        <v>54954323.443999998</v>
      </c>
      <c r="AD3" s="956" t="s">
        <v>442</v>
      </c>
      <c r="AE3" s="956" t="s">
        <v>220</v>
      </c>
      <c r="AF3" s="956" t="s">
        <v>497</v>
      </c>
      <c r="AG3" s="958" t="s">
        <v>297</v>
      </c>
      <c r="AH3" s="957">
        <v>7086544813</v>
      </c>
      <c r="AI3" s="957">
        <f>+AH3/$AJ$2*$AK$2</f>
        <v>7532997.1362189995</v>
      </c>
      <c r="AJ3" s="942">
        <f>+AI3+AI4</f>
        <v>27453674.995308999</v>
      </c>
      <c r="AM3" s="956" t="s">
        <v>442</v>
      </c>
      <c r="AN3" s="956" t="s">
        <v>220</v>
      </c>
      <c r="AO3" s="956" t="s">
        <v>497</v>
      </c>
      <c r="AP3" s="956" t="s">
        <v>297</v>
      </c>
      <c r="AQ3" s="957">
        <v>51697388000</v>
      </c>
      <c r="AR3" s="957">
        <f>+AQ3/$AT$2*$AU$2</f>
        <v>54954323.443999998</v>
      </c>
      <c r="AS3" s="957">
        <v>0</v>
      </c>
      <c r="AT3" s="942">
        <f>+AR3+AR4</f>
        <v>74875015.728</v>
      </c>
      <c r="AV3" s="944"/>
      <c r="AX3" s="956" t="s">
        <v>444</v>
      </c>
      <c r="AY3" s="956" t="s">
        <v>468</v>
      </c>
      <c r="AZ3" s="956" t="s">
        <v>445</v>
      </c>
      <c r="BA3" s="956" t="s">
        <v>277</v>
      </c>
      <c r="BB3" s="957">
        <v>13182279</v>
      </c>
      <c r="BC3" s="957">
        <f t="shared" ref="BC3:BC13" si="0">+BB3/$BD$2*$BE$2</f>
        <v>14012.762577</v>
      </c>
      <c r="BG3" s="959" t="s">
        <v>442</v>
      </c>
      <c r="BH3" s="959" t="s">
        <v>220</v>
      </c>
      <c r="BI3" s="959" t="s">
        <v>497</v>
      </c>
      <c r="BJ3" s="959" t="s">
        <v>297</v>
      </c>
      <c r="BK3" s="960">
        <v>51697388000</v>
      </c>
      <c r="BL3" s="960">
        <v>0</v>
      </c>
      <c r="BM3" s="960">
        <v>0</v>
      </c>
      <c r="BN3" s="943">
        <f t="shared" ref="BN3:BN48" si="1">+BK3/$BQ$2*$BR$2</f>
        <v>54954323.443999998</v>
      </c>
      <c r="BO3" s="943">
        <f t="shared" ref="BO3:BO48" si="2">+BL3/$BQ$2*$BR$2</f>
        <v>0</v>
      </c>
      <c r="BP3" s="943">
        <f t="shared" ref="BP3:BP48" si="3">+BM3/$BQ$2*$BR$2</f>
        <v>0</v>
      </c>
      <c r="BT3" s="637" t="s">
        <v>544</v>
      </c>
      <c r="BU3" s="637" t="s">
        <v>545</v>
      </c>
      <c r="BV3" s="637" t="s">
        <v>447</v>
      </c>
      <c r="BW3" s="637" t="s">
        <v>447</v>
      </c>
      <c r="BX3" s="638" t="s">
        <v>547</v>
      </c>
      <c r="BY3" s="639">
        <v>0</v>
      </c>
      <c r="BZ3" s="639">
        <v>0</v>
      </c>
      <c r="CA3" s="639">
        <v>0</v>
      </c>
      <c r="CB3" s="944">
        <f>+BY3/$CE$2*$CF$2</f>
        <v>0</v>
      </c>
      <c r="CC3" s="944">
        <f>+BZ3/$CE$2*$CF$2</f>
        <v>0</v>
      </c>
      <c r="CD3" s="944">
        <f>+CA3/$CE$2*$CF$2</f>
        <v>0</v>
      </c>
      <c r="CH3" s="637" t="s">
        <v>442</v>
      </c>
      <c r="CI3" s="637" t="s">
        <v>220</v>
      </c>
      <c r="CJ3" s="637" t="s">
        <v>497</v>
      </c>
      <c r="CK3" s="637" t="s">
        <v>297</v>
      </c>
      <c r="CL3" s="639">
        <v>51697388000</v>
      </c>
      <c r="CM3" s="639">
        <v>0</v>
      </c>
      <c r="CN3" s="639">
        <v>0</v>
      </c>
      <c r="CO3" s="961">
        <f>+CL3/$CR$2*$CS$2</f>
        <v>51697388</v>
      </c>
      <c r="CP3" s="961">
        <f>+CM3/$CR$2*$CS$2</f>
        <v>0</v>
      </c>
      <c r="CQ3" s="961">
        <f>+CN3/$CR$2*$CS$2</f>
        <v>0</v>
      </c>
      <c r="CU3" s="637" t="s">
        <v>442</v>
      </c>
      <c r="CV3" s="637" t="s">
        <v>220</v>
      </c>
      <c r="CW3" s="637" t="s">
        <v>447</v>
      </c>
      <c r="CX3" s="637" t="s">
        <v>447</v>
      </c>
      <c r="CY3" s="639">
        <v>0</v>
      </c>
      <c r="CZ3" s="639">
        <v>0</v>
      </c>
      <c r="DA3" s="639">
        <v>0</v>
      </c>
      <c r="DB3" s="944">
        <f>+CY3/$DE$2*$DF$2</f>
        <v>0</v>
      </c>
      <c r="DC3" s="944">
        <f>+CZ3/$DE$2*$DF$2</f>
        <v>0</v>
      </c>
      <c r="DD3" s="944">
        <f>+DA3/$DE$2*$DF$2</f>
        <v>0</v>
      </c>
      <c r="DH3" s="637" t="s">
        <v>442</v>
      </c>
      <c r="DI3" s="637" t="s">
        <v>220</v>
      </c>
      <c r="DJ3" s="637" t="s">
        <v>497</v>
      </c>
      <c r="DK3" s="637" t="s">
        <v>297</v>
      </c>
      <c r="DL3" s="639">
        <v>51697388000</v>
      </c>
      <c r="DM3" s="639">
        <v>0</v>
      </c>
      <c r="DN3" s="639">
        <v>0</v>
      </c>
      <c r="DO3" s="944">
        <f>+DL3/$DR$2*$DS$2</f>
        <v>51697388</v>
      </c>
      <c r="DP3" s="944">
        <f>+DM3/$DR$2*$DS$2</f>
        <v>0</v>
      </c>
      <c r="DQ3" s="944">
        <f>+DN3/$DR$2*$DS$2</f>
        <v>0</v>
      </c>
      <c r="DU3" s="962" t="s">
        <v>444</v>
      </c>
      <c r="DV3" s="962" t="s">
        <v>468</v>
      </c>
      <c r="DW3" s="962" t="s">
        <v>446</v>
      </c>
      <c r="DX3" s="962" t="s">
        <v>322</v>
      </c>
      <c r="DY3" s="963" t="s">
        <v>547</v>
      </c>
      <c r="DZ3" s="964">
        <v>0</v>
      </c>
      <c r="EA3" s="964">
        <v>0</v>
      </c>
      <c r="EB3" s="964">
        <v>51656</v>
      </c>
      <c r="EC3" s="965">
        <f>+DZ3/$EF$2*$EG$2</f>
        <v>0</v>
      </c>
      <c r="ED3" s="965">
        <f>+EA3/$EF$2*$EG$2</f>
        <v>0</v>
      </c>
      <c r="EE3" s="965">
        <f>+EB3/$EF$2*$EG$2</f>
        <v>51.655999999999999</v>
      </c>
      <c r="EI3" s="637" t="s">
        <v>442</v>
      </c>
      <c r="EJ3" s="637" t="s">
        <v>220</v>
      </c>
      <c r="EK3" s="637" t="s">
        <v>497</v>
      </c>
      <c r="EL3" s="637" t="s">
        <v>297</v>
      </c>
      <c r="EM3" s="637" t="s">
        <v>547</v>
      </c>
      <c r="EN3" s="637">
        <v>51697388000</v>
      </c>
      <c r="EO3" s="637">
        <v>0</v>
      </c>
      <c r="EP3" s="637">
        <v>0</v>
      </c>
      <c r="EQ3" s="966">
        <f>+EN3/$ET$2*$EU$2</f>
        <v>51697388</v>
      </c>
      <c r="ER3" s="966">
        <f>+EO3/$ET$2*$EU$2</f>
        <v>0</v>
      </c>
      <c r="ES3" s="966">
        <f>+EP3/$ET$2*$EU$2</f>
        <v>0</v>
      </c>
      <c r="EW3" s="637" t="s">
        <v>444</v>
      </c>
      <c r="EX3" s="637" t="s">
        <v>468</v>
      </c>
      <c r="EY3" s="637" t="s">
        <v>474</v>
      </c>
      <c r="EZ3" s="637" t="s">
        <v>276</v>
      </c>
      <c r="FA3" s="638" t="s">
        <v>547</v>
      </c>
      <c r="FB3" s="966">
        <v>2038223000</v>
      </c>
      <c r="FC3" s="966">
        <v>0</v>
      </c>
      <c r="FD3" s="966">
        <v>0</v>
      </c>
      <c r="FE3" s="966">
        <f>+FB3/$FH$2*$FI$2</f>
        <v>2038223</v>
      </c>
      <c r="FF3" s="966">
        <f>+FC3/$FH$2*$FI$2</f>
        <v>0</v>
      </c>
      <c r="FG3" s="966">
        <f>+FD3/$FH$2*$FI$2</f>
        <v>0</v>
      </c>
      <c r="FK3" s="637" t="s">
        <v>442</v>
      </c>
      <c r="FL3" s="637" t="s">
        <v>220</v>
      </c>
      <c r="FM3" s="637" t="s">
        <v>497</v>
      </c>
      <c r="FN3" s="637" t="s">
        <v>297</v>
      </c>
      <c r="FO3" s="637" t="s">
        <v>547</v>
      </c>
      <c r="FP3" s="966">
        <v>51697388000</v>
      </c>
      <c r="FQ3" s="966">
        <v>0</v>
      </c>
      <c r="FR3" s="966">
        <v>0</v>
      </c>
      <c r="FS3" s="944">
        <f>+FP3/$FV$2*$FW$2</f>
        <v>51697388</v>
      </c>
      <c r="FT3" s="944">
        <f>+FQ3/$FV$2*$FW$2</f>
        <v>0</v>
      </c>
      <c r="FU3" s="944">
        <f>+FR3/$FV$2*$FW$2</f>
        <v>0</v>
      </c>
      <c r="FY3" s="637" t="s">
        <v>442</v>
      </c>
      <c r="FZ3" s="637" t="s">
        <v>220</v>
      </c>
      <c r="GA3" s="637" t="s">
        <v>443</v>
      </c>
      <c r="GB3" s="637" t="s">
        <v>321</v>
      </c>
      <c r="GC3" s="638" t="s">
        <v>547</v>
      </c>
      <c r="GD3" s="639">
        <v>0</v>
      </c>
      <c r="GE3" s="639">
        <v>61995537</v>
      </c>
      <c r="GF3" s="639">
        <v>0</v>
      </c>
      <c r="GG3" s="966">
        <f>+GD3/$GJ$2*$GK$2</f>
        <v>0</v>
      </c>
      <c r="GH3" s="966">
        <f>+GE3/$GJ$2*$GK$2</f>
        <v>61995.536999999997</v>
      </c>
      <c r="GI3" s="966">
        <f>+GF3/$GJ$2*$GK$2</f>
        <v>0</v>
      </c>
      <c r="GM3" s="967" t="s">
        <v>442</v>
      </c>
      <c r="GN3" s="968" t="s">
        <v>220</v>
      </c>
      <c r="GO3" s="967" t="s">
        <v>497</v>
      </c>
      <c r="GP3" s="967" t="s">
        <v>297</v>
      </c>
      <c r="GQ3" s="968" t="s">
        <v>547</v>
      </c>
      <c r="GR3" s="969">
        <v>51697388000</v>
      </c>
      <c r="GS3" s="969">
        <v>0</v>
      </c>
      <c r="GT3" s="969">
        <v>0</v>
      </c>
      <c r="GU3" s="969">
        <f>+GR3/$GX$2*$GY$2</f>
        <v>51697388</v>
      </c>
      <c r="GV3" s="969">
        <f>+GS3/$GX$2*$GY$2</f>
        <v>0</v>
      </c>
      <c r="GW3" s="969">
        <f>+GT3/$GX$2*$GY$2</f>
        <v>0</v>
      </c>
      <c r="HA3" s="637" t="s">
        <v>444</v>
      </c>
      <c r="HB3" s="637" t="s">
        <v>468</v>
      </c>
      <c r="HC3" s="637" t="s">
        <v>474</v>
      </c>
      <c r="HD3" s="637" t="s">
        <v>276</v>
      </c>
      <c r="HE3" s="638" t="s">
        <v>547</v>
      </c>
      <c r="HF3" s="639">
        <v>0</v>
      </c>
      <c r="HG3" s="639">
        <v>1456425985</v>
      </c>
      <c r="HH3" s="639">
        <v>652018635</v>
      </c>
      <c r="HI3" s="639">
        <f>+HF3/$HL$2*$HM$2</f>
        <v>0</v>
      </c>
      <c r="HJ3" s="639">
        <f>+HG3/$HL$2*$HM$2</f>
        <v>1456425.9850000001</v>
      </c>
      <c r="HK3" s="639">
        <f>+HH3/$HL$2*$HM$2</f>
        <v>652018.63500000001</v>
      </c>
      <c r="HO3" s="967" t="s">
        <v>442</v>
      </c>
      <c r="HP3" s="967" t="s">
        <v>220</v>
      </c>
      <c r="HQ3" s="967" t="s">
        <v>497</v>
      </c>
      <c r="HR3" s="967" t="s">
        <v>297</v>
      </c>
      <c r="HS3" s="638" t="s">
        <v>547</v>
      </c>
      <c r="HT3" s="639">
        <v>51697388000</v>
      </c>
      <c r="HU3" s="639">
        <v>0</v>
      </c>
      <c r="HV3" s="639">
        <v>0</v>
      </c>
      <c r="HW3" s="944">
        <f>+HT3/$HZ$2*$IA$2</f>
        <v>51697388</v>
      </c>
      <c r="HX3" s="944">
        <f>+HU3/$HZ$2*$IA$2</f>
        <v>0</v>
      </c>
      <c r="HY3" s="944">
        <f>+HV3/$HZ$2*$IA$2</f>
        <v>0</v>
      </c>
      <c r="IC3" s="637" t="s">
        <v>442</v>
      </c>
      <c r="ID3" s="637" t="s">
        <v>220</v>
      </c>
      <c r="IE3" s="637" t="s">
        <v>443</v>
      </c>
      <c r="IF3" s="637" t="s">
        <v>321</v>
      </c>
      <c r="IG3" s="638" t="s">
        <v>547</v>
      </c>
      <c r="IH3" s="639">
        <v>0</v>
      </c>
      <c r="II3" s="639">
        <v>95712408</v>
      </c>
      <c r="IJ3" s="639">
        <v>157707945</v>
      </c>
      <c r="IK3" s="965">
        <f>+IH3/$IN$2*$IO$2</f>
        <v>0</v>
      </c>
      <c r="IL3" s="965">
        <f t="shared" ref="IL3:IM3" si="4">+II3/$IN$2*$IO$2</f>
        <v>95712.407999999996</v>
      </c>
      <c r="IM3" s="965">
        <f t="shared" si="4"/>
        <v>157707.94500000001</v>
      </c>
      <c r="IQ3" s="967" t="s">
        <v>442</v>
      </c>
      <c r="IR3" s="967" t="s">
        <v>220</v>
      </c>
      <c r="IS3" s="967" t="s">
        <v>497</v>
      </c>
      <c r="IT3" s="967" t="s">
        <v>297</v>
      </c>
      <c r="IU3" s="968" t="s">
        <v>547</v>
      </c>
      <c r="IV3" s="969">
        <v>51697388000</v>
      </c>
      <c r="IW3" s="969">
        <v>0</v>
      </c>
      <c r="IX3" s="969">
        <v>0</v>
      </c>
      <c r="IY3" s="970">
        <f>+IV3/$JB$2*$JC$2</f>
        <v>51697388</v>
      </c>
      <c r="IZ3" s="970">
        <f t="shared" ref="IZ3:JA3" si="5">+IW3/$JB$2*$JC$2</f>
        <v>0</v>
      </c>
      <c r="JA3" s="970">
        <f t="shared" si="5"/>
        <v>0</v>
      </c>
      <c r="JE3" s="968" t="s">
        <v>444</v>
      </c>
      <c r="JF3" s="968" t="s">
        <v>468</v>
      </c>
      <c r="JG3" s="968" t="s">
        <v>445</v>
      </c>
      <c r="JH3" s="968" t="s">
        <v>277</v>
      </c>
      <c r="JI3" s="638" t="s">
        <v>547</v>
      </c>
      <c r="JJ3" s="639">
        <v>21453079</v>
      </c>
      <c r="JK3" s="944">
        <f>JJ3/$JL$2*$JM$2</f>
        <v>21453.079000000002</v>
      </c>
      <c r="JO3" s="966" t="s">
        <v>442</v>
      </c>
      <c r="JP3" s="966" t="s">
        <v>220</v>
      </c>
      <c r="JQ3" s="966" t="s">
        <v>497</v>
      </c>
      <c r="JR3" s="640" t="s">
        <v>297</v>
      </c>
      <c r="JS3" s="640" t="s">
        <v>547</v>
      </c>
      <c r="JT3" s="971">
        <v>51697388000</v>
      </c>
      <c r="JU3" s="971">
        <v>0</v>
      </c>
      <c r="JV3" s="971">
        <v>0</v>
      </c>
      <c r="JW3" s="945">
        <f>+JT3/$JZ$2*$KA$2</f>
        <v>51697388</v>
      </c>
      <c r="JX3" s="945">
        <f t="shared" ref="JX3:JY3" si="6">+JU3/$JZ$2*$KA$2</f>
        <v>0</v>
      </c>
      <c r="JY3" s="945">
        <f t="shared" si="6"/>
        <v>0</v>
      </c>
    </row>
    <row r="4" spans="1:287" ht="15" customHeight="1" x14ac:dyDescent="0.3">
      <c r="A4" s="954" t="s">
        <v>442</v>
      </c>
      <c r="B4" s="954" t="s">
        <v>220</v>
      </c>
      <c r="C4" s="954" t="s">
        <v>443</v>
      </c>
      <c r="D4" s="954" t="s">
        <v>321</v>
      </c>
      <c r="E4" s="955">
        <v>18740068000</v>
      </c>
      <c r="F4" s="955">
        <f t="shared" ref="F4:F43" si="7">+E4/$I$2*$J$2</f>
        <v>19920692.283999998</v>
      </c>
      <c r="G4" s="955">
        <v>0</v>
      </c>
      <c r="H4" s="955">
        <f t="shared" ref="H4:H43" si="8">+G4/$I$2*$J$2</f>
        <v>0</v>
      </c>
      <c r="L4" s="956" t="s">
        <v>442</v>
      </c>
      <c r="M4" s="956" t="s">
        <v>220</v>
      </c>
      <c r="N4" s="956" t="s">
        <v>443</v>
      </c>
      <c r="O4" s="956" t="s">
        <v>321</v>
      </c>
      <c r="P4" s="957">
        <v>-54329958</v>
      </c>
      <c r="Q4" s="957">
        <f t="shared" ref="Q4:Q16" si="9">+P4/$R$1*$S$1</f>
        <v>-57752.745353999999</v>
      </c>
      <c r="U4" s="956" t="s">
        <v>442</v>
      </c>
      <c r="V4" s="956" t="s">
        <v>220</v>
      </c>
      <c r="W4" s="956" t="s">
        <v>443</v>
      </c>
      <c r="X4" s="956" t="s">
        <v>321</v>
      </c>
      <c r="Y4" s="957">
        <v>18740068000</v>
      </c>
      <c r="Z4" s="957">
        <f t="shared" ref="Z4:Z26" si="10">+Y4/$AA$2*$AB$2</f>
        <v>19920692.283999998</v>
      </c>
      <c r="AD4" s="956" t="s">
        <v>442</v>
      </c>
      <c r="AE4" s="956" t="s">
        <v>220</v>
      </c>
      <c r="AF4" s="956" t="s">
        <v>443</v>
      </c>
      <c r="AG4" s="958" t="s">
        <v>321</v>
      </c>
      <c r="AH4" s="957">
        <v>18740054430</v>
      </c>
      <c r="AI4" s="957">
        <f t="shared" ref="AI4:AI16" si="11">+AH4/$AJ$2*$AK$2</f>
        <v>19920677.85909</v>
      </c>
      <c r="AM4" s="956" t="s">
        <v>442</v>
      </c>
      <c r="AN4" s="956" t="s">
        <v>220</v>
      </c>
      <c r="AO4" s="956" t="s">
        <v>443</v>
      </c>
      <c r="AP4" s="956" t="s">
        <v>321</v>
      </c>
      <c r="AQ4" s="957">
        <v>18740068000</v>
      </c>
      <c r="AR4" s="957">
        <f>+AQ4/$AT$2*$AU$2</f>
        <v>19920692.283999998</v>
      </c>
      <c r="AS4" s="957">
        <v>0</v>
      </c>
      <c r="AV4" s="944"/>
      <c r="AX4" s="956" t="s">
        <v>444</v>
      </c>
      <c r="AY4" s="956" t="s">
        <v>468</v>
      </c>
      <c r="AZ4" s="956" t="s">
        <v>474</v>
      </c>
      <c r="BA4" s="956" t="s">
        <v>276</v>
      </c>
      <c r="BB4" s="957">
        <v>88348600</v>
      </c>
      <c r="BC4" s="957">
        <f t="shared" si="0"/>
        <v>93914.561799999996</v>
      </c>
      <c r="BG4" s="959" t="s">
        <v>442</v>
      </c>
      <c r="BH4" s="959" t="s">
        <v>220</v>
      </c>
      <c r="BI4" s="959">
        <v>42403001</v>
      </c>
      <c r="BJ4" s="959" t="s">
        <v>297</v>
      </c>
      <c r="BK4" s="960">
        <v>0</v>
      </c>
      <c r="BL4" s="960">
        <v>51697388000</v>
      </c>
      <c r="BM4" s="960">
        <v>51231026071</v>
      </c>
      <c r="BN4" s="943">
        <f t="shared" si="1"/>
        <v>0</v>
      </c>
      <c r="BO4" s="943">
        <f t="shared" si="2"/>
        <v>54954323.443999998</v>
      </c>
      <c r="BP4" s="943">
        <f t="shared" si="3"/>
        <v>54458580.713473</v>
      </c>
      <c r="BT4" s="637" t="s">
        <v>452</v>
      </c>
      <c r="BU4" s="637" t="s">
        <v>128</v>
      </c>
      <c r="BV4" s="637" t="s">
        <v>447</v>
      </c>
      <c r="BW4" s="637" t="s">
        <v>447</v>
      </c>
      <c r="BX4" s="638" t="s">
        <v>547</v>
      </c>
      <c r="BY4" s="639">
        <v>0</v>
      </c>
      <c r="BZ4" s="639">
        <v>0</v>
      </c>
      <c r="CA4" s="639">
        <v>0</v>
      </c>
      <c r="CB4" s="944">
        <f t="shared" ref="CB4:CB17" si="12">+BY4/$CE$2*$CF$2</f>
        <v>0</v>
      </c>
      <c r="CC4" s="944">
        <f t="shared" ref="CC4:CC17" si="13">+BZ4/$CE$2*$CF$2</f>
        <v>0</v>
      </c>
      <c r="CD4" s="944">
        <f t="shared" ref="CD4:CD17" si="14">+CA4/$CE$2*$CF$2</f>
        <v>0</v>
      </c>
      <c r="CH4" s="637" t="s">
        <v>442</v>
      </c>
      <c r="CI4" s="637" t="s">
        <v>220</v>
      </c>
      <c r="CJ4" s="637" t="s">
        <v>443</v>
      </c>
      <c r="CK4" s="637" t="s">
        <v>321</v>
      </c>
      <c r="CL4" s="639">
        <v>18740068000</v>
      </c>
      <c r="CM4" s="639">
        <v>0</v>
      </c>
      <c r="CN4" s="639">
        <v>0</v>
      </c>
      <c r="CO4" s="961">
        <f t="shared" ref="CO4:CO49" si="15">+CL4/$CR$2*$CS$2</f>
        <v>18740068</v>
      </c>
      <c r="CP4" s="961">
        <f t="shared" ref="CP4:CP49" si="16">+CM4/$CR$2*$CS$2</f>
        <v>0</v>
      </c>
      <c r="CQ4" s="961">
        <f t="shared" ref="CQ4:CQ49" si="17">+CN4/$CR$2*$CS$2</f>
        <v>0</v>
      </c>
      <c r="CU4" s="637" t="s">
        <v>442</v>
      </c>
      <c r="CV4" s="637" t="s">
        <v>220</v>
      </c>
      <c r="CW4" s="637" t="s">
        <v>497</v>
      </c>
      <c r="CX4" s="637" t="s">
        <v>297</v>
      </c>
      <c r="CY4" s="639">
        <v>0</v>
      </c>
      <c r="CZ4" s="639">
        <v>0</v>
      </c>
      <c r="DA4" s="639">
        <v>39357448</v>
      </c>
      <c r="DB4" s="944">
        <f t="shared" ref="DB4:DB26" si="18">+CY4/$DE$2*$DF$2</f>
        <v>0</v>
      </c>
      <c r="DC4" s="944">
        <f t="shared" ref="DC4:DC26" si="19">+CZ4/$DE$2*$DF$2</f>
        <v>0</v>
      </c>
      <c r="DD4" s="944">
        <f t="shared" ref="DD4:DD25" si="20">+DA4/$DE$2*$DF$2</f>
        <v>39357.447999999997</v>
      </c>
      <c r="DH4" s="637" t="s">
        <v>442</v>
      </c>
      <c r="DI4" s="637" t="s">
        <v>220</v>
      </c>
      <c r="DJ4" s="637" t="s">
        <v>443</v>
      </c>
      <c r="DK4" s="637" t="s">
        <v>321</v>
      </c>
      <c r="DL4" s="639">
        <v>18740068000</v>
      </c>
      <c r="DM4" s="639">
        <v>0</v>
      </c>
      <c r="DN4" s="639">
        <v>0</v>
      </c>
      <c r="DO4" s="944">
        <f t="shared" ref="DO4:DO48" si="21">+DL4/$DR$2*$DS$2</f>
        <v>18740068</v>
      </c>
      <c r="DP4" s="944">
        <f t="shared" ref="DP4:DP48" si="22">+DM4/$DR$2*$DS$2</f>
        <v>0</v>
      </c>
      <c r="DQ4" s="944">
        <f t="shared" ref="DQ4:DQ48" si="23">+DN4/$DR$2*$DS$2</f>
        <v>0</v>
      </c>
      <c r="DU4" s="962" t="s">
        <v>444</v>
      </c>
      <c r="DV4" s="962" t="s">
        <v>468</v>
      </c>
      <c r="DW4" s="962" t="s">
        <v>447</v>
      </c>
      <c r="DX4" s="962" t="s">
        <v>447</v>
      </c>
      <c r="DY4" s="963" t="s">
        <v>547</v>
      </c>
      <c r="DZ4" s="964">
        <v>0</v>
      </c>
      <c r="EA4" s="964">
        <v>0</v>
      </c>
      <c r="EB4" s="964">
        <v>0</v>
      </c>
      <c r="EC4" s="965">
        <f t="shared" ref="EC4:EC17" si="24">+DZ4/$EF$2*$EG$2</f>
        <v>0</v>
      </c>
      <c r="ED4" s="965">
        <f t="shared" ref="ED4:ED17" si="25">+EA4/$EF$2*$EG$2</f>
        <v>0</v>
      </c>
      <c r="EE4" s="965">
        <f t="shared" ref="EE4:EE17" si="26">+EB4/$EF$2*$EG$2</f>
        <v>0</v>
      </c>
      <c r="EI4" s="637" t="s">
        <v>442</v>
      </c>
      <c r="EJ4" s="637" t="s">
        <v>220</v>
      </c>
      <c r="EK4" s="637" t="s">
        <v>443</v>
      </c>
      <c r="EL4" s="637" t="s">
        <v>321</v>
      </c>
      <c r="EM4" s="637" t="s">
        <v>547</v>
      </c>
      <c r="EN4" s="637">
        <v>18897776000</v>
      </c>
      <c r="EO4" s="637">
        <v>0</v>
      </c>
      <c r="EP4" s="637">
        <v>0</v>
      </c>
      <c r="EQ4" s="966">
        <f t="shared" ref="EQ4:EQ49" si="27">+EN4/$ET$2*$EU$2</f>
        <v>18897776</v>
      </c>
      <c r="ER4" s="966">
        <f t="shared" ref="ER4:ER49" si="28">+EO4/$ET$2*$EU$2</f>
        <v>0</v>
      </c>
      <c r="ES4" s="966">
        <f t="shared" ref="ES4:ES49" si="29">+EP4/$ET$2*$EU$2</f>
        <v>0</v>
      </c>
      <c r="EW4" s="637" t="s">
        <v>444</v>
      </c>
      <c r="EX4" s="637" t="s">
        <v>468</v>
      </c>
      <c r="EY4" s="637" t="s">
        <v>446</v>
      </c>
      <c r="EZ4" s="637" t="s">
        <v>322</v>
      </c>
      <c r="FA4" s="638" t="s">
        <v>547</v>
      </c>
      <c r="FB4" s="966">
        <v>0</v>
      </c>
      <c r="FC4" s="966">
        <v>0</v>
      </c>
      <c r="FD4" s="966">
        <v>51656</v>
      </c>
      <c r="FE4" s="966">
        <f t="shared" ref="FE4:FE23" si="30">+FB4/$FH$2*$FI$2</f>
        <v>0</v>
      </c>
      <c r="FF4" s="966">
        <f t="shared" ref="FF4:FF23" si="31">+FC4/$FH$2*$FI$2</f>
        <v>0</v>
      </c>
      <c r="FG4" s="966">
        <f t="shared" ref="FG4:FG23" si="32">+FD4/$FH$2*$FI$2</f>
        <v>51.655999999999999</v>
      </c>
      <c r="FK4" s="637" t="s">
        <v>442</v>
      </c>
      <c r="FL4" s="637" t="s">
        <v>220</v>
      </c>
      <c r="FM4" s="637" t="s">
        <v>443</v>
      </c>
      <c r="FN4" s="637" t="s">
        <v>321</v>
      </c>
      <c r="FO4" s="637" t="s">
        <v>547</v>
      </c>
      <c r="FP4" s="966">
        <v>18897776000</v>
      </c>
      <c r="FQ4" s="966">
        <v>0</v>
      </c>
      <c r="FR4" s="966">
        <v>0</v>
      </c>
      <c r="FS4" s="944">
        <f t="shared" ref="FS4:FS51" si="33">+FP4/$FV$2*$FW$2</f>
        <v>18897776</v>
      </c>
      <c r="FT4" s="944">
        <f t="shared" ref="FT4:FT51" si="34">+FQ4/$FV$2*$FW$2</f>
        <v>0</v>
      </c>
      <c r="FU4" s="944">
        <f t="shared" ref="FU4:FU51" si="35">+FR4/$FV$2*$FW$2</f>
        <v>0</v>
      </c>
      <c r="FY4" s="637" t="s">
        <v>444</v>
      </c>
      <c r="FZ4" s="637" t="s">
        <v>468</v>
      </c>
      <c r="GA4" s="637" t="s">
        <v>447</v>
      </c>
      <c r="GB4" s="637" t="s">
        <v>447</v>
      </c>
      <c r="GC4" s="638" t="s">
        <v>547</v>
      </c>
      <c r="GD4" s="639">
        <v>0</v>
      </c>
      <c r="GE4" s="639">
        <v>0</v>
      </c>
      <c r="GF4" s="639">
        <v>0</v>
      </c>
      <c r="GG4" s="966">
        <f t="shared" ref="GG4:GG24" si="36">+GD4/$GJ$2*$GK$2</f>
        <v>0</v>
      </c>
      <c r="GH4" s="966">
        <f t="shared" ref="GH4:GH24" si="37">+GE4/$GJ$2*$GK$2</f>
        <v>0</v>
      </c>
      <c r="GI4" s="966">
        <f t="shared" ref="GI4:GI24" si="38">+GF4/$GJ$2*$GK$2</f>
        <v>0</v>
      </c>
      <c r="GM4" s="967" t="s">
        <v>442</v>
      </c>
      <c r="GN4" s="968" t="s">
        <v>220</v>
      </c>
      <c r="GO4" s="967" t="s">
        <v>443</v>
      </c>
      <c r="GP4" s="967" t="s">
        <v>321</v>
      </c>
      <c r="GQ4" s="968" t="s">
        <v>547</v>
      </c>
      <c r="GR4" s="969">
        <v>18897776000</v>
      </c>
      <c r="GS4" s="969">
        <v>0</v>
      </c>
      <c r="GT4" s="969">
        <v>0</v>
      </c>
      <c r="GU4" s="969">
        <f t="shared" ref="GU4:GU50" si="39">+GR4/$GX$2*$GY$2</f>
        <v>18897776</v>
      </c>
      <c r="GV4" s="969">
        <f t="shared" ref="GV4:GV50" si="40">+GS4/$GX$2*$GY$2</f>
        <v>0</v>
      </c>
      <c r="GW4" s="969">
        <f t="shared" ref="GW4:GW50" si="41">+GT4/$GX$2*$GY$2</f>
        <v>0</v>
      </c>
      <c r="HA4" s="637" t="s">
        <v>444</v>
      </c>
      <c r="HB4" s="637" t="s">
        <v>468</v>
      </c>
      <c r="HC4" s="637" t="s">
        <v>445</v>
      </c>
      <c r="HD4" s="637" t="s">
        <v>277</v>
      </c>
      <c r="HE4" s="638" t="s">
        <v>547</v>
      </c>
      <c r="HF4" s="639">
        <v>0</v>
      </c>
      <c r="HG4" s="639">
        <v>0</v>
      </c>
      <c r="HH4" s="639">
        <v>18145476</v>
      </c>
      <c r="HI4" s="639">
        <f t="shared" ref="HI4:HI22" si="42">+HF4/$HL$2*$HM$2</f>
        <v>0</v>
      </c>
      <c r="HJ4" s="639">
        <f t="shared" ref="HJ4:HJ22" si="43">+HG4/$HL$2*$HM$2</f>
        <v>0</v>
      </c>
      <c r="HK4" s="639">
        <f t="shared" ref="HK4:HK22" si="44">+HH4/$HL$2*$HM$2</f>
        <v>18145.475999999999</v>
      </c>
      <c r="HO4" s="967" t="s">
        <v>442</v>
      </c>
      <c r="HP4" s="967" t="s">
        <v>220</v>
      </c>
      <c r="HQ4" s="967" t="s">
        <v>443</v>
      </c>
      <c r="HR4" s="967" t="s">
        <v>321</v>
      </c>
      <c r="HS4" s="638" t="s">
        <v>547</v>
      </c>
      <c r="HT4" s="639">
        <v>18897776000</v>
      </c>
      <c r="HU4" s="639">
        <v>0</v>
      </c>
      <c r="HV4" s="639">
        <v>0</v>
      </c>
      <c r="HW4" s="944">
        <f t="shared" ref="HW4:HW51" si="45">+HT4/$HZ$2*$IA$2</f>
        <v>18897776</v>
      </c>
      <c r="HX4" s="944">
        <f t="shared" ref="HX4:HX51" si="46">+HU4/$HZ$2*$IA$2</f>
        <v>0</v>
      </c>
      <c r="HY4" s="944">
        <f t="shared" ref="HY4:HY51" si="47">+HV4/$HZ$2*$IA$2</f>
        <v>0</v>
      </c>
      <c r="IC4" s="637" t="s">
        <v>442</v>
      </c>
      <c r="ID4" s="637" t="s">
        <v>220</v>
      </c>
      <c r="IE4" s="637" t="s">
        <v>447</v>
      </c>
      <c r="IF4" s="637" t="s">
        <v>447</v>
      </c>
      <c r="IG4" s="638" t="s">
        <v>547</v>
      </c>
      <c r="IH4" s="639">
        <v>0</v>
      </c>
      <c r="II4" s="639">
        <v>0</v>
      </c>
      <c r="IJ4" s="639">
        <v>0</v>
      </c>
      <c r="IK4" s="965">
        <f t="shared" ref="IK4:IK41" si="48">+IH4/$IN$2*$IO$2</f>
        <v>0</v>
      </c>
      <c r="IL4" s="965">
        <f t="shared" ref="IL4:IL41" si="49">+II4/$IN$2*$IO$2</f>
        <v>0</v>
      </c>
      <c r="IM4" s="965">
        <f t="shared" ref="IM4:IM41" si="50">+IJ4/$IN$2*$IO$2</f>
        <v>0</v>
      </c>
      <c r="IQ4" s="967" t="s">
        <v>442</v>
      </c>
      <c r="IR4" s="967" t="s">
        <v>220</v>
      </c>
      <c r="IS4" s="967" t="s">
        <v>443</v>
      </c>
      <c r="IT4" s="967" t="s">
        <v>321</v>
      </c>
      <c r="IU4" s="968" t="s">
        <v>547</v>
      </c>
      <c r="IV4" s="969">
        <v>18897776000</v>
      </c>
      <c r="IW4" s="969">
        <v>0</v>
      </c>
      <c r="IX4" s="969">
        <v>0</v>
      </c>
      <c r="IY4" s="970">
        <f t="shared" ref="IY4:IY23" si="51">+IV4/$JB$2*$JC$2</f>
        <v>18897776</v>
      </c>
      <c r="IZ4" s="970">
        <f t="shared" ref="IZ4:IZ23" si="52">+IW4/$JB$2*$JC$2</f>
        <v>0</v>
      </c>
      <c r="JA4" s="970">
        <f t="shared" ref="JA4:JA23" si="53">+IX4/$JB$2*$JC$2</f>
        <v>0</v>
      </c>
      <c r="JE4" s="968" t="s">
        <v>444</v>
      </c>
      <c r="JF4" s="968" t="s">
        <v>468</v>
      </c>
      <c r="JG4" s="968" t="s">
        <v>474</v>
      </c>
      <c r="JH4" s="968" t="s">
        <v>276</v>
      </c>
      <c r="JI4" s="638" t="s">
        <v>547</v>
      </c>
      <c r="JJ4" s="639">
        <v>190231663</v>
      </c>
      <c r="JK4" s="944">
        <f t="shared" ref="JK4:JK23" si="54">JJ4/$JL$2*$JM$2</f>
        <v>190231.663</v>
      </c>
      <c r="JO4" s="966" t="s">
        <v>442</v>
      </c>
      <c r="JP4" s="966" t="s">
        <v>220</v>
      </c>
      <c r="JQ4" s="966" t="s">
        <v>443</v>
      </c>
      <c r="JR4" s="640" t="s">
        <v>321</v>
      </c>
      <c r="JS4" s="640" t="s">
        <v>547</v>
      </c>
      <c r="JT4" s="971">
        <v>18897776000</v>
      </c>
      <c r="JU4" s="971">
        <v>0</v>
      </c>
      <c r="JV4" s="971">
        <v>0</v>
      </c>
      <c r="JW4" s="945">
        <f t="shared" ref="JW4:JW56" si="55">+JT4/$JZ$2*$KA$2</f>
        <v>18897776</v>
      </c>
      <c r="JX4" s="945">
        <f t="shared" ref="JX4:JX56" si="56">+JU4/$JZ$2*$KA$2</f>
        <v>0</v>
      </c>
      <c r="JY4" s="945">
        <f t="shared" ref="JY4:JY56" si="57">+JV4/$JZ$2*$KA$2</f>
        <v>0</v>
      </c>
    </row>
    <row r="5" spans="1:287" ht="15" customHeight="1" x14ac:dyDescent="0.3">
      <c r="A5" s="954" t="s">
        <v>442</v>
      </c>
      <c r="B5" s="954" t="s">
        <v>220</v>
      </c>
      <c r="C5" s="954" t="s">
        <v>447</v>
      </c>
      <c r="D5" s="954" t="s">
        <v>447</v>
      </c>
      <c r="E5" s="955">
        <v>0</v>
      </c>
      <c r="F5" s="955">
        <f t="shared" si="7"/>
        <v>0</v>
      </c>
      <c r="G5" s="955">
        <v>0</v>
      </c>
      <c r="H5" s="955">
        <f t="shared" si="8"/>
        <v>0</v>
      </c>
      <c r="L5" s="956" t="s">
        <v>444</v>
      </c>
      <c r="M5" s="956" t="s">
        <v>468</v>
      </c>
      <c r="N5" s="956" t="s">
        <v>446</v>
      </c>
      <c r="O5" s="956" t="s">
        <v>322</v>
      </c>
      <c r="P5" s="957">
        <v>141517</v>
      </c>
      <c r="Q5" s="957">
        <f t="shared" si="9"/>
        <v>150.432571</v>
      </c>
      <c r="U5" s="956" t="s">
        <v>444</v>
      </c>
      <c r="V5" s="956" t="s">
        <v>468</v>
      </c>
      <c r="W5" s="956" t="s">
        <v>474</v>
      </c>
      <c r="X5" s="956" t="s">
        <v>276</v>
      </c>
      <c r="Y5" s="957">
        <v>1810619225</v>
      </c>
      <c r="Z5" s="957">
        <f t="shared" si="10"/>
        <v>1924688.236175</v>
      </c>
      <c r="AD5" s="956" t="s">
        <v>444</v>
      </c>
      <c r="AE5" s="956" t="s">
        <v>468</v>
      </c>
      <c r="AF5" s="956" t="s">
        <v>471</v>
      </c>
      <c r="AG5" s="958" t="s">
        <v>279</v>
      </c>
      <c r="AH5" s="957">
        <v>1447554</v>
      </c>
      <c r="AI5" s="957">
        <f t="shared" si="11"/>
        <v>1538.749902</v>
      </c>
      <c r="AM5" s="956" t="s">
        <v>442</v>
      </c>
      <c r="AN5" s="956" t="s">
        <v>220</v>
      </c>
      <c r="AO5" s="956" t="s">
        <v>497</v>
      </c>
      <c r="AP5" s="956" t="s">
        <v>297</v>
      </c>
      <c r="AQ5" s="957">
        <v>0</v>
      </c>
      <c r="AR5" s="957">
        <f t="shared" ref="AR5:AR48" si="58">+AQ5/$AT$2*$AU$2</f>
        <v>0</v>
      </c>
      <c r="AS5" s="957">
        <v>51231026071</v>
      </c>
      <c r="AV5" s="944"/>
      <c r="AX5" s="956" t="s">
        <v>451</v>
      </c>
      <c r="AY5" s="956" t="s">
        <v>470</v>
      </c>
      <c r="AZ5" s="956" t="s">
        <v>447</v>
      </c>
      <c r="BA5" s="956" t="s">
        <v>447</v>
      </c>
      <c r="BB5" s="957">
        <v>220000000</v>
      </c>
      <c r="BC5" s="957">
        <f t="shared" si="0"/>
        <v>233860</v>
      </c>
      <c r="BG5" s="956" t="s">
        <v>442</v>
      </c>
      <c r="BH5" s="956" t="s">
        <v>220</v>
      </c>
      <c r="BI5" s="956" t="s">
        <v>443</v>
      </c>
      <c r="BJ5" s="956" t="s">
        <v>321</v>
      </c>
      <c r="BK5" s="957">
        <v>18740068000</v>
      </c>
      <c r="BL5" s="957">
        <v>0</v>
      </c>
      <c r="BM5" s="957">
        <v>0</v>
      </c>
      <c r="BN5" s="946">
        <f t="shared" si="1"/>
        <v>19920692.283999998</v>
      </c>
      <c r="BO5" s="946">
        <f t="shared" si="2"/>
        <v>0</v>
      </c>
      <c r="BP5" s="946">
        <f t="shared" si="3"/>
        <v>0</v>
      </c>
      <c r="BT5" s="637" t="s">
        <v>442</v>
      </c>
      <c r="BU5" s="637" t="s">
        <v>220</v>
      </c>
      <c r="BV5" s="637">
        <v>42403001</v>
      </c>
      <c r="BW5" s="637" t="s">
        <v>297</v>
      </c>
      <c r="BX5" s="638" t="s">
        <v>547</v>
      </c>
      <c r="BY5" s="639">
        <v>0</v>
      </c>
      <c r="BZ5" s="639">
        <v>0</v>
      </c>
      <c r="CA5" s="639">
        <v>427004481</v>
      </c>
      <c r="CB5" s="944">
        <f t="shared" si="12"/>
        <v>0</v>
      </c>
      <c r="CC5" s="944">
        <f t="shared" si="13"/>
        <v>0</v>
      </c>
      <c r="CD5" s="944">
        <f t="shared" si="14"/>
        <v>427004.48100000003</v>
      </c>
      <c r="CH5" s="637" t="s">
        <v>442</v>
      </c>
      <c r="CI5" s="637" t="s">
        <v>220</v>
      </c>
      <c r="CJ5" s="637" t="s">
        <v>447</v>
      </c>
      <c r="CK5" s="637" t="s">
        <v>447</v>
      </c>
      <c r="CL5" s="639">
        <v>0</v>
      </c>
      <c r="CM5" s="639">
        <v>0</v>
      </c>
      <c r="CN5" s="639">
        <v>0</v>
      </c>
      <c r="CO5" s="961">
        <f t="shared" si="15"/>
        <v>0</v>
      </c>
      <c r="CP5" s="961">
        <f t="shared" si="16"/>
        <v>0</v>
      </c>
      <c r="CQ5" s="961">
        <f t="shared" si="17"/>
        <v>0</v>
      </c>
      <c r="CU5" s="637" t="s">
        <v>444</v>
      </c>
      <c r="CV5" s="637" t="s">
        <v>468</v>
      </c>
      <c r="CW5" s="637" t="s">
        <v>472</v>
      </c>
      <c r="CX5" s="637" t="s">
        <v>473</v>
      </c>
      <c r="CY5" s="639">
        <v>0</v>
      </c>
      <c r="CZ5" s="639">
        <v>0</v>
      </c>
      <c r="DA5" s="639">
        <v>71575000</v>
      </c>
      <c r="DB5" s="944">
        <f t="shared" si="18"/>
        <v>0</v>
      </c>
      <c r="DC5" s="944">
        <f t="shared" si="19"/>
        <v>0</v>
      </c>
      <c r="DD5" s="944">
        <f t="shared" si="20"/>
        <v>71575</v>
      </c>
      <c r="DH5" s="637" t="s">
        <v>442</v>
      </c>
      <c r="DI5" s="637" t="s">
        <v>220</v>
      </c>
      <c r="DJ5" s="637" t="s">
        <v>447</v>
      </c>
      <c r="DK5" s="637" t="s">
        <v>447</v>
      </c>
      <c r="DL5" s="639">
        <v>0</v>
      </c>
      <c r="DM5" s="639">
        <v>0</v>
      </c>
      <c r="DN5" s="639">
        <v>0</v>
      </c>
      <c r="DO5" s="944">
        <f t="shared" si="21"/>
        <v>0</v>
      </c>
      <c r="DP5" s="944">
        <f t="shared" si="22"/>
        <v>0</v>
      </c>
      <c r="DQ5" s="944">
        <f t="shared" si="23"/>
        <v>0</v>
      </c>
      <c r="DU5" s="962" t="s">
        <v>444</v>
      </c>
      <c r="DV5" s="962" t="s">
        <v>468</v>
      </c>
      <c r="DW5" s="962" t="s">
        <v>445</v>
      </c>
      <c r="DX5" s="962" t="s">
        <v>277</v>
      </c>
      <c r="DY5" s="963" t="s">
        <v>547</v>
      </c>
      <c r="DZ5" s="964">
        <v>0</v>
      </c>
      <c r="EA5" s="964">
        <v>0</v>
      </c>
      <c r="EB5" s="964">
        <v>21026092</v>
      </c>
      <c r="EC5" s="965">
        <f t="shared" si="24"/>
        <v>0</v>
      </c>
      <c r="ED5" s="965">
        <f t="shared" si="25"/>
        <v>0</v>
      </c>
      <c r="EE5" s="965">
        <f t="shared" si="26"/>
        <v>21026.092000000001</v>
      </c>
      <c r="EI5" s="637" t="s">
        <v>442</v>
      </c>
      <c r="EJ5" s="637" t="s">
        <v>220</v>
      </c>
      <c r="EK5" s="637" t="s">
        <v>447</v>
      </c>
      <c r="EL5" s="637" t="s">
        <v>447</v>
      </c>
      <c r="EM5" s="637" t="s">
        <v>547</v>
      </c>
      <c r="EN5" s="637">
        <v>0</v>
      </c>
      <c r="EO5" s="637">
        <v>0</v>
      </c>
      <c r="EP5" s="637">
        <v>0</v>
      </c>
      <c r="EQ5" s="966">
        <f t="shared" si="27"/>
        <v>0</v>
      </c>
      <c r="ER5" s="966">
        <f t="shared" si="28"/>
        <v>0</v>
      </c>
      <c r="ES5" s="966">
        <f t="shared" si="29"/>
        <v>0</v>
      </c>
      <c r="EW5" s="637" t="s">
        <v>444</v>
      </c>
      <c r="EX5" s="637" t="s">
        <v>468</v>
      </c>
      <c r="EY5" s="637" t="s">
        <v>447</v>
      </c>
      <c r="EZ5" s="637" t="s">
        <v>447</v>
      </c>
      <c r="FA5" s="638" t="s">
        <v>547</v>
      </c>
      <c r="FB5" s="966">
        <v>0</v>
      </c>
      <c r="FC5" s="966">
        <v>0</v>
      </c>
      <c r="FD5" s="966">
        <v>0</v>
      </c>
      <c r="FE5" s="966">
        <f t="shared" si="30"/>
        <v>0</v>
      </c>
      <c r="FF5" s="966">
        <f t="shared" si="31"/>
        <v>0</v>
      </c>
      <c r="FG5" s="966">
        <f t="shared" si="32"/>
        <v>0</v>
      </c>
      <c r="FK5" s="637" t="s">
        <v>442</v>
      </c>
      <c r="FL5" s="637" t="s">
        <v>220</v>
      </c>
      <c r="FM5" s="637" t="s">
        <v>497</v>
      </c>
      <c r="FN5" s="637" t="s">
        <v>297</v>
      </c>
      <c r="FO5" s="637" t="s">
        <v>547</v>
      </c>
      <c r="FP5" s="966">
        <v>0</v>
      </c>
      <c r="FQ5" s="966">
        <v>51697388000</v>
      </c>
      <c r="FR5" s="966">
        <v>51697388000</v>
      </c>
      <c r="FS5" s="944">
        <f t="shared" si="33"/>
        <v>0</v>
      </c>
      <c r="FT5" s="944">
        <f t="shared" si="34"/>
        <v>51697388</v>
      </c>
      <c r="FU5" s="944">
        <f t="shared" si="35"/>
        <v>51697388</v>
      </c>
      <c r="FY5" s="637" t="s">
        <v>444</v>
      </c>
      <c r="FZ5" s="637" t="s">
        <v>468</v>
      </c>
      <c r="GA5" s="637" t="s">
        <v>445</v>
      </c>
      <c r="GB5" s="637" t="s">
        <v>277</v>
      </c>
      <c r="GC5" s="638" t="s">
        <v>547</v>
      </c>
      <c r="GD5" s="639">
        <v>0</v>
      </c>
      <c r="GE5" s="639">
        <v>23242752</v>
      </c>
      <c r="GF5" s="639">
        <v>19854920</v>
      </c>
      <c r="GG5" s="966">
        <f t="shared" si="36"/>
        <v>0</v>
      </c>
      <c r="GH5" s="966">
        <f t="shared" si="37"/>
        <v>23242.752</v>
      </c>
      <c r="GI5" s="966">
        <f t="shared" si="38"/>
        <v>19854.919999999998</v>
      </c>
      <c r="GM5" s="967" t="s">
        <v>442</v>
      </c>
      <c r="GN5" s="968" t="s">
        <v>220</v>
      </c>
      <c r="GO5" s="967" t="s">
        <v>447</v>
      </c>
      <c r="GP5" s="967" t="s">
        <v>447</v>
      </c>
      <c r="GQ5" s="968" t="s">
        <v>547</v>
      </c>
      <c r="GR5" s="969">
        <v>0</v>
      </c>
      <c r="GS5" s="969">
        <v>0</v>
      </c>
      <c r="GT5" s="969">
        <v>0</v>
      </c>
      <c r="GU5" s="969">
        <f t="shared" si="39"/>
        <v>0</v>
      </c>
      <c r="GV5" s="969">
        <f t="shared" si="40"/>
        <v>0</v>
      </c>
      <c r="GW5" s="969">
        <f t="shared" si="41"/>
        <v>0</v>
      </c>
      <c r="HA5" s="637" t="s">
        <v>444</v>
      </c>
      <c r="HB5" s="637" t="s">
        <v>468</v>
      </c>
      <c r="HC5" s="637" t="s">
        <v>447</v>
      </c>
      <c r="HD5" s="637" t="s">
        <v>447</v>
      </c>
      <c r="HE5" s="638" t="s">
        <v>547</v>
      </c>
      <c r="HF5" s="639">
        <v>0</v>
      </c>
      <c r="HG5" s="639">
        <v>0</v>
      </c>
      <c r="HH5" s="639">
        <v>0</v>
      </c>
      <c r="HI5" s="639">
        <f t="shared" si="42"/>
        <v>0</v>
      </c>
      <c r="HJ5" s="639">
        <f t="shared" si="43"/>
        <v>0</v>
      </c>
      <c r="HK5" s="639">
        <f t="shared" si="44"/>
        <v>0</v>
      </c>
      <c r="HO5" s="967" t="s">
        <v>442</v>
      </c>
      <c r="HP5" s="967" t="s">
        <v>220</v>
      </c>
      <c r="HQ5" s="967" t="s">
        <v>497</v>
      </c>
      <c r="HR5" s="967" t="s">
        <v>297</v>
      </c>
      <c r="HS5" s="638" t="s">
        <v>547</v>
      </c>
      <c r="HT5" s="639">
        <v>0</v>
      </c>
      <c r="HU5" s="639">
        <v>51697388000</v>
      </c>
      <c r="HV5" s="639">
        <v>51697388000</v>
      </c>
      <c r="HW5" s="944">
        <f t="shared" si="45"/>
        <v>0</v>
      </c>
      <c r="HX5" s="944">
        <f t="shared" si="46"/>
        <v>51697388</v>
      </c>
      <c r="HY5" s="944">
        <f t="shared" si="47"/>
        <v>51697388</v>
      </c>
      <c r="IC5" s="637" t="s">
        <v>444</v>
      </c>
      <c r="ID5" s="637" t="s">
        <v>468</v>
      </c>
      <c r="IE5" s="637" t="s">
        <v>474</v>
      </c>
      <c r="IF5" s="637" t="s">
        <v>276</v>
      </c>
      <c r="IG5" s="638" t="s">
        <v>547</v>
      </c>
      <c r="IH5" s="639">
        <v>152018731</v>
      </c>
      <c r="II5" s="639">
        <v>0</v>
      </c>
      <c r="IJ5" s="639">
        <v>0</v>
      </c>
      <c r="IK5" s="965">
        <f t="shared" si="48"/>
        <v>152018.731</v>
      </c>
      <c r="IL5" s="965">
        <f t="shared" si="49"/>
        <v>0</v>
      </c>
      <c r="IM5" s="965">
        <f t="shared" si="50"/>
        <v>0</v>
      </c>
      <c r="IQ5" s="967" t="s">
        <v>442</v>
      </c>
      <c r="IR5" s="967" t="s">
        <v>220</v>
      </c>
      <c r="IS5" s="967" t="s">
        <v>443</v>
      </c>
      <c r="IT5" s="967" t="s">
        <v>321</v>
      </c>
      <c r="IU5" s="968" t="s">
        <v>547</v>
      </c>
      <c r="IV5" s="969">
        <v>0</v>
      </c>
      <c r="IW5" s="969">
        <v>18897762375</v>
      </c>
      <c r="IX5" s="969">
        <v>18897762375</v>
      </c>
      <c r="IY5" s="970">
        <f t="shared" si="51"/>
        <v>0</v>
      </c>
      <c r="IZ5" s="970">
        <f t="shared" si="52"/>
        <v>18897762.375</v>
      </c>
      <c r="JA5" s="970">
        <f t="shared" si="53"/>
        <v>18897762.375</v>
      </c>
      <c r="JE5" s="968" t="s">
        <v>444</v>
      </c>
      <c r="JF5" s="968" t="s">
        <v>468</v>
      </c>
      <c r="JG5" s="968" t="s">
        <v>446</v>
      </c>
      <c r="JH5" s="968" t="s">
        <v>322</v>
      </c>
      <c r="JI5" s="638" t="s">
        <v>547</v>
      </c>
      <c r="JJ5" s="639">
        <v>144640</v>
      </c>
      <c r="JK5" s="944">
        <f t="shared" si="54"/>
        <v>144.63999999999999</v>
      </c>
      <c r="JO5" s="966" t="s">
        <v>442</v>
      </c>
      <c r="JP5" s="966" t="s">
        <v>220</v>
      </c>
      <c r="JQ5" s="966" t="s">
        <v>443</v>
      </c>
      <c r="JR5" s="640" t="s">
        <v>321</v>
      </c>
      <c r="JS5" s="640" t="s">
        <v>547</v>
      </c>
      <c r="JT5" s="971">
        <v>0</v>
      </c>
      <c r="JU5" s="971">
        <v>18897762375</v>
      </c>
      <c r="JV5" s="971">
        <v>18897762375</v>
      </c>
      <c r="JW5" s="945">
        <f t="shared" si="55"/>
        <v>0</v>
      </c>
      <c r="JX5" s="945">
        <f t="shared" si="56"/>
        <v>18897762.375</v>
      </c>
      <c r="JY5" s="945">
        <f t="shared" si="57"/>
        <v>18897762.375</v>
      </c>
    </row>
    <row r="6" spans="1:287" ht="15" customHeight="1" x14ac:dyDescent="0.3">
      <c r="A6" s="954" t="s">
        <v>442</v>
      </c>
      <c r="B6" s="954" t="s">
        <v>220</v>
      </c>
      <c r="C6" s="954" t="s">
        <v>497</v>
      </c>
      <c r="D6" s="954" t="s">
        <v>297</v>
      </c>
      <c r="E6" s="955">
        <v>0</v>
      </c>
      <c r="F6" s="955">
        <f t="shared" si="7"/>
        <v>0</v>
      </c>
      <c r="G6" s="955">
        <v>36705228578</v>
      </c>
      <c r="H6" s="955">
        <f t="shared" si="8"/>
        <v>39017657.978413999</v>
      </c>
      <c r="I6" s="942">
        <f>+H6+H7</f>
        <v>39075410.723767996</v>
      </c>
      <c r="L6" s="956" t="s">
        <v>444</v>
      </c>
      <c r="M6" s="956" t="s">
        <v>468</v>
      </c>
      <c r="N6" s="956" t="s">
        <v>445</v>
      </c>
      <c r="O6" s="956" t="s">
        <v>277</v>
      </c>
      <c r="P6" s="957">
        <v>25932023</v>
      </c>
      <c r="Q6" s="957">
        <f t="shared" si="9"/>
        <v>27565.740449000001</v>
      </c>
      <c r="U6" s="956" t="s">
        <v>444</v>
      </c>
      <c r="V6" s="956" t="s">
        <v>468</v>
      </c>
      <c r="W6" s="956" t="s">
        <v>498</v>
      </c>
      <c r="X6" s="956" t="s">
        <v>343</v>
      </c>
      <c r="Y6" s="957">
        <v>533745000</v>
      </c>
      <c r="Z6" s="957">
        <f t="shared" si="10"/>
        <v>567370.93499999994</v>
      </c>
      <c r="AD6" s="956" t="s">
        <v>444</v>
      </c>
      <c r="AE6" s="956" t="s">
        <v>468</v>
      </c>
      <c r="AF6" s="956" t="s">
        <v>445</v>
      </c>
      <c r="AG6" s="958" t="s">
        <v>277</v>
      </c>
      <c r="AH6" s="957">
        <v>25693589</v>
      </c>
      <c r="AI6" s="957">
        <f t="shared" si="11"/>
        <v>27312.285107</v>
      </c>
      <c r="AM6" s="956" t="s">
        <v>442</v>
      </c>
      <c r="AN6" s="956" t="s">
        <v>220</v>
      </c>
      <c r="AO6" s="956" t="s">
        <v>443</v>
      </c>
      <c r="AP6" s="956" t="s">
        <v>321</v>
      </c>
      <c r="AQ6" s="957">
        <v>0</v>
      </c>
      <c r="AR6" s="957">
        <f t="shared" si="58"/>
        <v>0</v>
      </c>
      <c r="AS6" s="957">
        <v>18740054430</v>
      </c>
      <c r="AV6" s="944"/>
      <c r="AX6" s="956" t="s">
        <v>660</v>
      </c>
      <c r="AY6" s="956" t="s">
        <v>154</v>
      </c>
      <c r="AZ6" s="956" t="s">
        <v>447</v>
      </c>
      <c r="BA6" s="956" t="s">
        <v>447</v>
      </c>
      <c r="BB6" s="957">
        <v>240761998</v>
      </c>
      <c r="BC6" s="957">
        <f t="shared" si="0"/>
        <v>255930.00387399999</v>
      </c>
      <c r="BG6" s="956" t="s">
        <v>442</v>
      </c>
      <c r="BH6" s="956" t="s">
        <v>220</v>
      </c>
      <c r="BI6" s="956" t="s">
        <v>443</v>
      </c>
      <c r="BJ6" s="956" t="s">
        <v>321</v>
      </c>
      <c r="BK6" s="957">
        <v>0</v>
      </c>
      <c r="BL6" s="957">
        <v>18740054430</v>
      </c>
      <c r="BM6" s="957">
        <v>18740054430</v>
      </c>
      <c r="BN6" s="946">
        <f t="shared" si="1"/>
        <v>0</v>
      </c>
      <c r="BO6" s="946">
        <f t="shared" si="2"/>
        <v>19920677.85909</v>
      </c>
      <c r="BP6" s="946">
        <f t="shared" si="3"/>
        <v>19920677.85909</v>
      </c>
      <c r="BT6" s="637" t="s">
        <v>442</v>
      </c>
      <c r="BU6" s="637" t="s">
        <v>220</v>
      </c>
      <c r="BV6" s="637" t="s">
        <v>447</v>
      </c>
      <c r="BW6" s="637" t="s">
        <v>447</v>
      </c>
      <c r="BX6" s="638" t="s">
        <v>547</v>
      </c>
      <c r="BY6" s="639">
        <v>0</v>
      </c>
      <c r="BZ6" s="639">
        <v>0</v>
      </c>
      <c r="CA6" s="639">
        <v>0</v>
      </c>
      <c r="CB6" s="944">
        <f t="shared" si="12"/>
        <v>0</v>
      </c>
      <c r="CC6" s="944">
        <f t="shared" si="13"/>
        <v>0</v>
      </c>
      <c r="CD6" s="944">
        <f t="shared" si="14"/>
        <v>0</v>
      </c>
      <c r="CH6" s="637" t="s">
        <v>442</v>
      </c>
      <c r="CI6" s="637" t="s">
        <v>220</v>
      </c>
      <c r="CJ6" s="637" t="s">
        <v>497</v>
      </c>
      <c r="CK6" s="637" t="s">
        <v>297</v>
      </c>
      <c r="CL6" s="639">
        <v>0</v>
      </c>
      <c r="CM6" s="639">
        <v>51697388000</v>
      </c>
      <c r="CN6" s="639">
        <v>51658030552</v>
      </c>
      <c r="CO6" s="961">
        <f t="shared" si="15"/>
        <v>0</v>
      </c>
      <c r="CP6" s="961">
        <f t="shared" si="16"/>
        <v>51697388</v>
      </c>
      <c r="CQ6" s="961">
        <f t="shared" si="17"/>
        <v>51658030.552000001</v>
      </c>
      <c r="CU6" s="637" t="s">
        <v>444</v>
      </c>
      <c r="CV6" s="637" t="s">
        <v>468</v>
      </c>
      <c r="CW6" s="637" t="s">
        <v>445</v>
      </c>
      <c r="CX6" s="637" t="s">
        <v>277</v>
      </c>
      <c r="CY6" s="639">
        <v>0</v>
      </c>
      <c r="CZ6" s="639">
        <v>21691332</v>
      </c>
      <c r="DA6" s="639">
        <v>20931436</v>
      </c>
      <c r="DB6" s="944">
        <f t="shared" si="18"/>
        <v>0</v>
      </c>
      <c r="DC6" s="944">
        <f t="shared" si="19"/>
        <v>21691.331999999999</v>
      </c>
      <c r="DD6" s="944">
        <f t="shared" si="20"/>
        <v>20931.436000000002</v>
      </c>
      <c r="DH6" s="637" t="s">
        <v>442</v>
      </c>
      <c r="DI6" s="637" t="s">
        <v>220</v>
      </c>
      <c r="DJ6" s="637" t="s">
        <v>443</v>
      </c>
      <c r="DK6" s="637" t="s">
        <v>321</v>
      </c>
      <c r="DL6" s="639">
        <v>0</v>
      </c>
      <c r="DM6" s="639">
        <v>18740054430</v>
      </c>
      <c r="DN6" s="639">
        <v>18740054430</v>
      </c>
      <c r="DO6" s="944">
        <f t="shared" si="21"/>
        <v>0</v>
      </c>
      <c r="DP6" s="944">
        <f t="shared" si="22"/>
        <v>18740054.43</v>
      </c>
      <c r="DQ6" s="944">
        <f t="shared" si="23"/>
        <v>18740054.43</v>
      </c>
      <c r="DU6" s="962" t="s">
        <v>444</v>
      </c>
      <c r="DV6" s="962" t="s">
        <v>468</v>
      </c>
      <c r="DW6" s="962" t="s">
        <v>474</v>
      </c>
      <c r="DX6" s="962" t="s">
        <v>276</v>
      </c>
      <c r="DY6" s="963" t="s">
        <v>547</v>
      </c>
      <c r="DZ6" s="964">
        <v>0</v>
      </c>
      <c r="EA6" s="964">
        <v>1283430596</v>
      </c>
      <c r="EB6" s="964">
        <v>109029403</v>
      </c>
      <c r="EC6" s="965">
        <f t="shared" si="24"/>
        <v>0</v>
      </c>
      <c r="ED6" s="965">
        <f t="shared" si="25"/>
        <v>1283430.5959999999</v>
      </c>
      <c r="EE6" s="965">
        <f t="shared" si="26"/>
        <v>109029.40300000001</v>
      </c>
      <c r="EI6" s="637" t="s">
        <v>442</v>
      </c>
      <c r="EJ6" s="637" t="s">
        <v>220</v>
      </c>
      <c r="EK6" s="637" t="s">
        <v>443</v>
      </c>
      <c r="EL6" s="637" t="s">
        <v>321</v>
      </c>
      <c r="EM6" s="637" t="s">
        <v>547</v>
      </c>
      <c r="EN6" s="637">
        <v>0</v>
      </c>
      <c r="EO6" s="637">
        <v>18740054430</v>
      </c>
      <c r="EP6" s="637">
        <v>18740054430</v>
      </c>
      <c r="EQ6" s="966">
        <f t="shared" si="27"/>
        <v>0</v>
      </c>
      <c r="ER6" s="966">
        <f t="shared" si="28"/>
        <v>18740054.43</v>
      </c>
      <c r="ES6" s="966">
        <f t="shared" si="29"/>
        <v>18740054.43</v>
      </c>
      <c r="EW6" s="637" t="s">
        <v>444</v>
      </c>
      <c r="EX6" s="637" t="s">
        <v>468</v>
      </c>
      <c r="EY6" s="637" t="s">
        <v>474</v>
      </c>
      <c r="EZ6" s="637" t="s">
        <v>276</v>
      </c>
      <c r="FA6" s="638" t="s">
        <v>547</v>
      </c>
      <c r="FB6" s="966">
        <v>0</v>
      </c>
      <c r="FC6" s="966">
        <v>29899953</v>
      </c>
      <c r="FD6" s="966">
        <v>1142191065</v>
      </c>
      <c r="FE6" s="966">
        <f t="shared" si="30"/>
        <v>0</v>
      </c>
      <c r="FF6" s="966">
        <f t="shared" si="31"/>
        <v>29899.953000000001</v>
      </c>
      <c r="FG6" s="966">
        <f t="shared" si="32"/>
        <v>1142191.0649999999</v>
      </c>
      <c r="FK6" s="637" t="s">
        <v>442</v>
      </c>
      <c r="FL6" s="637" t="s">
        <v>220</v>
      </c>
      <c r="FM6" s="637" t="s">
        <v>443</v>
      </c>
      <c r="FN6" s="637" t="s">
        <v>321</v>
      </c>
      <c r="FO6" s="637" t="s">
        <v>547</v>
      </c>
      <c r="FP6" s="966">
        <v>0</v>
      </c>
      <c r="FQ6" s="966">
        <v>18740054430</v>
      </c>
      <c r="FR6" s="966">
        <v>18740054430</v>
      </c>
      <c r="FS6" s="944">
        <f t="shared" si="33"/>
        <v>0</v>
      </c>
      <c r="FT6" s="944">
        <f t="shared" si="34"/>
        <v>18740054.43</v>
      </c>
      <c r="FU6" s="944">
        <f t="shared" si="35"/>
        <v>18740054.43</v>
      </c>
      <c r="FY6" s="637" t="s">
        <v>444</v>
      </c>
      <c r="FZ6" s="637" t="s">
        <v>468</v>
      </c>
      <c r="GA6" s="637" t="s">
        <v>472</v>
      </c>
      <c r="GB6" s="637" t="s">
        <v>473</v>
      </c>
      <c r="GC6" s="638" t="s">
        <v>547</v>
      </c>
      <c r="GD6" s="639">
        <v>0</v>
      </c>
      <c r="GE6" s="639">
        <v>0</v>
      </c>
      <c r="GF6" s="639">
        <v>20360484</v>
      </c>
      <c r="GG6" s="966">
        <f t="shared" si="36"/>
        <v>0</v>
      </c>
      <c r="GH6" s="966">
        <f t="shared" si="37"/>
        <v>0</v>
      </c>
      <c r="GI6" s="966">
        <f t="shared" si="38"/>
        <v>20360.484</v>
      </c>
      <c r="GM6" s="967" t="s">
        <v>442</v>
      </c>
      <c r="GN6" s="968" t="s">
        <v>220</v>
      </c>
      <c r="GO6" s="967" t="s">
        <v>497</v>
      </c>
      <c r="GP6" s="967" t="s">
        <v>297</v>
      </c>
      <c r="GQ6" s="968" t="s">
        <v>547</v>
      </c>
      <c r="GR6" s="969">
        <v>0</v>
      </c>
      <c r="GS6" s="969">
        <v>51697388000</v>
      </c>
      <c r="GT6" s="969">
        <v>51697388000</v>
      </c>
      <c r="GU6" s="969">
        <f t="shared" si="39"/>
        <v>0</v>
      </c>
      <c r="GV6" s="969">
        <f t="shared" si="40"/>
        <v>51697388</v>
      </c>
      <c r="GW6" s="969">
        <f t="shared" si="41"/>
        <v>51697388</v>
      </c>
      <c r="HA6" s="637" t="s">
        <v>444</v>
      </c>
      <c r="HB6" s="637" t="s">
        <v>468</v>
      </c>
      <c r="HC6" s="637" t="s">
        <v>446</v>
      </c>
      <c r="HD6" s="637" t="s">
        <v>322</v>
      </c>
      <c r="HE6" s="638" t="s">
        <v>547</v>
      </c>
      <c r="HF6" s="639">
        <v>0</v>
      </c>
      <c r="HG6" s="639">
        <v>0</v>
      </c>
      <c r="HH6" s="639">
        <v>116227</v>
      </c>
      <c r="HI6" s="639">
        <f t="shared" si="42"/>
        <v>0</v>
      </c>
      <c r="HJ6" s="639">
        <f t="shared" si="43"/>
        <v>0</v>
      </c>
      <c r="HK6" s="639">
        <f t="shared" si="44"/>
        <v>116.227</v>
      </c>
      <c r="HO6" s="967" t="s">
        <v>442</v>
      </c>
      <c r="HP6" s="967" t="s">
        <v>220</v>
      </c>
      <c r="HQ6" s="967" t="s">
        <v>443</v>
      </c>
      <c r="HR6" s="967" t="s">
        <v>321</v>
      </c>
      <c r="HS6" s="638" t="s">
        <v>547</v>
      </c>
      <c r="HT6" s="639">
        <v>0</v>
      </c>
      <c r="HU6" s="639">
        <v>18802049967</v>
      </c>
      <c r="HV6" s="639">
        <v>18740054430</v>
      </c>
      <c r="HW6" s="944">
        <f t="shared" si="45"/>
        <v>0</v>
      </c>
      <c r="HX6" s="944">
        <f t="shared" si="46"/>
        <v>18802049.967</v>
      </c>
      <c r="HY6" s="944">
        <f t="shared" si="47"/>
        <v>18740054.43</v>
      </c>
      <c r="IC6" s="637" t="s">
        <v>444</v>
      </c>
      <c r="ID6" s="637" t="s">
        <v>468</v>
      </c>
      <c r="IE6" s="637" t="s">
        <v>445</v>
      </c>
      <c r="IF6" s="637" t="s">
        <v>277</v>
      </c>
      <c r="IG6" s="638" t="s">
        <v>547</v>
      </c>
      <c r="IH6" s="639">
        <v>0</v>
      </c>
      <c r="II6" s="639">
        <v>-9895153</v>
      </c>
      <c r="IJ6" s="639">
        <v>18145476</v>
      </c>
      <c r="IK6" s="965">
        <f t="shared" si="48"/>
        <v>0</v>
      </c>
      <c r="IL6" s="965">
        <f t="shared" si="49"/>
        <v>-9895.1530000000002</v>
      </c>
      <c r="IM6" s="965">
        <f t="shared" si="50"/>
        <v>18145.475999999999</v>
      </c>
      <c r="IQ6" s="967" t="s">
        <v>442</v>
      </c>
      <c r="IR6" s="967" t="s">
        <v>220</v>
      </c>
      <c r="IS6" s="967" t="s">
        <v>447</v>
      </c>
      <c r="IT6" s="967" t="s">
        <v>447</v>
      </c>
      <c r="IU6" s="968" t="s">
        <v>547</v>
      </c>
      <c r="IV6" s="969">
        <v>0</v>
      </c>
      <c r="IW6" s="969">
        <v>0</v>
      </c>
      <c r="IX6" s="969">
        <v>0</v>
      </c>
      <c r="IY6" s="970">
        <f t="shared" si="51"/>
        <v>0</v>
      </c>
      <c r="IZ6" s="970">
        <f t="shared" si="52"/>
        <v>0</v>
      </c>
      <c r="JA6" s="970">
        <f t="shared" si="53"/>
        <v>0</v>
      </c>
      <c r="JE6" s="968" t="s">
        <v>444</v>
      </c>
      <c r="JF6" s="968" t="s">
        <v>468</v>
      </c>
      <c r="JG6" s="968" t="s">
        <v>498</v>
      </c>
      <c r="JH6" s="968" t="s">
        <v>343</v>
      </c>
      <c r="JI6" s="638" t="s">
        <v>547</v>
      </c>
      <c r="JJ6" s="639">
        <v>175376356</v>
      </c>
      <c r="JK6" s="944">
        <f t="shared" si="54"/>
        <v>175376.356</v>
      </c>
      <c r="JO6" s="966" t="s">
        <v>442</v>
      </c>
      <c r="JP6" s="966" t="s">
        <v>220</v>
      </c>
      <c r="JQ6" s="966" t="s">
        <v>497</v>
      </c>
      <c r="JR6" s="640" t="s">
        <v>297</v>
      </c>
      <c r="JS6" s="640" t="s">
        <v>547</v>
      </c>
      <c r="JT6" s="971">
        <v>0</v>
      </c>
      <c r="JU6" s="971">
        <v>51697388000</v>
      </c>
      <c r="JV6" s="971">
        <v>51697388000</v>
      </c>
      <c r="JW6" s="945">
        <f t="shared" si="55"/>
        <v>0</v>
      </c>
      <c r="JX6" s="945">
        <f t="shared" si="56"/>
        <v>51697388</v>
      </c>
      <c r="JY6" s="945">
        <f t="shared" si="57"/>
        <v>51697388</v>
      </c>
    </row>
    <row r="7" spans="1:287" ht="15" customHeight="1" x14ac:dyDescent="0.3">
      <c r="A7" s="954" t="s">
        <v>442</v>
      </c>
      <c r="B7" s="954" t="s">
        <v>220</v>
      </c>
      <c r="C7" s="954" t="s">
        <v>443</v>
      </c>
      <c r="D7" s="954" t="s">
        <v>321</v>
      </c>
      <c r="E7" s="955">
        <v>0</v>
      </c>
      <c r="F7" s="955">
        <f t="shared" si="7"/>
        <v>0</v>
      </c>
      <c r="G7" s="955">
        <v>54329958</v>
      </c>
      <c r="H7" s="955">
        <f t="shared" si="8"/>
        <v>57752.745353999999</v>
      </c>
      <c r="L7" s="956" t="s">
        <v>444</v>
      </c>
      <c r="M7" s="956" t="s">
        <v>468</v>
      </c>
      <c r="N7" s="956" t="s">
        <v>472</v>
      </c>
      <c r="O7" s="956" t="s">
        <v>473</v>
      </c>
      <c r="P7" s="957">
        <v>5599983</v>
      </c>
      <c r="Q7" s="957">
        <f t="shared" si="9"/>
        <v>5952.7819289999998</v>
      </c>
      <c r="U7" s="956" t="s">
        <v>444</v>
      </c>
      <c r="V7" s="956" t="s">
        <v>468</v>
      </c>
      <c r="W7" s="956" t="s">
        <v>445</v>
      </c>
      <c r="X7" s="956" t="s">
        <v>277</v>
      </c>
      <c r="Y7" s="957">
        <v>315806000</v>
      </c>
      <c r="Z7" s="957">
        <f t="shared" si="10"/>
        <v>335701.77799999999</v>
      </c>
      <c r="AD7" s="956" t="s">
        <v>444</v>
      </c>
      <c r="AE7" s="956" t="s">
        <v>468</v>
      </c>
      <c r="AF7" s="956" t="s">
        <v>474</v>
      </c>
      <c r="AG7" s="958" t="s">
        <v>276</v>
      </c>
      <c r="AH7" s="957">
        <v>303428863</v>
      </c>
      <c r="AI7" s="957">
        <f t="shared" si="11"/>
        <v>322544.88136900001</v>
      </c>
      <c r="AM7" s="956" t="s">
        <v>442</v>
      </c>
      <c r="AN7" s="956" t="s">
        <v>220</v>
      </c>
      <c r="AO7" s="956" t="s">
        <v>447</v>
      </c>
      <c r="AP7" s="956" t="s">
        <v>447</v>
      </c>
      <c r="AQ7" s="957">
        <v>0</v>
      </c>
      <c r="AR7" s="957">
        <f t="shared" si="58"/>
        <v>0</v>
      </c>
      <c r="AS7" s="957">
        <v>0</v>
      </c>
      <c r="AV7" s="944"/>
      <c r="AX7" s="956" t="s">
        <v>661</v>
      </c>
      <c r="AY7" s="956" t="s">
        <v>305</v>
      </c>
      <c r="AZ7" s="956" t="s">
        <v>447</v>
      </c>
      <c r="BA7" s="956" t="s">
        <v>447</v>
      </c>
      <c r="BB7" s="957">
        <v>4369976208</v>
      </c>
      <c r="BC7" s="957">
        <f t="shared" si="0"/>
        <v>4645284.7091039997</v>
      </c>
      <c r="BG7" s="956" t="s">
        <v>444</v>
      </c>
      <c r="BH7" s="956" t="s">
        <v>468</v>
      </c>
      <c r="BI7" s="956" t="s">
        <v>474</v>
      </c>
      <c r="BJ7" s="956" t="s">
        <v>276</v>
      </c>
      <c r="BK7" s="957">
        <v>1810619225</v>
      </c>
      <c r="BL7" s="957">
        <v>0</v>
      </c>
      <c r="BM7" s="957">
        <v>0</v>
      </c>
      <c r="BN7" s="946">
        <f t="shared" si="1"/>
        <v>1924688.236175</v>
      </c>
      <c r="BO7" s="946">
        <f t="shared" si="2"/>
        <v>0</v>
      </c>
      <c r="BP7" s="946">
        <f t="shared" si="3"/>
        <v>0</v>
      </c>
      <c r="BT7" s="637" t="s">
        <v>444</v>
      </c>
      <c r="BU7" s="637" t="s">
        <v>468</v>
      </c>
      <c r="BV7" s="637">
        <v>42406001</v>
      </c>
      <c r="BW7" s="637" t="s">
        <v>276</v>
      </c>
      <c r="BX7" s="638" t="s">
        <v>547</v>
      </c>
      <c r="BY7" s="639">
        <v>0</v>
      </c>
      <c r="BZ7" s="639">
        <v>0</v>
      </c>
      <c r="CA7" s="639">
        <v>23000000</v>
      </c>
      <c r="CB7" s="944">
        <f t="shared" si="12"/>
        <v>0</v>
      </c>
      <c r="CC7" s="944">
        <f t="shared" si="13"/>
        <v>0</v>
      </c>
      <c r="CD7" s="944">
        <f t="shared" si="14"/>
        <v>23000</v>
      </c>
      <c r="CH7" s="637" t="s">
        <v>442</v>
      </c>
      <c r="CI7" s="637" t="s">
        <v>220</v>
      </c>
      <c r="CJ7" s="637" t="s">
        <v>443</v>
      </c>
      <c r="CK7" s="637" t="s">
        <v>321</v>
      </c>
      <c r="CL7" s="639">
        <v>0</v>
      </c>
      <c r="CM7" s="639">
        <v>18740054430</v>
      </c>
      <c r="CN7" s="639">
        <v>18740054430</v>
      </c>
      <c r="CO7" s="961">
        <f t="shared" si="15"/>
        <v>0</v>
      </c>
      <c r="CP7" s="961">
        <f t="shared" si="16"/>
        <v>18740054.43</v>
      </c>
      <c r="CQ7" s="961">
        <f t="shared" si="17"/>
        <v>18740054.43</v>
      </c>
      <c r="CU7" s="637" t="s">
        <v>444</v>
      </c>
      <c r="CV7" s="637" t="s">
        <v>468</v>
      </c>
      <c r="CW7" s="637" t="s">
        <v>445</v>
      </c>
      <c r="CX7" s="637" t="s">
        <v>277</v>
      </c>
      <c r="CY7" s="639">
        <v>0</v>
      </c>
      <c r="CZ7" s="639">
        <v>0</v>
      </c>
      <c r="DA7" s="639">
        <v>0</v>
      </c>
      <c r="DB7" s="944">
        <f t="shared" si="18"/>
        <v>0</v>
      </c>
      <c r="DC7" s="944">
        <f t="shared" si="19"/>
        <v>0</v>
      </c>
      <c r="DD7" s="944">
        <f t="shared" si="20"/>
        <v>0</v>
      </c>
      <c r="DH7" s="637" t="s">
        <v>442</v>
      </c>
      <c r="DI7" s="637" t="s">
        <v>220</v>
      </c>
      <c r="DJ7" s="637" t="s">
        <v>497</v>
      </c>
      <c r="DK7" s="637" t="s">
        <v>297</v>
      </c>
      <c r="DL7" s="639">
        <v>0</v>
      </c>
      <c r="DM7" s="639">
        <v>51697388000</v>
      </c>
      <c r="DN7" s="639">
        <v>51697388000</v>
      </c>
      <c r="DO7" s="944">
        <f t="shared" si="21"/>
        <v>0</v>
      </c>
      <c r="DP7" s="944">
        <f t="shared" si="22"/>
        <v>51697388</v>
      </c>
      <c r="DQ7" s="944">
        <f t="shared" si="23"/>
        <v>51697388</v>
      </c>
      <c r="DU7" s="962" t="s">
        <v>448</v>
      </c>
      <c r="DV7" s="962" t="s">
        <v>469</v>
      </c>
      <c r="DW7" s="962" t="s">
        <v>447</v>
      </c>
      <c r="DX7" s="962" t="s">
        <v>447</v>
      </c>
      <c r="DY7" s="963" t="s">
        <v>547</v>
      </c>
      <c r="DZ7" s="964">
        <v>0</v>
      </c>
      <c r="EA7" s="964">
        <v>15930849000</v>
      </c>
      <c r="EB7" s="964">
        <v>4882361192</v>
      </c>
      <c r="EC7" s="965">
        <f t="shared" si="24"/>
        <v>0</v>
      </c>
      <c r="ED7" s="965">
        <f t="shared" si="25"/>
        <v>15930849</v>
      </c>
      <c r="EE7" s="965">
        <f t="shared" si="26"/>
        <v>4882361.1919999998</v>
      </c>
      <c r="EI7" s="637" t="s">
        <v>442</v>
      </c>
      <c r="EJ7" s="637" t="s">
        <v>220</v>
      </c>
      <c r="EK7" s="637" t="s">
        <v>497</v>
      </c>
      <c r="EL7" s="637" t="s">
        <v>297</v>
      </c>
      <c r="EM7" s="637" t="s">
        <v>547</v>
      </c>
      <c r="EN7" s="637">
        <v>0</v>
      </c>
      <c r="EO7" s="637">
        <v>51697388000</v>
      </c>
      <c r="EP7" s="637">
        <v>51697388000</v>
      </c>
      <c r="EQ7" s="966">
        <f t="shared" si="27"/>
        <v>0</v>
      </c>
      <c r="ER7" s="966">
        <f t="shared" si="28"/>
        <v>51697388</v>
      </c>
      <c r="ES7" s="966">
        <f t="shared" si="29"/>
        <v>51697388</v>
      </c>
      <c r="EW7" s="637" t="s">
        <v>444</v>
      </c>
      <c r="EX7" s="637" t="s">
        <v>468</v>
      </c>
      <c r="EY7" s="637" t="s">
        <v>445</v>
      </c>
      <c r="EZ7" s="637" t="s">
        <v>277</v>
      </c>
      <c r="FA7" s="638" t="s">
        <v>547</v>
      </c>
      <c r="FB7" s="966">
        <v>0</v>
      </c>
      <c r="FC7" s="966">
        <v>0</v>
      </c>
      <c r="FD7" s="966">
        <v>16352329</v>
      </c>
      <c r="FE7" s="966">
        <f t="shared" si="30"/>
        <v>0</v>
      </c>
      <c r="FF7" s="966">
        <f t="shared" si="31"/>
        <v>0</v>
      </c>
      <c r="FG7" s="966">
        <f t="shared" si="32"/>
        <v>16352.329</v>
      </c>
      <c r="FK7" s="637" t="s">
        <v>442</v>
      </c>
      <c r="FL7" s="637" t="s">
        <v>220</v>
      </c>
      <c r="FM7" s="637" t="s">
        <v>447</v>
      </c>
      <c r="FN7" s="637" t="s">
        <v>447</v>
      </c>
      <c r="FO7" s="637" t="s">
        <v>547</v>
      </c>
      <c r="FP7" s="966">
        <v>0</v>
      </c>
      <c r="FQ7" s="966">
        <v>0</v>
      </c>
      <c r="FR7" s="966">
        <v>0</v>
      </c>
      <c r="FS7" s="944">
        <f t="shared" si="33"/>
        <v>0</v>
      </c>
      <c r="FT7" s="944">
        <f t="shared" si="34"/>
        <v>0</v>
      </c>
      <c r="FU7" s="944">
        <f t="shared" si="35"/>
        <v>0</v>
      </c>
      <c r="FY7" s="637" t="s">
        <v>444</v>
      </c>
      <c r="FZ7" s="637" t="s">
        <v>468</v>
      </c>
      <c r="GA7" s="637" t="s">
        <v>474</v>
      </c>
      <c r="GB7" s="637" t="s">
        <v>276</v>
      </c>
      <c r="GC7" s="638" t="s">
        <v>547</v>
      </c>
      <c r="GD7" s="639">
        <v>0</v>
      </c>
      <c r="GE7" s="639">
        <v>22848000</v>
      </c>
      <c r="GF7" s="639">
        <v>84958081</v>
      </c>
      <c r="GG7" s="966">
        <f t="shared" si="36"/>
        <v>0</v>
      </c>
      <c r="GH7" s="966">
        <f t="shared" si="37"/>
        <v>22848</v>
      </c>
      <c r="GI7" s="966">
        <f t="shared" si="38"/>
        <v>84958.081000000006</v>
      </c>
      <c r="GM7" s="967" t="s">
        <v>442</v>
      </c>
      <c r="GN7" s="968" t="s">
        <v>220</v>
      </c>
      <c r="GO7" s="967" t="s">
        <v>443</v>
      </c>
      <c r="GP7" s="967" t="s">
        <v>321</v>
      </c>
      <c r="GQ7" s="968" t="s">
        <v>547</v>
      </c>
      <c r="GR7" s="969">
        <v>0</v>
      </c>
      <c r="GS7" s="969">
        <v>18802049967</v>
      </c>
      <c r="GT7" s="969">
        <v>18740054430</v>
      </c>
      <c r="GU7" s="969">
        <f t="shared" si="39"/>
        <v>0</v>
      </c>
      <c r="GV7" s="969">
        <f t="shared" si="40"/>
        <v>18802049.967</v>
      </c>
      <c r="GW7" s="969">
        <f t="shared" si="41"/>
        <v>18740054.43</v>
      </c>
      <c r="HA7" s="637" t="s">
        <v>448</v>
      </c>
      <c r="HB7" s="637" t="s">
        <v>469</v>
      </c>
      <c r="HC7" s="637" t="s">
        <v>447</v>
      </c>
      <c r="HD7" s="637" t="s">
        <v>447</v>
      </c>
      <c r="HE7" s="638" t="s">
        <v>547</v>
      </c>
      <c r="HF7" s="639">
        <v>0</v>
      </c>
      <c r="HG7" s="639">
        <v>0</v>
      </c>
      <c r="HH7" s="639">
        <v>2070382665</v>
      </c>
      <c r="HI7" s="639">
        <f t="shared" si="42"/>
        <v>0</v>
      </c>
      <c r="HJ7" s="639">
        <f t="shared" si="43"/>
        <v>0</v>
      </c>
      <c r="HK7" s="639">
        <f t="shared" si="44"/>
        <v>2070382.665</v>
      </c>
      <c r="HO7" s="967" t="s">
        <v>442</v>
      </c>
      <c r="HP7" s="967" t="s">
        <v>220</v>
      </c>
      <c r="HQ7" s="967" t="s">
        <v>447</v>
      </c>
      <c r="HR7" s="967" t="s">
        <v>447</v>
      </c>
      <c r="HS7" s="638" t="s">
        <v>547</v>
      </c>
      <c r="HT7" s="639">
        <v>0</v>
      </c>
      <c r="HU7" s="639">
        <v>0</v>
      </c>
      <c r="HV7" s="639">
        <v>0</v>
      </c>
      <c r="HW7" s="944">
        <f t="shared" si="45"/>
        <v>0</v>
      </c>
      <c r="HX7" s="944">
        <f t="shared" si="46"/>
        <v>0</v>
      </c>
      <c r="HY7" s="944">
        <f t="shared" si="47"/>
        <v>0</v>
      </c>
      <c r="IC7" s="637" t="s">
        <v>444</v>
      </c>
      <c r="ID7" s="637" t="s">
        <v>468</v>
      </c>
      <c r="IE7" s="637" t="s">
        <v>474</v>
      </c>
      <c r="IF7" s="637" t="s">
        <v>276</v>
      </c>
      <c r="IG7" s="638" t="s">
        <v>547</v>
      </c>
      <c r="IH7" s="639">
        <v>0</v>
      </c>
      <c r="II7" s="639">
        <v>659703925</v>
      </c>
      <c r="IJ7" s="639">
        <v>1347412858</v>
      </c>
      <c r="IK7" s="965">
        <f t="shared" si="48"/>
        <v>0</v>
      </c>
      <c r="IL7" s="965">
        <f t="shared" si="49"/>
        <v>659703.92500000005</v>
      </c>
      <c r="IM7" s="965">
        <f t="shared" si="50"/>
        <v>1347412.858</v>
      </c>
      <c r="IQ7" s="967" t="s">
        <v>442</v>
      </c>
      <c r="IR7" s="967" t="s">
        <v>220</v>
      </c>
      <c r="IS7" s="967" t="s">
        <v>497</v>
      </c>
      <c r="IT7" s="967" t="s">
        <v>297</v>
      </c>
      <c r="IU7" s="968" t="s">
        <v>547</v>
      </c>
      <c r="IV7" s="969">
        <v>0</v>
      </c>
      <c r="IW7" s="969">
        <v>51697388000</v>
      </c>
      <c r="IX7" s="969">
        <v>51697388000</v>
      </c>
      <c r="IY7" s="970">
        <f t="shared" si="51"/>
        <v>0</v>
      </c>
      <c r="IZ7" s="970">
        <f t="shared" si="52"/>
        <v>51697388</v>
      </c>
      <c r="JA7" s="970">
        <f t="shared" si="53"/>
        <v>51697388</v>
      </c>
      <c r="JE7" s="968" t="s">
        <v>444</v>
      </c>
      <c r="JF7" s="968" t="s">
        <v>468</v>
      </c>
      <c r="JG7" s="968" t="s">
        <v>472</v>
      </c>
      <c r="JH7" s="968" t="s">
        <v>473</v>
      </c>
      <c r="JI7" s="638" t="s">
        <v>547</v>
      </c>
      <c r="JJ7" s="639">
        <v>11758439</v>
      </c>
      <c r="JK7" s="944">
        <f t="shared" si="54"/>
        <v>11758.439</v>
      </c>
      <c r="JO7" s="966" t="s">
        <v>442</v>
      </c>
      <c r="JP7" s="966" t="s">
        <v>220</v>
      </c>
      <c r="JQ7" s="966" t="s">
        <v>447</v>
      </c>
      <c r="JR7" s="640" t="s">
        <v>447</v>
      </c>
      <c r="JS7" s="640" t="s">
        <v>547</v>
      </c>
      <c r="JT7" s="971">
        <v>0</v>
      </c>
      <c r="JU7" s="971">
        <v>0</v>
      </c>
      <c r="JV7" s="971">
        <v>0</v>
      </c>
      <c r="JW7" s="945">
        <f t="shared" si="55"/>
        <v>0</v>
      </c>
      <c r="JX7" s="945">
        <f t="shared" si="56"/>
        <v>0</v>
      </c>
      <c r="JY7" s="945">
        <f t="shared" si="57"/>
        <v>0</v>
      </c>
    </row>
    <row r="8" spans="1:287" ht="15" customHeight="1" x14ac:dyDescent="0.3">
      <c r="A8" s="954" t="s">
        <v>444</v>
      </c>
      <c r="B8" s="954" t="s">
        <v>468</v>
      </c>
      <c r="C8" s="954" t="s">
        <v>474</v>
      </c>
      <c r="D8" s="954" t="s">
        <v>276</v>
      </c>
      <c r="E8" s="955">
        <v>1810619225</v>
      </c>
      <c r="F8" s="955">
        <f t="shared" si="7"/>
        <v>1924688.236175</v>
      </c>
      <c r="G8" s="955">
        <v>0</v>
      </c>
      <c r="H8" s="955">
        <f t="shared" si="8"/>
        <v>0</v>
      </c>
      <c r="L8" s="956" t="s">
        <v>660</v>
      </c>
      <c r="M8" s="956" t="s">
        <v>154</v>
      </c>
      <c r="N8" s="956" t="s">
        <v>447</v>
      </c>
      <c r="O8" s="956" t="s">
        <v>447</v>
      </c>
      <c r="P8" s="957">
        <v>1447699543</v>
      </c>
      <c r="Q8" s="957">
        <f t="shared" si="9"/>
        <v>1538904.614209</v>
      </c>
      <c r="U8" s="956" t="s">
        <v>444</v>
      </c>
      <c r="V8" s="956" t="s">
        <v>468</v>
      </c>
      <c r="W8" s="956" t="s">
        <v>472</v>
      </c>
      <c r="X8" s="956" t="s">
        <v>473</v>
      </c>
      <c r="Y8" s="957">
        <v>198649775</v>
      </c>
      <c r="Z8" s="957">
        <f t="shared" si="10"/>
        <v>211164.71082499999</v>
      </c>
      <c r="AD8" s="956" t="s">
        <v>444</v>
      </c>
      <c r="AE8" s="956" t="s">
        <v>468</v>
      </c>
      <c r="AF8" s="956" t="s">
        <v>472</v>
      </c>
      <c r="AG8" s="958" t="s">
        <v>473</v>
      </c>
      <c r="AH8" s="957">
        <v>14974518</v>
      </c>
      <c r="AI8" s="957">
        <f t="shared" si="11"/>
        <v>15917.912633999998</v>
      </c>
      <c r="AM8" s="956" t="s">
        <v>444</v>
      </c>
      <c r="AN8" s="956" t="s">
        <v>468</v>
      </c>
      <c r="AO8" s="956" t="s">
        <v>474</v>
      </c>
      <c r="AP8" s="956" t="s">
        <v>276</v>
      </c>
      <c r="AQ8" s="957">
        <v>1810619225</v>
      </c>
      <c r="AR8" s="957">
        <f t="shared" si="58"/>
        <v>1924688.236175</v>
      </c>
      <c r="AS8" s="957">
        <v>0</v>
      </c>
      <c r="AV8" s="944"/>
      <c r="AX8" s="956" t="s">
        <v>662</v>
      </c>
      <c r="AY8" s="956" t="s">
        <v>308</v>
      </c>
      <c r="AZ8" s="956" t="s">
        <v>447</v>
      </c>
      <c r="BA8" s="956" t="s">
        <v>447</v>
      </c>
      <c r="BB8" s="957">
        <v>602960959</v>
      </c>
      <c r="BC8" s="957">
        <f t="shared" si="0"/>
        <v>640947.49941699998</v>
      </c>
      <c r="BG8" s="956" t="s">
        <v>444</v>
      </c>
      <c r="BH8" s="956" t="s">
        <v>468</v>
      </c>
      <c r="BI8" s="956" t="s">
        <v>474</v>
      </c>
      <c r="BJ8" s="956" t="s">
        <v>276</v>
      </c>
      <c r="BK8" s="957">
        <v>0</v>
      </c>
      <c r="BL8" s="957">
        <v>474879832</v>
      </c>
      <c r="BM8" s="957">
        <v>391777463</v>
      </c>
      <c r="BN8" s="946">
        <f t="shared" si="1"/>
        <v>0</v>
      </c>
      <c r="BO8" s="946">
        <f t="shared" si="2"/>
        <v>504797.26141599996</v>
      </c>
      <c r="BP8" s="946">
        <f t="shared" si="3"/>
        <v>416459.44316899998</v>
      </c>
      <c r="BT8" s="637" t="s">
        <v>444</v>
      </c>
      <c r="BU8" s="637" t="s">
        <v>468</v>
      </c>
      <c r="BV8" s="637">
        <v>42406002</v>
      </c>
      <c r="BW8" s="637" t="s">
        <v>277</v>
      </c>
      <c r="BX8" s="638" t="s">
        <v>547</v>
      </c>
      <c r="BY8" s="639">
        <v>0</v>
      </c>
      <c r="BZ8" s="639">
        <v>-3369576</v>
      </c>
      <c r="CA8" s="639">
        <v>12195094</v>
      </c>
      <c r="CB8" s="944">
        <f t="shared" si="12"/>
        <v>0</v>
      </c>
      <c r="CC8" s="944">
        <f t="shared" si="13"/>
        <v>-3369.576</v>
      </c>
      <c r="CD8" s="944">
        <f t="shared" si="14"/>
        <v>12195.093999999999</v>
      </c>
      <c r="CH8" s="637" t="s">
        <v>444</v>
      </c>
      <c r="CI8" s="637" t="s">
        <v>468</v>
      </c>
      <c r="CJ8" s="637" t="s">
        <v>474</v>
      </c>
      <c r="CK8" s="637" t="s">
        <v>276</v>
      </c>
      <c r="CL8" s="639">
        <v>1810619225</v>
      </c>
      <c r="CM8" s="639">
        <v>0</v>
      </c>
      <c r="CN8" s="639">
        <v>0</v>
      </c>
      <c r="CO8" s="961">
        <f t="shared" si="15"/>
        <v>1810619.2250000001</v>
      </c>
      <c r="CP8" s="961">
        <f t="shared" si="16"/>
        <v>0</v>
      </c>
      <c r="CQ8" s="961">
        <f t="shared" si="17"/>
        <v>0</v>
      </c>
      <c r="CU8" s="637" t="s">
        <v>444</v>
      </c>
      <c r="CV8" s="637" t="s">
        <v>468</v>
      </c>
      <c r="CW8" s="637" t="s">
        <v>447</v>
      </c>
      <c r="CX8" s="637" t="s">
        <v>447</v>
      </c>
      <c r="CY8" s="639">
        <v>0</v>
      </c>
      <c r="CZ8" s="639">
        <v>0</v>
      </c>
      <c r="DA8" s="639">
        <v>0</v>
      </c>
      <c r="DB8" s="944">
        <f t="shared" si="18"/>
        <v>0</v>
      </c>
      <c r="DC8" s="944">
        <f t="shared" si="19"/>
        <v>0</v>
      </c>
      <c r="DD8" s="944">
        <f t="shared" si="20"/>
        <v>0</v>
      </c>
      <c r="DH8" s="637" t="s">
        <v>444</v>
      </c>
      <c r="DI8" s="637" t="s">
        <v>468</v>
      </c>
      <c r="DJ8" s="637" t="s">
        <v>474</v>
      </c>
      <c r="DK8" s="637" t="s">
        <v>276</v>
      </c>
      <c r="DL8" s="639">
        <v>1810619225</v>
      </c>
      <c r="DM8" s="639">
        <v>0</v>
      </c>
      <c r="DN8" s="639">
        <v>0</v>
      </c>
      <c r="DO8" s="944">
        <f t="shared" si="21"/>
        <v>1810619.2250000001</v>
      </c>
      <c r="DP8" s="944">
        <f t="shared" si="22"/>
        <v>0</v>
      </c>
      <c r="DQ8" s="944">
        <f t="shared" si="23"/>
        <v>0</v>
      </c>
      <c r="DU8" s="962" t="s">
        <v>451</v>
      </c>
      <c r="DV8" s="962" t="s">
        <v>470</v>
      </c>
      <c r="DW8" s="962" t="s">
        <v>447</v>
      </c>
      <c r="DX8" s="962" t="s">
        <v>447</v>
      </c>
      <c r="DY8" s="963" t="s">
        <v>547</v>
      </c>
      <c r="DZ8" s="964">
        <v>0</v>
      </c>
      <c r="EA8" s="964">
        <v>0</v>
      </c>
      <c r="EB8" s="964">
        <v>275067839</v>
      </c>
      <c r="EC8" s="965">
        <f t="shared" si="24"/>
        <v>0</v>
      </c>
      <c r="ED8" s="965">
        <f t="shared" si="25"/>
        <v>0</v>
      </c>
      <c r="EE8" s="965">
        <f t="shared" si="26"/>
        <v>275067.83899999998</v>
      </c>
      <c r="EI8" s="637" t="s">
        <v>444</v>
      </c>
      <c r="EJ8" s="637" t="s">
        <v>468</v>
      </c>
      <c r="EK8" s="637" t="s">
        <v>474</v>
      </c>
      <c r="EL8" s="637" t="s">
        <v>276</v>
      </c>
      <c r="EM8" s="637" t="s">
        <v>547</v>
      </c>
      <c r="EN8" s="637">
        <v>1810619225</v>
      </c>
      <c r="EO8" s="637">
        <v>0</v>
      </c>
      <c r="EP8" s="637">
        <v>0</v>
      </c>
      <c r="EQ8" s="966">
        <f t="shared" si="27"/>
        <v>1810619.2250000001</v>
      </c>
      <c r="ER8" s="966">
        <f t="shared" si="28"/>
        <v>0</v>
      </c>
      <c r="ES8" s="966">
        <f t="shared" si="29"/>
        <v>0</v>
      </c>
      <c r="EW8" s="637" t="s">
        <v>448</v>
      </c>
      <c r="EX8" s="637" t="s">
        <v>469</v>
      </c>
      <c r="EY8" s="637" t="s">
        <v>447</v>
      </c>
      <c r="EZ8" s="637" t="s">
        <v>447</v>
      </c>
      <c r="FA8" s="638" t="s">
        <v>547</v>
      </c>
      <c r="FB8" s="966">
        <v>0</v>
      </c>
      <c r="FC8" s="966">
        <v>0</v>
      </c>
      <c r="FD8" s="966">
        <v>4927611406</v>
      </c>
      <c r="FE8" s="966">
        <f t="shared" si="30"/>
        <v>0</v>
      </c>
      <c r="FF8" s="966">
        <f t="shared" si="31"/>
        <v>0</v>
      </c>
      <c r="FG8" s="966">
        <f t="shared" si="32"/>
        <v>4927611.4060000004</v>
      </c>
      <c r="FK8" s="637" t="s">
        <v>444</v>
      </c>
      <c r="FL8" s="637" t="s">
        <v>468</v>
      </c>
      <c r="FM8" s="637" t="s">
        <v>474</v>
      </c>
      <c r="FN8" s="637" t="s">
        <v>276</v>
      </c>
      <c r="FO8" s="637" t="s">
        <v>547</v>
      </c>
      <c r="FP8" s="966">
        <v>3848842225</v>
      </c>
      <c r="FQ8" s="966">
        <v>0</v>
      </c>
      <c r="FR8" s="966">
        <v>0</v>
      </c>
      <c r="FS8" s="944">
        <f t="shared" si="33"/>
        <v>3848842.2250000001</v>
      </c>
      <c r="FT8" s="944">
        <f t="shared" si="34"/>
        <v>0</v>
      </c>
      <c r="FU8" s="944">
        <f t="shared" si="35"/>
        <v>0</v>
      </c>
      <c r="FY8" s="637" t="s">
        <v>444</v>
      </c>
      <c r="FZ8" s="637" t="s">
        <v>468</v>
      </c>
      <c r="GA8" s="637" t="s">
        <v>445</v>
      </c>
      <c r="GB8" s="637" t="s">
        <v>277</v>
      </c>
      <c r="GC8" s="638" t="s">
        <v>547</v>
      </c>
      <c r="GD8" s="639">
        <v>0</v>
      </c>
      <c r="GE8" s="639">
        <v>0</v>
      </c>
      <c r="GF8" s="639">
        <v>0</v>
      </c>
      <c r="GG8" s="966">
        <f t="shared" si="36"/>
        <v>0</v>
      </c>
      <c r="GH8" s="966">
        <f t="shared" si="37"/>
        <v>0</v>
      </c>
      <c r="GI8" s="966">
        <f t="shared" si="38"/>
        <v>0</v>
      </c>
      <c r="GM8" s="967" t="s">
        <v>444</v>
      </c>
      <c r="GN8" s="968" t="s">
        <v>468</v>
      </c>
      <c r="GO8" s="967" t="s">
        <v>474</v>
      </c>
      <c r="GP8" s="967" t="s">
        <v>276</v>
      </c>
      <c r="GQ8" s="968" t="s">
        <v>547</v>
      </c>
      <c r="GR8" s="969">
        <v>3848842225</v>
      </c>
      <c r="GS8" s="969">
        <v>0</v>
      </c>
      <c r="GT8" s="969">
        <v>0</v>
      </c>
      <c r="GU8" s="969">
        <f t="shared" si="39"/>
        <v>3848842.2250000001</v>
      </c>
      <c r="GV8" s="969">
        <f t="shared" si="40"/>
        <v>0</v>
      </c>
      <c r="GW8" s="969">
        <f t="shared" si="41"/>
        <v>0</v>
      </c>
      <c r="HA8" s="637" t="s">
        <v>451</v>
      </c>
      <c r="HB8" s="637" t="s">
        <v>470</v>
      </c>
      <c r="HC8" s="637" t="s">
        <v>447</v>
      </c>
      <c r="HD8" s="637" t="s">
        <v>447</v>
      </c>
      <c r="HE8" s="638" t="s">
        <v>547</v>
      </c>
      <c r="HF8" s="639">
        <v>0</v>
      </c>
      <c r="HG8" s="639">
        <v>3995858070</v>
      </c>
      <c r="HH8" s="639">
        <v>3995858070</v>
      </c>
      <c r="HI8" s="639">
        <f t="shared" si="42"/>
        <v>0</v>
      </c>
      <c r="HJ8" s="639">
        <f t="shared" si="43"/>
        <v>3995858.07</v>
      </c>
      <c r="HK8" s="639">
        <f t="shared" si="44"/>
        <v>3995858.07</v>
      </c>
      <c r="HO8" s="967" t="s">
        <v>444</v>
      </c>
      <c r="HP8" s="967" t="s">
        <v>468</v>
      </c>
      <c r="HQ8" s="967" t="s">
        <v>474</v>
      </c>
      <c r="HR8" s="967" t="s">
        <v>276</v>
      </c>
      <c r="HS8" s="638" t="s">
        <v>547</v>
      </c>
      <c r="HT8" s="639">
        <v>3848842225</v>
      </c>
      <c r="HU8" s="639">
        <v>0</v>
      </c>
      <c r="HV8" s="639">
        <v>0</v>
      </c>
      <c r="HW8" s="944">
        <f t="shared" si="45"/>
        <v>3848842.2250000001</v>
      </c>
      <c r="HX8" s="944">
        <f t="shared" si="46"/>
        <v>0</v>
      </c>
      <c r="HY8" s="944">
        <f t="shared" si="47"/>
        <v>0</v>
      </c>
      <c r="IC8" s="637" t="s">
        <v>444</v>
      </c>
      <c r="ID8" s="637" t="s">
        <v>468</v>
      </c>
      <c r="IE8" s="637" t="s">
        <v>472</v>
      </c>
      <c r="IF8" s="637" t="s">
        <v>473</v>
      </c>
      <c r="IG8" s="638" t="s">
        <v>547</v>
      </c>
      <c r="IH8" s="639">
        <v>0</v>
      </c>
      <c r="II8" s="639">
        <v>-653589</v>
      </c>
      <c r="IJ8" s="639">
        <v>0</v>
      </c>
      <c r="IK8" s="965">
        <f t="shared" si="48"/>
        <v>0</v>
      </c>
      <c r="IL8" s="965">
        <f t="shared" si="49"/>
        <v>-653.58900000000006</v>
      </c>
      <c r="IM8" s="965">
        <f t="shared" si="50"/>
        <v>0</v>
      </c>
      <c r="IQ8" s="967" t="s">
        <v>444</v>
      </c>
      <c r="IR8" s="967" t="s">
        <v>468</v>
      </c>
      <c r="IS8" s="967" t="s">
        <v>474</v>
      </c>
      <c r="IT8" s="967" t="s">
        <v>276</v>
      </c>
      <c r="IU8" s="968" t="s">
        <v>547</v>
      </c>
      <c r="IV8" s="969">
        <v>4000860956</v>
      </c>
      <c r="IW8" s="969">
        <v>0</v>
      </c>
      <c r="IX8" s="969">
        <v>0</v>
      </c>
      <c r="IY8" s="970">
        <f t="shared" si="51"/>
        <v>4000860.9559999998</v>
      </c>
      <c r="IZ8" s="970">
        <f t="shared" si="52"/>
        <v>0</v>
      </c>
      <c r="JA8" s="970">
        <f t="shared" si="53"/>
        <v>0</v>
      </c>
      <c r="JE8" s="968" t="s">
        <v>544</v>
      </c>
      <c r="JF8" s="968" t="s">
        <v>545</v>
      </c>
      <c r="JG8" s="968" t="s">
        <v>447</v>
      </c>
      <c r="JH8" s="968" t="s">
        <v>447</v>
      </c>
      <c r="JI8" s="638" t="s">
        <v>547</v>
      </c>
      <c r="JJ8" s="639">
        <v>2839081410</v>
      </c>
      <c r="JK8" s="944">
        <f t="shared" si="54"/>
        <v>2839081.41</v>
      </c>
      <c r="JO8" s="966" t="s">
        <v>444</v>
      </c>
      <c r="JP8" s="966" t="s">
        <v>468</v>
      </c>
      <c r="JQ8" s="966" t="s">
        <v>474</v>
      </c>
      <c r="JR8" s="640" t="s">
        <v>276</v>
      </c>
      <c r="JS8" s="640" t="s">
        <v>547</v>
      </c>
      <c r="JT8" s="971">
        <v>4000860956</v>
      </c>
      <c r="JU8" s="971">
        <v>0</v>
      </c>
      <c r="JV8" s="971">
        <v>0</v>
      </c>
      <c r="JW8" s="945">
        <f t="shared" si="55"/>
        <v>4000860.9559999998</v>
      </c>
      <c r="JX8" s="945">
        <f t="shared" si="56"/>
        <v>0</v>
      </c>
      <c r="JY8" s="945">
        <f t="shared" si="57"/>
        <v>0</v>
      </c>
    </row>
    <row r="9" spans="1:287" ht="15" customHeight="1" x14ac:dyDescent="0.3">
      <c r="A9" s="954" t="s">
        <v>444</v>
      </c>
      <c r="B9" s="954" t="s">
        <v>468</v>
      </c>
      <c r="C9" s="954" t="s">
        <v>498</v>
      </c>
      <c r="D9" s="954" t="s">
        <v>343</v>
      </c>
      <c r="E9" s="955">
        <v>533745000</v>
      </c>
      <c r="F9" s="955">
        <f t="shared" si="7"/>
        <v>567370.93499999994</v>
      </c>
      <c r="G9" s="955">
        <v>0</v>
      </c>
      <c r="H9" s="955">
        <f t="shared" si="8"/>
        <v>0</v>
      </c>
      <c r="L9" s="956" t="s">
        <v>661</v>
      </c>
      <c r="M9" s="956" t="s">
        <v>305</v>
      </c>
      <c r="N9" s="956" t="s">
        <v>447</v>
      </c>
      <c r="O9" s="956" t="s">
        <v>447</v>
      </c>
      <c r="P9" s="957">
        <v>184070311</v>
      </c>
      <c r="Q9" s="957">
        <f t="shared" si="9"/>
        <v>195666.74059299997</v>
      </c>
      <c r="U9" s="956" t="s">
        <v>444</v>
      </c>
      <c r="V9" s="956" t="s">
        <v>468</v>
      </c>
      <c r="W9" s="956" t="s">
        <v>471</v>
      </c>
      <c r="X9" s="956" t="s">
        <v>279</v>
      </c>
      <c r="Y9" s="957">
        <v>2400000</v>
      </c>
      <c r="Z9" s="957">
        <f t="shared" si="10"/>
        <v>2551.1999999999998</v>
      </c>
      <c r="AD9" s="956" t="s">
        <v>444</v>
      </c>
      <c r="AE9" s="956" t="s">
        <v>468</v>
      </c>
      <c r="AF9" s="956" t="s">
        <v>446</v>
      </c>
      <c r="AG9" s="958" t="s">
        <v>322</v>
      </c>
      <c r="AH9" s="957">
        <v>103312</v>
      </c>
      <c r="AI9" s="957">
        <f t="shared" si="11"/>
        <v>109.82065599999999</v>
      </c>
      <c r="AM9" s="956" t="s">
        <v>444</v>
      </c>
      <c r="AN9" s="956" t="s">
        <v>468</v>
      </c>
      <c r="AO9" s="956" t="s">
        <v>498</v>
      </c>
      <c r="AP9" s="956" t="s">
        <v>343</v>
      </c>
      <c r="AQ9" s="957">
        <v>533745000</v>
      </c>
      <c r="AR9" s="957">
        <f t="shared" si="58"/>
        <v>567370.93499999994</v>
      </c>
      <c r="AS9" s="957">
        <v>0</v>
      </c>
      <c r="AV9" s="944"/>
      <c r="AX9" s="956" t="s">
        <v>663</v>
      </c>
      <c r="AY9" s="956" t="s">
        <v>266</v>
      </c>
      <c r="AZ9" s="956" t="s">
        <v>447</v>
      </c>
      <c r="BA9" s="956" t="s">
        <v>447</v>
      </c>
      <c r="BB9" s="957">
        <v>450709000</v>
      </c>
      <c r="BC9" s="957">
        <f t="shared" si="0"/>
        <v>479103.66699999996</v>
      </c>
      <c r="BG9" s="956" t="s">
        <v>444</v>
      </c>
      <c r="BH9" s="956" t="s">
        <v>468</v>
      </c>
      <c r="BI9" s="956" t="s">
        <v>445</v>
      </c>
      <c r="BJ9" s="956" t="s">
        <v>277</v>
      </c>
      <c r="BK9" s="957">
        <v>315806000</v>
      </c>
      <c r="BL9" s="957">
        <v>0</v>
      </c>
      <c r="BM9" s="957">
        <v>0</v>
      </c>
      <c r="BN9" s="946">
        <f t="shared" si="1"/>
        <v>335701.77799999999</v>
      </c>
      <c r="BO9" s="946">
        <f t="shared" si="2"/>
        <v>0</v>
      </c>
      <c r="BP9" s="946">
        <f t="shared" si="3"/>
        <v>0</v>
      </c>
      <c r="BT9" s="637" t="s">
        <v>444</v>
      </c>
      <c r="BU9" s="637" t="s">
        <v>468</v>
      </c>
      <c r="BV9" s="637" t="s">
        <v>447</v>
      </c>
      <c r="BW9" s="637" t="s">
        <v>447</v>
      </c>
      <c r="BX9" s="638" t="s">
        <v>547</v>
      </c>
      <c r="BY9" s="639">
        <v>0</v>
      </c>
      <c r="BZ9" s="639">
        <v>0</v>
      </c>
      <c r="CA9" s="639">
        <v>0</v>
      </c>
      <c r="CB9" s="944">
        <f t="shared" si="12"/>
        <v>0</v>
      </c>
      <c r="CC9" s="944">
        <f t="shared" si="13"/>
        <v>0</v>
      </c>
      <c r="CD9" s="944">
        <f t="shared" si="14"/>
        <v>0</v>
      </c>
      <c r="CH9" s="637" t="s">
        <v>444</v>
      </c>
      <c r="CI9" s="637" t="s">
        <v>468</v>
      </c>
      <c r="CJ9" s="637" t="s">
        <v>498</v>
      </c>
      <c r="CK9" s="637" t="s">
        <v>343</v>
      </c>
      <c r="CL9" s="639">
        <v>533745000</v>
      </c>
      <c r="CM9" s="639">
        <v>0</v>
      </c>
      <c r="CN9" s="639">
        <v>0</v>
      </c>
      <c r="CO9" s="961">
        <f t="shared" si="15"/>
        <v>533745</v>
      </c>
      <c r="CP9" s="961">
        <f t="shared" si="16"/>
        <v>0</v>
      </c>
      <c r="CQ9" s="961">
        <f t="shared" si="17"/>
        <v>0</v>
      </c>
      <c r="CU9" s="637" t="s">
        <v>444</v>
      </c>
      <c r="CV9" s="637" t="s">
        <v>468</v>
      </c>
      <c r="CW9" s="637" t="s">
        <v>474</v>
      </c>
      <c r="CX9" s="637" t="s">
        <v>276</v>
      </c>
      <c r="CY9" s="639">
        <v>0</v>
      </c>
      <c r="CZ9" s="639">
        <v>0</v>
      </c>
      <c r="DA9" s="639">
        <v>60102369</v>
      </c>
      <c r="DB9" s="944">
        <f t="shared" si="18"/>
        <v>0</v>
      </c>
      <c r="DC9" s="944">
        <f t="shared" si="19"/>
        <v>0</v>
      </c>
      <c r="DD9" s="944">
        <f t="shared" si="20"/>
        <v>60102.368999999999</v>
      </c>
      <c r="DH9" s="637" t="s">
        <v>444</v>
      </c>
      <c r="DI9" s="637" t="s">
        <v>468</v>
      </c>
      <c r="DJ9" s="637" t="s">
        <v>498</v>
      </c>
      <c r="DK9" s="637" t="s">
        <v>343</v>
      </c>
      <c r="DL9" s="639">
        <v>533745000</v>
      </c>
      <c r="DM9" s="639">
        <v>0</v>
      </c>
      <c r="DN9" s="639">
        <v>0</v>
      </c>
      <c r="DO9" s="944">
        <f t="shared" si="21"/>
        <v>533745</v>
      </c>
      <c r="DP9" s="944">
        <f t="shared" si="22"/>
        <v>0</v>
      </c>
      <c r="DQ9" s="944">
        <f t="shared" si="23"/>
        <v>0</v>
      </c>
      <c r="DU9" s="962" t="s">
        <v>659</v>
      </c>
      <c r="DV9" s="962" t="s">
        <v>221</v>
      </c>
      <c r="DW9" s="962" t="s">
        <v>447</v>
      </c>
      <c r="DX9" s="962" t="s">
        <v>447</v>
      </c>
      <c r="DY9" s="963" t="s">
        <v>547</v>
      </c>
      <c r="DZ9" s="964">
        <v>0</v>
      </c>
      <c r="EA9" s="964">
        <v>1485932961</v>
      </c>
      <c r="EB9" s="964">
        <v>1001560428</v>
      </c>
      <c r="EC9" s="965">
        <f t="shared" si="24"/>
        <v>0</v>
      </c>
      <c r="ED9" s="965">
        <f t="shared" si="25"/>
        <v>1485932.9609999999</v>
      </c>
      <c r="EE9" s="965">
        <f t="shared" si="26"/>
        <v>1001560.428</v>
      </c>
      <c r="EI9" s="637" t="s">
        <v>444</v>
      </c>
      <c r="EJ9" s="637" t="s">
        <v>468</v>
      </c>
      <c r="EK9" s="637" t="s">
        <v>498</v>
      </c>
      <c r="EL9" s="637" t="s">
        <v>343</v>
      </c>
      <c r="EM9" s="637" t="s">
        <v>547</v>
      </c>
      <c r="EN9" s="637">
        <v>533745000</v>
      </c>
      <c r="EO9" s="637">
        <v>0</v>
      </c>
      <c r="EP9" s="637">
        <v>0</v>
      </c>
      <c r="EQ9" s="966">
        <f t="shared" si="27"/>
        <v>533745</v>
      </c>
      <c r="ER9" s="966">
        <f t="shared" si="28"/>
        <v>0</v>
      </c>
      <c r="ES9" s="966">
        <f t="shared" si="29"/>
        <v>0</v>
      </c>
      <c r="EW9" s="637" t="s">
        <v>451</v>
      </c>
      <c r="EX9" s="637" t="s">
        <v>470</v>
      </c>
      <c r="EY9" s="637" t="s">
        <v>447</v>
      </c>
      <c r="EZ9" s="637" t="s">
        <v>447</v>
      </c>
      <c r="FA9" s="638" t="s">
        <v>547</v>
      </c>
      <c r="FB9" s="966">
        <v>4640791000</v>
      </c>
      <c r="FC9" s="966">
        <v>0</v>
      </c>
      <c r="FD9" s="966">
        <v>0</v>
      </c>
      <c r="FE9" s="966">
        <f t="shared" si="30"/>
        <v>4640791</v>
      </c>
      <c r="FF9" s="966">
        <f t="shared" si="31"/>
        <v>0</v>
      </c>
      <c r="FG9" s="966">
        <f t="shared" si="32"/>
        <v>0</v>
      </c>
      <c r="FK9" s="637" t="s">
        <v>444</v>
      </c>
      <c r="FL9" s="637" t="s">
        <v>468</v>
      </c>
      <c r="FM9" s="637" t="s">
        <v>498</v>
      </c>
      <c r="FN9" s="637" t="s">
        <v>343</v>
      </c>
      <c r="FO9" s="637" t="s">
        <v>547</v>
      </c>
      <c r="FP9" s="966">
        <v>533745000</v>
      </c>
      <c r="FQ9" s="966">
        <v>0</v>
      </c>
      <c r="FR9" s="966">
        <v>0</v>
      </c>
      <c r="FS9" s="944">
        <f t="shared" si="33"/>
        <v>533745</v>
      </c>
      <c r="FT9" s="944">
        <f t="shared" si="34"/>
        <v>0</v>
      </c>
      <c r="FU9" s="944">
        <f t="shared" si="35"/>
        <v>0</v>
      </c>
      <c r="FY9" s="637" t="s">
        <v>444</v>
      </c>
      <c r="FZ9" s="637" t="s">
        <v>468</v>
      </c>
      <c r="GA9" s="637" t="s">
        <v>446</v>
      </c>
      <c r="GB9" s="637" t="s">
        <v>322</v>
      </c>
      <c r="GC9" s="638" t="s">
        <v>547</v>
      </c>
      <c r="GD9" s="639">
        <v>0</v>
      </c>
      <c r="GE9" s="639">
        <v>-22516</v>
      </c>
      <c r="GF9" s="639">
        <v>77484</v>
      </c>
      <c r="GG9" s="966">
        <f t="shared" si="36"/>
        <v>0</v>
      </c>
      <c r="GH9" s="966">
        <f t="shared" si="37"/>
        <v>-22.515999999999998</v>
      </c>
      <c r="GI9" s="966">
        <f t="shared" si="38"/>
        <v>77.483999999999995</v>
      </c>
      <c r="GM9" s="967" t="s">
        <v>444</v>
      </c>
      <c r="GN9" s="968" t="s">
        <v>468</v>
      </c>
      <c r="GO9" s="967" t="s">
        <v>498</v>
      </c>
      <c r="GP9" s="967" t="s">
        <v>343</v>
      </c>
      <c r="GQ9" s="968" t="s">
        <v>547</v>
      </c>
      <c r="GR9" s="969">
        <v>533745000</v>
      </c>
      <c r="GS9" s="969">
        <v>0</v>
      </c>
      <c r="GT9" s="969">
        <v>0</v>
      </c>
      <c r="GU9" s="969">
        <f t="shared" si="39"/>
        <v>533745</v>
      </c>
      <c r="GV9" s="969">
        <f t="shared" si="40"/>
        <v>0</v>
      </c>
      <c r="GW9" s="969">
        <f t="shared" si="41"/>
        <v>0</v>
      </c>
      <c r="HA9" s="637" t="s">
        <v>451</v>
      </c>
      <c r="HB9" s="637" t="s">
        <v>470</v>
      </c>
      <c r="HC9" s="637" t="s">
        <v>447</v>
      </c>
      <c r="HD9" s="637" t="s">
        <v>447</v>
      </c>
      <c r="HE9" s="638" t="s">
        <v>547</v>
      </c>
      <c r="HF9" s="639">
        <v>0</v>
      </c>
      <c r="HG9" s="639">
        <v>294599653</v>
      </c>
      <c r="HH9" s="639">
        <v>546615976</v>
      </c>
      <c r="HI9" s="639">
        <f t="shared" si="42"/>
        <v>0</v>
      </c>
      <c r="HJ9" s="639">
        <f t="shared" si="43"/>
        <v>294599.65299999999</v>
      </c>
      <c r="HK9" s="639">
        <f t="shared" si="44"/>
        <v>546615.97600000002</v>
      </c>
      <c r="HO9" s="967" t="s">
        <v>444</v>
      </c>
      <c r="HP9" s="967" t="s">
        <v>468</v>
      </c>
      <c r="HQ9" s="967" t="s">
        <v>498</v>
      </c>
      <c r="HR9" s="967" t="s">
        <v>343</v>
      </c>
      <c r="HS9" s="638" t="s">
        <v>547</v>
      </c>
      <c r="HT9" s="639">
        <v>533745000</v>
      </c>
      <c r="HU9" s="639">
        <v>0</v>
      </c>
      <c r="HV9" s="639">
        <v>0</v>
      </c>
      <c r="HW9" s="944">
        <f t="shared" si="45"/>
        <v>533745</v>
      </c>
      <c r="HX9" s="944">
        <f t="shared" si="46"/>
        <v>0</v>
      </c>
      <c r="HY9" s="944">
        <f t="shared" si="47"/>
        <v>0</v>
      </c>
      <c r="IC9" s="637" t="s">
        <v>444</v>
      </c>
      <c r="ID9" s="637" t="s">
        <v>468</v>
      </c>
      <c r="IE9" s="637" t="s">
        <v>446</v>
      </c>
      <c r="IF9" s="637" t="s">
        <v>322</v>
      </c>
      <c r="IG9" s="638" t="s">
        <v>547</v>
      </c>
      <c r="IH9" s="639">
        <v>0</v>
      </c>
      <c r="II9" s="639">
        <v>-642459</v>
      </c>
      <c r="IJ9" s="639">
        <v>25828</v>
      </c>
      <c r="IK9" s="965">
        <f t="shared" si="48"/>
        <v>0</v>
      </c>
      <c r="IL9" s="965">
        <f t="shared" si="49"/>
        <v>-642.45899999999995</v>
      </c>
      <c r="IM9" s="965">
        <f t="shared" si="50"/>
        <v>25.827999999999999</v>
      </c>
      <c r="IQ9" s="967" t="s">
        <v>444</v>
      </c>
      <c r="IR9" s="967" t="s">
        <v>468</v>
      </c>
      <c r="IS9" s="967" t="s">
        <v>498</v>
      </c>
      <c r="IT9" s="967" t="s">
        <v>343</v>
      </c>
      <c r="IU9" s="968" t="s">
        <v>547</v>
      </c>
      <c r="IV9" s="969">
        <v>533745000</v>
      </c>
      <c r="IW9" s="969">
        <v>0</v>
      </c>
      <c r="IX9" s="969">
        <v>0</v>
      </c>
      <c r="IY9" s="970">
        <f t="shared" si="51"/>
        <v>533745</v>
      </c>
      <c r="IZ9" s="970">
        <f t="shared" si="52"/>
        <v>0</v>
      </c>
      <c r="JA9" s="970">
        <f t="shared" si="53"/>
        <v>0</v>
      </c>
      <c r="JE9" s="968" t="s">
        <v>506</v>
      </c>
      <c r="JF9" s="968" t="s">
        <v>507</v>
      </c>
      <c r="JG9" s="968" t="s">
        <v>447</v>
      </c>
      <c r="JH9" s="968" t="s">
        <v>447</v>
      </c>
      <c r="JI9" s="638" t="s">
        <v>547</v>
      </c>
      <c r="JJ9" s="639">
        <v>881025000</v>
      </c>
      <c r="JK9" s="944">
        <f t="shared" si="54"/>
        <v>881025</v>
      </c>
      <c r="JO9" s="966" t="s">
        <v>444</v>
      </c>
      <c r="JP9" s="966" t="s">
        <v>468</v>
      </c>
      <c r="JQ9" s="966" t="s">
        <v>498</v>
      </c>
      <c r="JR9" s="640" t="s">
        <v>343</v>
      </c>
      <c r="JS9" s="640" t="s">
        <v>547</v>
      </c>
      <c r="JT9" s="971">
        <v>533745000</v>
      </c>
      <c r="JU9" s="971">
        <v>0</v>
      </c>
      <c r="JV9" s="971">
        <v>0</v>
      </c>
      <c r="JW9" s="945">
        <f t="shared" si="55"/>
        <v>533745</v>
      </c>
      <c r="JX9" s="945">
        <f t="shared" si="56"/>
        <v>0</v>
      </c>
      <c r="JY9" s="945">
        <f t="shared" si="57"/>
        <v>0</v>
      </c>
    </row>
    <row r="10" spans="1:287" ht="15" customHeight="1" x14ac:dyDescent="0.3">
      <c r="A10" s="954" t="s">
        <v>444</v>
      </c>
      <c r="B10" s="954" t="s">
        <v>468</v>
      </c>
      <c r="C10" s="954" t="s">
        <v>445</v>
      </c>
      <c r="D10" s="954" t="s">
        <v>277</v>
      </c>
      <c r="E10" s="955">
        <v>315806000</v>
      </c>
      <c r="F10" s="955">
        <f t="shared" si="7"/>
        <v>335701.77799999999</v>
      </c>
      <c r="G10" s="955">
        <v>0</v>
      </c>
      <c r="H10" s="955">
        <f t="shared" si="8"/>
        <v>0</v>
      </c>
      <c r="L10" s="956" t="s">
        <v>662</v>
      </c>
      <c r="M10" s="956" t="s">
        <v>308</v>
      </c>
      <c r="N10" s="956" t="s">
        <v>447</v>
      </c>
      <c r="O10" s="956" t="s">
        <v>447</v>
      </c>
      <c r="P10" s="957">
        <v>709894420</v>
      </c>
      <c r="Q10" s="957">
        <f t="shared" si="9"/>
        <v>754617.76846000005</v>
      </c>
      <c r="U10" s="956" t="s">
        <v>444</v>
      </c>
      <c r="V10" s="956" t="s">
        <v>468</v>
      </c>
      <c r="W10" s="956" t="s">
        <v>446</v>
      </c>
      <c r="X10" s="956" t="s">
        <v>322</v>
      </c>
      <c r="Y10" s="957">
        <v>1500000</v>
      </c>
      <c r="Z10" s="957">
        <f t="shared" si="10"/>
        <v>1594.5</v>
      </c>
      <c r="AD10" s="956" t="s">
        <v>451</v>
      </c>
      <c r="AE10" s="956" t="s">
        <v>470</v>
      </c>
      <c r="AF10" s="956" t="s">
        <v>447</v>
      </c>
      <c r="AG10" s="956" t="s">
        <v>447</v>
      </c>
      <c r="AH10" s="957">
        <v>257386764</v>
      </c>
      <c r="AI10" s="957">
        <f t="shared" si="11"/>
        <v>273602.13013199996</v>
      </c>
      <c r="AM10" s="956" t="s">
        <v>444</v>
      </c>
      <c r="AN10" s="956" t="s">
        <v>468</v>
      </c>
      <c r="AO10" s="956" t="s">
        <v>445</v>
      </c>
      <c r="AP10" s="956" t="s">
        <v>277</v>
      </c>
      <c r="AQ10" s="957">
        <v>315806000</v>
      </c>
      <c r="AR10" s="957">
        <f t="shared" si="58"/>
        <v>335701.77799999999</v>
      </c>
      <c r="AS10" s="957">
        <v>0</v>
      </c>
      <c r="AV10" s="944"/>
      <c r="AX10" s="956" t="s">
        <v>664</v>
      </c>
      <c r="AY10" s="956" t="s">
        <v>267</v>
      </c>
      <c r="AZ10" s="956" t="s">
        <v>447</v>
      </c>
      <c r="BA10" s="956" t="s">
        <v>447</v>
      </c>
      <c r="BB10" s="957">
        <v>196735333</v>
      </c>
      <c r="BC10" s="957">
        <f t="shared" si="0"/>
        <v>209129.658979</v>
      </c>
      <c r="BG10" s="956" t="s">
        <v>444</v>
      </c>
      <c r="BH10" s="956" t="s">
        <v>468</v>
      </c>
      <c r="BI10" s="956" t="s">
        <v>445</v>
      </c>
      <c r="BJ10" s="956" t="s">
        <v>277</v>
      </c>
      <c r="BK10" s="957">
        <v>0</v>
      </c>
      <c r="BL10" s="957">
        <v>203211915</v>
      </c>
      <c r="BM10" s="957">
        <v>90739914</v>
      </c>
      <c r="BN10" s="946">
        <f t="shared" si="1"/>
        <v>0</v>
      </c>
      <c r="BO10" s="946">
        <f t="shared" si="2"/>
        <v>216014.26564500001</v>
      </c>
      <c r="BP10" s="946">
        <f t="shared" si="3"/>
        <v>96456.528581999999</v>
      </c>
      <c r="BT10" s="637" t="s">
        <v>451</v>
      </c>
      <c r="BU10" s="637" t="s">
        <v>470</v>
      </c>
      <c r="BV10" s="637" t="s">
        <v>447</v>
      </c>
      <c r="BW10" s="637" t="s">
        <v>447</v>
      </c>
      <c r="BX10" s="638" t="s">
        <v>547</v>
      </c>
      <c r="BY10" s="639">
        <v>0</v>
      </c>
      <c r="BZ10" s="639">
        <v>564724830</v>
      </c>
      <c r="CA10" s="639">
        <v>500265478</v>
      </c>
      <c r="CB10" s="944">
        <f t="shared" si="12"/>
        <v>0</v>
      </c>
      <c r="CC10" s="944">
        <f t="shared" si="13"/>
        <v>564724.82999999996</v>
      </c>
      <c r="CD10" s="944">
        <f t="shared" si="14"/>
        <v>500265.478</v>
      </c>
      <c r="CH10" s="637" t="s">
        <v>444</v>
      </c>
      <c r="CI10" s="637" t="s">
        <v>468</v>
      </c>
      <c r="CJ10" s="637" t="s">
        <v>445</v>
      </c>
      <c r="CK10" s="637" t="s">
        <v>277</v>
      </c>
      <c r="CL10" s="639">
        <v>315806000</v>
      </c>
      <c r="CM10" s="639">
        <v>0</v>
      </c>
      <c r="CN10" s="639">
        <v>0</v>
      </c>
      <c r="CO10" s="961">
        <f t="shared" si="15"/>
        <v>315806</v>
      </c>
      <c r="CP10" s="961">
        <f t="shared" si="16"/>
        <v>0</v>
      </c>
      <c r="CQ10" s="961">
        <f t="shared" si="17"/>
        <v>0</v>
      </c>
      <c r="CU10" s="637" t="s">
        <v>451</v>
      </c>
      <c r="CV10" s="637" t="s">
        <v>470</v>
      </c>
      <c r="CW10" s="637" t="s">
        <v>447</v>
      </c>
      <c r="CX10" s="637" t="s">
        <v>447</v>
      </c>
      <c r="CY10" s="639">
        <v>3539367000</v>
      </c>
      <c r="CZ10" s="639">
        <v>0</v>
      </c>
      <c r="DA10" s="639">
        <v>0</v>
      </c>
      <c r="DB10" s="944">
        <f t="shared" si="18"/>
        <v>3539367</v>
      </c>
      <c r="DC10" s="944">
        <f t="shared" si="19"/>
        <v>0</v>
      </c>
      <c r="DD10" s="944">
        <f t="shared" si="20"/>
        <v>0</v>
      </c>
      <c r="DH10" s="637" t="s">
        <v>444</v>
      </c>
      <c r="DI10" s="637" t="s">
        <v>468</v>
      </c>
      <c r="DJ10" s="637" t="s">
        <v>445</v>
      </c>
      <c r="DK10" s="637" t="s">
        <v>277</v>
      </c>
      <c r="DL10" s="639">
        <v>315806000</v>
      </c>
      <c r="DM10" s="639">
        <v>0</v>
      </c>
      <c r="DN10" s="639">
        <v>0</v>
      </c>
      <c r="DO10" s="944">
        <f t="shared" si="21"/>
        <v>315806</v>
      </c>
      <c r="DP10" s="944">
        <f t="shared" si="22"/>
        <v>0</v>
      </c>
      <c r="DQ10" s="944">
        <f t="shared" si="23"/>
        <v>0</v>
      </c>
      <c r="DU10" s="962" t="s">
        <v>660</v>
      </c>
      <c r="DV10" s="962" t="s">
        <v>154</v>
      </c>
      <c r="DW10" s="962" t="s">
        <v>447</v>
      </c>
      <c r="DX10" s="962" t="s">
        <v>447</v>
      </c>
      <c r="DY10" s="963" t="s">
        <v>547</v>
      </c>
      <c r="DZ10" s="964">
        <v>0</v>
      </c>
      <c r="EA10" s="964">
        <v>13983550232</v>
      </c>
      <c r="EB10" s="964">
        <v>1220526691</v>
      </c>
      <c r="EC10" s="965">
        <f t="shared" si="24"/>
        <v>0</v>
      </c>
      <c r="ED10" s="965">
        <f t="shared" si="25"/>
        <v>13983550.232000001</v>
      </c>
      <c r="EE10" s="965">
        <f t="shared" si="26"/>
        <v>1220526.6910000001</v>
      </c>
      <c r="EI10" s="637" t="s">
        <v>444</v>
      </c>
      <c r="EJ10" s="637" t="s">
        <v>468</v>
      </c>
      <c r="EK10" s="637" t="s">
        <v>445</v>
      </c>
      <c r="EL10" s="637" t="s">
        <v>277</v>
      </c>
      <c r="EM10" s="637" t="s">
        <v>547</v>
      </c>
      <c r="EN10" s="637">
        <v>315806000</v>
      </c>
      <c r="EO10" s="637">
        <v>0</v>
      </c>
      <c r="EP10" s="637">
        <v>0</v>
      </c>
      <c r="EQ10" s="966">
        <f t="shared" si="27"/>
        <v>315806</v>
      </c>
      <c r="ER10" s="966">
        <f t="shared" si="28"/>
        <v>0</v>
      </c>
      <c r="ES10" s="966">
        <f t="shared" si="29"/>
        <v>0</v>
      </c>
      <c r="EW10" s="637" t="s">
        <v>451</v>
      </c>
      <c r="EX10" s="637" t="s">
        <v>470</v>
      </c>
      <c r="EY10" s="637" t="s">
        <v>447</v>
      </c>
      <c r="EZ10" s="637" t="s">
        <v>447</v>
      </c>
      <c r="FA10" s="638" t="s">
        <v>547</v>
      </c>
      <c r="FB10" s="966">
        <v>0</v>
      </c>
      <c r="FC10" s="966">
        <v>154438551</v>
      </c>
      <c r="FD10" s="966">
        <v>139369394</v>
      </c>
      <c r="FE10" s="966">
        <f t="shared" si="30"/>
        <v>0</v>
      </c>
      <c r="FF10" s="966">
        <f t="shared" si="31"/>
        <v>154438.55100000001</v>
      </c>
      <c r="FG10" s="966">
        <f t="shared" si="32"/>
        <v>139369.394</v>
      </c>
      <c r="FK10" s="637" t="s">
        <v>444</v>
      </c>
      <c r="FL10" s="637" t="s">
        <v>468</v>
      </c>
      <c r="FM10" s="637" t="s">
        <v>445</v>
      </c>
      <c r="FN10" s="637" t="s">
        <v>277</v>
      </c>
      <c r="FO10" s="637" t="s">
        <v>547</v>
      </c>
      <c r="FP10" s="966">
        <v>315806000</v>
      </c>
      <c r="FQ10" s="966">
        <v>0</v>
      </c>
      <c r="FR10" s="966">
        <v>0</v>
      </c>
      <c r="FS10" s="944">
        <f t="shared" si="33"/>
        <v>315806</v>
      </c>
      <c r="FT10" s="944">
        <f t="shared" si="34"/>
        <v>0</v>
      </c>
      <c r="FU10" s="944">
        <f t="shared" si="35"/>
        <v>0</v>
      </c>
      <c r="FY10" s="637" t="s">
        <v>448</v>
      </c>
      <c r="FZ10" s="637" t="s">
        <v>469</v>
      </c>
      <c r="GA10" s="637" t="s">
        <v>447</v>
      </c>
      <c r="GB10" s="637" t="s">
        <v>447</v>
      </c>
      <c r="GC10" s="638" t="s">
        <v>547</v>
      </c>
      <c r="GD10" s="639">
        <v>0</v>
      </c>
      <c r="GE10" s="639">
        <v>0</v>
      </c>
      <c r="GF10" s="639">
        <v>1640153227</v>
      </c>
      <c r="GG10" s="966">
        <f t="shared" si="36"/>
        <v>0</v>
      </c>
      <c r="GH10" s="966">
        <f t="shared" si="37"/>
        <v>0</v>
      </c>
      <c r="GI10" s="966">
        <f t="shared" si="38"/>
        <v>1640153.227</v>
      </c>
      <c r="GM10" s="967" t="s">
        <v>444</v>
      </c>
      <c r="GN10" s="968" t="s">
        <v>468</v>
      </c>
      <c r="GO10" s="967" t="s">
        <v>445</v>
      </c>
      <c r="GP10" s="967" t="s">
        <v>277</v>
      </c>
      <c r="GQ10" s="968" t="s">
        <v>547</v>
      </c>
      <c r="GR10" s="969">
        <v>315806000</v>
      </c>
      <c r="GS10" s="969">
        <v>0</v>
      </c>
      <c r="GT10" s="969">
        <v>0</v>
      </c>
      <c r="GU10" s="969">
        <f t="shared" si="39"/>
        <v>315806</v>
      </c>
      <c r="GV10" s="969">
        <f t="shared" si="40"/>
        <v>0</v>
      </c>
      <c r="GW10" s="969">
        <f t="shared" si="41"/>
        <v>0</v>
      </c>
      <c r="HA10" s="637" t="s">
        <v>659</v>
      </c>
      <c r="HB10" s="637" t="s">
        <v>221</v>
      </c>
      <c r="HC10" s="637" t="s">
        <v>447</v>
      </c>
      <c r="HD10" s="637" t="s">
        <v>447</v>
      </c>
      <c r="HE10" s="638" t="s">
        <v>547</v>
      </c>
      <c r="HF10" s="639">
        <v>0</v>
      </c>
      <c r="HG10" s="639">
        <v>785950588</v>
      </c>
      <c r="HH10" s="639">
        <v>558900001</v>
      </c>
      <c r="HI10" s="639">
        <f t="shared" si="42"/>
        <v>0</v>
      </c>
      <c r="HJ10" s="639">
        <f t="shared" si="43"/>
        <v>785950.58799999999</v>
      </c>
      <c r="HK10" s="639">
        <f t="shared" si="44"/>
        <v>558900.00100000005</v>
      </c>
      <c r="HO10" s="967" t="s">
        <v>444</v>
      </c>
      <c r="HP10" s="967" t="s">
        <v>468</v>
      </c>
      <c r="HQ10" s="967" t="s">
        <v>445</v>
      </c>
      <c r="HR10" s="967" t="s">
        <v>277</v>
      </c>
      <c r="HS10" s="638" t="s">
        <v>547</v>
      </c>
      <c r="HT10" s="639">
        <v>315806000</v>
      </c>
      <c r="HU10" s="639">
        <v>0</v>
      </c>
      <c r="HV10" s="639">
        <v>0</v>
      </c>
      <c r="HW10" s="944">
        <f t="shared" si="45"/>
        <v>315806</v>
      </c>
      <c r="HX10" s="944">
        <f t="shared" si="46"/>
        <v>0</v>
      </c>
      <c r="HY10" s="944">
        <f t="shared" si="47"/>
        <v>0</v>
      </c>
      <c r="IC10" s="637" t="s">
        <v>444</v>
      </c>
      <c r="ID10" s="637" t="s">
        <v>468</v>
      </c>
      <c r="IE10" s="637" t="s">
        <v>498</v>
      </c>
      <c r="IF10" s="637" t="s">
        <v>343</v>
      </c>
      <c r="IG10" s="638" t="s">
        <v>547</v>
      </c>
      <c r="IH10" s="639">
        <v>0</v>
      </c>
      <c r="II10" s="639">
        <v>502948968</v>
      </c>
      <c r="IJ10" s="639">
        <v>357211720</v>
      </c>
      <c r="IK10" s="965">
        <f t="shared" si="48"/>
        <v>0</v>
      </c>
      <c r="IL10" s="965">
        <f t="shared" si="49"/>
        <v>502948.96799999999</v>
      </c>
      <c r="IM10" s="965">
        <f t="shared" si="50"/>
        <v>357211.72</v>
      </c>
      <c r="IQ10" s="967" t="s">
        <v>444</v>
      </c>
      <c r="IR10" s="967" t="s">
        <v>468</v>
      </c>
      <c r="IS10" s="967" t="s">
        <v>445</v>
      </c>
      <c r="IT10" s="967" t="s">
        <v>277</v>
      </c>
      <c r="IU10" s="968" t="s">
        <v>547</v>
      </c>
      <c r="IV10" s="969">
        <v>244576737</v>
      </c>
      <c r="IW10" s="969">
        <v>0</v>
      </c>
      <c r="IX10" s="969">
        <v>0</v>
      </c>
      <c r="IY10" s="970">
        <f t="shared" si="51"/>
        <v>244576.73699999999</v>
      </c>
      <c r="IZ10" s="970">
        <f t="shared" si="52"/>
        <v>0</v>
      </c>
      <c r="JA10" s="970">
        <f t="shared" si="53"/>
        <v>0</v>
      </c>
      <c r="JE10" s="968" t="s">
        <v>448</v>
      </c>
      <c r="JF10" s="968" t="s">
        <v>469</v>
      </c>
      <c r="JG10" s="968" t="s">
        <v>447</v>
      </c>
      <c r="JH10" s="968" t="s">
        <v>447</v>
      </c>
      <c r="JI10" s="638" t="s">
        <v>547</v>
      </c>
      <c r="JJ10" s="639">
        <v>440175735</v>
      </c>
      <c r="JK10" s="944">
        <f t="shared" si="54"/>
        <v>440175.73499999999</v>
      </c>
      <c r="JO10" s="966" t="s">
        <v>444</v>
      </c>
      <c r="JP10" s="966" t="s">
        <v>468</v>
      </c>
      <c r="JQ10" s="966" t="s">
        <v>445</v>
      </c>
      <c r="JR10" s="640" t="s">
        <v>277</v>
      </c>
      <c r="JS10" s="640" t="s">
        <v>547</v>
      </c>
      <c r="JT10" s="971">
        <v>244571942</v>
      </c>
      <c r="JU10" s="971">
        <v>0</v>
      </c>
      <c r="JV10" s="971">
        <v>0</v>
      </c>
      <c r="JW10" s="945">
        <f t="shared" si="55"/>
        <v>244571.94200000001</v>
      </c>
      <c r="JX10" s="945">
        <f t="shared" si="56"/>
        <v>0</v>
      </c>
      <c r="JY10" s="945">
        <f t="shared" si="57"/>
        <v>0</v>
      </c>
    </row>
    <row r="11" spans="1:287" ht="15" customHeight="1" x14ac:dyDescent="0.3">
      <c r="A11" s="954" t="s">
        <v>444</v>
      </c>
      <c r="B11" s="954" t="s">
        <v>468</v>
      </c>
      <c r="C11" s="954" t="s">
        <v>472</v>
      </c>
      <c r="D11" s="954" t="s">
        <v>473</v>
      </c>
      <c r="E11" s="955">
        <v>198649775</v>
      </c>
      <c r="F11" s="955">
        <f t="shared" si="7"/>
        <v>211164.71082499999</v>
      </c>
      <c r="G11" s="955">
        <v>0</v>
      </c>
      <c r="H11" s="955">
        <f t="shared" si="8"/>
        <v>0</v>
      </c>
      <c r="L11" s="956" t="s">
        <v>663</v>
      </c>
      <c r="M11" s="956" t="s">
        <v>266</v>
      </c>
      <c r="N11" s="956" t="s">
        <v>447</v>
      </c>
      <c r="O11" s="956" t="s">
        <v>447</v>
      </c>
      <c r="P11" s="957">
        <v>125400000</v>
      </c>
      <c r="Q11" s="957">
        <f t="shared" si="9"/>
        <v>133300.19999999998</v>
      </c>
      <c r="U11" s="956" t="s">
        <v>544</v>
      </c>
      <c r="V11" s="956" t="s">
        <v>545</v>
      </c>
      <c r="W11" s="956" t="s">
        <v>447</v>
      </c>
      <c r="X11" s="956" t="s">
        <v>447</v>
      </c>
      <c r="Y11" s="957">
        <v>10000</v>
      </c>
      <c r="Z11" s="957">
        <f t="shared" si="10"/>
        <v>10.629999999999999</v>
      </c>
      <c r="AD11" s="956" t="s">
        <v>660</v>
      </c>
      <c r="AE11" s="956" t="s">
        <v>154</v>
      </c>
      <c r="AF11" s="956" t="s">
        <v>447</v>
      </c>
      <c r="AG11" s="956" t="s">
        <v>447</v>
      </c>
      <c r="AH11" s="957">
        <v>2764149071</v>
      </c>
      <c r="AI11" s="957">
        <f t="shared" si="11"/>
        <v>2938290.4624729999</v>
      </c>
      <c r="AM11" s="956" t="s">
        <v>444</v>
      </c>
      <c r="AN11" s="956" t="s">
        <v>468</v>
      </c>
      <c r="AO11" s="956" t="s">
        <v>472</v>
      </c>
      <c r="AP11" s="956" t="s">
        <v>473</v>
      </c>
      <c r="AQ11" s="957">
        <v>198649775</v>
      </c>
      <c r="AR11" s="957">
        <f t="shared" si="58"/>
        <v>211164.71082499999</v>
      </c>
      <c r="AS11" s="957">
        <v>0</v>
      </c>
      <c r="AV11" s="944"/>
      <c r="AX11" s="956" t="s">
        <v>665</v>
      </c>
      <c r="AY11" s="956" t="s">
        <v>342</v>
      </c>
      <c r="AZ11" s="956" t="s">
        <v>447</v>
      </c>
      <c r="BA11" s="956" t="s">
        <v>447</v>
      </c>
      <c r="BB11" s="957">
        <v>45710000</v>
      </c>
      <c r="BC11" s="957">
        <f t="shared" si="0"/>
        <v>48589.729999999996</v>
      </c>
      <c r="BG11" s="956" t="s">
        <v>444</v>
      </c>
      <c r="BH11" s="956" t="s">
        <v>468</v>
      </c>
      <c r="BI11" s="956" t="s">
        <v>446</v>
      </c>
      <c r="BJ11" s="956" t="s">
        <v>322</v>
      </c>
      <c r="BK11" s="957">
        <v>1500000</v>
      </c>
      <c r="BL11" s="957">
        <v>0</v>
      </c>
      <c r="BM11" s="957">
        <v>0</v>
      </c>
      <c r="BN11" s="946">
        <f t="shared" si="1"/>
        <v>1594.5</v>
      </c>
      <c r="BO11" s="946">
        <f t="shared" si="2"/>
        <v>0</v>
      </c>
      <c r="BP11" s="946">
        <f t="shared" si="3"/>
        <v>0</v>
      </c>
      <c r="BT11" s="637" t="s">
        <v>659</v>
      </c>
      <c r="BU11" s="637" t="s">
        <v>221</v>
      </c>
      <c r="BV11" s="637" t="s">
        <v>447</v>
      </c>
      <c r="BW11" s="637" t="s">
        <v>447</v>
      </c>
      <c r="BX11" s="638" t="s">
        <v>547</v>
      </c>
      <c r="BY11" s="639">
        <v>0</v>
      </c>
      <c r="BZ11" s="639">
        <v>207145992</v>
      </c>
      <c r="CA11" s="639">
        <v>77268932</v>
      </c>
      <c r="CB11" s="944">
        <f t="shared" si="12"/>
        <v>0</v>
      </c>
      <c r="CC11" s="944">
        <f t="shared" si="13"/>
        <v>207145.992</v>
      </c>
      <c r="CD11" s="944">
        <f t="shared" si="14"/>
        <v>77268.932000000001</v>
      </c>
      <c r="CH11" s="637" t="s">
        <v>444</v>
      </c>
      <c r="CI11" s="637" t="s">
        <v>468</v>
      </c>
      <c r="CJ11" s="637" t="s">
        <v>472</v>
      </c>
      <c r="CK11" s="637" t="s">
        <v>473</v>
      </c>
      <c r="CL11" s="639">
        <v>198649775</v>
      </c>
      <c r="CM11" s="639">
        <v>0</v>
      </c>
      <c r="CN11" s="639">
        <v>0</v>
      </c>
      <c r="CO11" s="961">
        <f t="shared" si="15"/>
        <v>198649.77499999999</v>
      </c>
      <c r="CP11" s="961">
        <f t="shared" si="16"/>
        <v>0</v>
      </c>
      <c r="CQ11" s="961">
        <f t="shared" si="17"/>
        <v>0</v>
      </c>
      <c r="CU11" s="637" t="s">
        <v>451</v>
      </c>
      <c r="CV11" s="637" t="s">
        <v>470</v>
      </c>
      <c r="CW11" s="637" t="s">
        <v>447</v>
      </c>
      <c r="CX11" s="637" t="s">
        <v>447</v>
      </c>
      <c r="CY11" s="639">
        <v>0</v>
      </c>
      <c r="CZ11" s="639">
        <v>275067839</v>
      </c>
      <c r="DA11" s="639">
        <v>564724830</v>
      </c>
      <c r="DB11" s="944">
        <f t="shared" si="18"/>
        <v>0</v>
      </c>
      <c r="DC11" s="944">
        <f t="shared" si="19"/>
        <v>275067.83899999998</v>
      </c>
      <c r="DD11" s="944">
        <f t="shared" si="20"/>
        <v>564724.82999999996</v>
      </c>
      <c r="DH11" s="637" t="s">
        <v>444</v>
      </c>
      <c r="DI11" s="637" t="s">
        <v>468</v>
      </c>
      <c r="DJ11" s="637" t="s">
        <v>472</v>
      </c>
      <c r="DK11" s="637" t="s">
        <v>473</v>
      </c>
      <c r="DL11" s="639">
        <v>198649775</v>
      </c>
      <c r="DM11" s="639">
        <v>0</v>
      </c>
      <c r="DN11" s="639">
        <v>0</v>
      </c>
      <c r="DO11" s="944">
        <f t="shared" si="21"/>
        <v>198649.77499999999</v>
      </c>
      <c r="DP11" s="944">
        <f t="shared" si="22"/>
        <v>0</v>
      </c>
      <c r="DQ11" s="944">
        <f t="shared" si="23"/>
        <v>0</v>
      </c>
      <c r="DU11" s="962" t="s">
        <v>661</v>
      </c>
      <c r="DV11" s="962" t="s">
        <v>305</v>
      </c>
      <c r="DW11" s="962" t="s">
        <v>447</v>
      </c>
      <c r="DX11" s="962" t="s">
        <v>447</v>
      </c>
      <c r="DY11" s="963" t="s">
        <v>547</v>
      </c>
      <c r="DZ11" s="964">
        <v>0</v>
      </c>
      <c r="EA11" s="964">
        <v>8853896950</v>
      </c>
      <c r="EB11" s="964">
        <v>4410515257</v>
      </c>
      <c r="EC11" s="965">
        <f t="shared" si="24"/>
        <v>0</v>
      </c>
      <c r="ED11" s="965">
        <f t="shared" si="25"/>
        <v>8853896.9499999993</v>
      </c>
      <c r="EE11" s="965">
        <f t="shared" si="26"/>
        <v>4410515.2570000002</v>
      </c>
      <c r="EI11" s="637" t="s">
        <v>444</v>
      </c>
      <c r="EJ11" s="637" t="s">
        <v>468</v>
      </c>
      <c r="EK11" s="637" t="s">
        <v>472</v>
      </c>
      <c r="EL11" s="637" t="s">
        <v>473</v>
      </c>
      <c r="EM11" s="637" t="s">
        <v>547</v>
      </c>
      <c r="EN11" s="637">
        <v>198649775</v>
      </c>
      <c r="EO11" s="637">
        <v>0</v>
      </c>
      <c r="EP11" s="637">
        <v>0</v>
      </c>
      <c r="EQ11" s="966">
        <f t="shared" si="27"/>
        <v>198649.77499999999</v>
      </c>
      <c r="ER11" s="966">
        <f t="shared" si="28"/>
        <v>0</v>
      </c>
      <c r="ES11" s="966">
        <f t="shared" si="29"/>
        <v>0</v>
      </c>
      <c r="EW11" s="637" t="s">
        <v>451</v>
      </c>
      <c r="EX11" s="637" t="s">
        <v>470</v>
      </c>
      <c r="EY11" s="637" t="s">
        <v>447</v>
      </c>
      <c r="EZ11" s="637" t="s">
        <v>447</v>
      </c>
      <c r="FA11" s="638" t="s">
        <v>547</v>
      </c>
      <c r="FB11" s="966">
        <v>0</v>
      </c>
      <c r="FC11" s="966">
        <v>3502055850</v>
      </c>
      <c r="FD11" s="966">
        <v>3488215614</v>
      </c>
      <c r="FE11" s="966">
        <f t="shared" si="30"/>
        <v>0</v>
      </c>
      <c r="FF11" s="966">
        <f t="shared" si="31"/>
        <v>3502055.85</v>
      </c>
      <c r="FG11" s="966">
        <f t="shared" si="32"/>
        <v>3488215.6140000001</v>
      </c>
      <c r="FK11" s="637" t="s">
        <v>444</v>
      </c>
      <c r="FL11" s="637" t="s">
        <v>468</v>
      </c>
      <c r="FM11" s="637" t="s">
        <v>472</v>
      </c>
      <c r="FN11" s="637" t="s">
        <v>473</v>
      </c>
      <c r="FO11" s="637" t="s">
        <v>547</v>
      </c>
      <c r="FP11" s="966">
        <v>198649775</v>
      </c>
      <c r="FQ11" s="966">
        <v>0</v>
      </c>
      <c r="FR11" s="966">
        <v>0</v>
      </c>
      <c r="FS11" s="944">
        <f t="shared" si="33"/>
        <v>198649.77499999999</v>
      </c>
      <c r="FT11" s="944">
        <f t="shared" si="34"/>
        <v>0</v>
      </c>
      <c r="FU11" s="944">
        <f t="shared" si="35"/>
        <v>0</v>
      </c>
      <c r="FY11" s="637" t="s">
        <v>451</v>
      </c>
      <c r="FZ11" s="637" t="s">
        <v>470</v>
      </c>
      <c r="GA11" s="637" t="s">
        <v>447</v>
      </c>
      <c r="GB11" s="637" t="s">
        <v>447</v>
      </c>
      <c r="GC11" s="638" t="s">
        <v>547</v>
      </c>
      <c r="GD11" s="639">
        <v>0</v>
      </c>
      <c r="GE11" s="639">
        <v>527616594</v>
      </c>
      <c r="GF11" s="639">
        <v>205160034</v>
      </c>
      <c r="GG11" s="966">
        <f t="shared" si="36"/>
        <v>0</v>
      </c>
      <c r="GH11" s="966">
        <f t="shared" si="37"/>
        <v>527616.59400000004</v>
      </c>
      <c r="GI11" s="966">
        <f t="shared" si="38"/>
        <v>205160.03400000001</v>
      </c>
      <c r="GM11" s="967" t="s">
        <v>444</v>
      </c>
      <c r="GN11" s="968" t="s">
        <v>468</v>
      </c>
      <c r="GO11" s="967" t="s">
        <v>472</v>
      </c>
      <c r="GP11" s="967" t="s">
        <v>473</v>
      </c>
      <c r="GQ11" s="968" t="s">
        <v>547</v>
      </c>
      <c r="GR11" s="969">
        <v>198649775</v>
      </c>
      <c r="GS11" s="969">
        <v>0</v>
      </c>
      <c r="GT11" s="969">
        <v>0</v>
      </c>
      <c r="GU11" s="969">
        <f t="shared" si="39"/>
        <v>198649.77499999999</v>
      </c>
      <c r="GV11" s="969">
        <f t="shared" si="40"/>
        <v>0</v>
      </c>
      <c r="GW11" s="969">
        <f t="shared" si="41"/>
        <v>0</v>
      </c>
      <c r="HA11" s="637" t="s">
        <v>660</v>
      </c>
      <c r="HB11" s="637" t="s">
        <v>154</v>
      </c>
      <c r="HC11" s="637" t="s">
        <v>447</v>
      </c>
      <c r="HD11" s="637" t="s">
        <v>447</v>
      </c>
      <c r="HE11" s="638" t="s">
        <v>547</v>
      </c>
      <c r="HF11" s="639">
        <v>0</v>
      </c>
      <c r="HG11" s="639">
        <v>2839595946</v>
      </c>
      <c r="HH11" s="639">
        <v>2238570096</v>
      </c>
      <c r="HI11" s="639">
        <f t="shared" si="42"/>
        <v>0</v>
      </c>
      <c r="HJ11" s="639">
        <f t="shared" si="43"/>
        <v>2839595.946</v>
      </c>
      <c r="HK11" s="639">
        <f t="shared" si="44"/>
        <v>2238570.0959999999</v>
      </c>
      <c r="HO11" s="967" t="s">
        <v>444</v>
      </c>
      <c r="HP11" s="967" t="s">
        <v>468</v>
      </c>
      <c r="HQ11" s="967" t="s">
        <v>472</v>
      </c>
      <c r="HR11" s="967" t="s">
        <v>473</v>
      </c>
      <c r="HS11" s="638" t="s">
        <v>547</v>
      </c>
      <c r="HT11" s="639">
        <v>198649775</v>
      </c>
      <c r="HU11" s="639">
        <v>0</v>
      </c>
      <c r="HV11" s="639">
        <v>0</v>
      </c>
      <c r="HW11" s="944">
        <f t="shared" si="45"/>
        <v>198649.77499999999</v>
      </c>
      <c r="HX11" s="944">
        <f t="shared" si="46"/>
        <v>0</v>
      </c>
      <c r="HY11" s="944">
        <f t="shared" si="47"/>
        <v>0</v>
      </c>
      <c r="IC11" s="637" t="s">
        <v>444</v>
      </c>
      <c r="ID11" s="637" t="s">
        <v>468</v>
      </c>
      <c r="IE11" s="637" t="s">
        <v>447</v>
      </c>
      <c r="IF11" s="637" t="s">
        <v>447</v>
      </c>
      <c r="IG11" s="638" t="s">
        <v>547</v>
      </c>
      <c r="IH11" s="639">
        <v>0</v>
      </c>
      <c r="II11" s="639">
        <v>0</v>
      </c>
      <c r="IJ11" s="639">
        <v>0</v>
      </c>
      <c r="IK11" s="965">
        <f t="shared" si="48"/>
        <v>0</v>
      </c>
      <c r="IL11" s="965">
        <f t="shared" si="49"/>
        <v>0</v>
      </c>
      <c r="IM11" s="965">
        <f t="shared" si="50"/>
        <v>0</v>
      </c>
      <c r="IQ11" s="967" t="s">
        <v>444</v>
      </c>
      <c r="IR11" s="967" t="s">
        <v>468</v>
      </c>
      <c r="IS11" s="967" t="s">
        <v>472</v>
      </c>
      <c r="IT11" s="967" t="s">
        <v>473</v>
      </c>
      <c r="IU11" s="968" t="s">
        <v>547</v>
      </c>
      <c r="IV11" s="969">
        <v>124642628</v>
      </c>
      <c r="IW11" s="969">
        <v>0</v>
      </c>
      <c r="IX11" s="969">
        <v>0</v>
      </c>
      <c r="IY11" s="970">
        <f t="shared" si="51"/>
        <v>124642.628</v>
      </c>
      <c r="IZ11" s="970">
        <f t="shared" si="52"/>
        <v>0</v>
      </c>
      <c r="JA11" s="970">
        <f t="shared" si="53"/>
        <v>0</v>
      </c>
      <c r="JE11" s="968" t="s">
        <v>451</v>
      </c>
      <c r="JF11" s="968" t="s">
        <v>470</v>
      </c>
      <c r="JG11" s="968" t="s">
        <v>447</v>
      </c>
      <c r="JH11" s="968" t="s">
        <v>447</v>
      </c>
      <c r="JI11" s="638" t="s">
        <v>547</v>
      </c>
      <c r="JJ11" s="639">
        <v>1432495296</v>
      </c>
      <c r="JK11" s="944">
        <f t="shared" si="54"/>
        <v>1432495.2960000001</v>
      </c>
      <c r="JL11" s="947">
        <f>+JK11+JK12</f>
        <v>2205253.909</v>
      </c>
      <c r="JO11" s="966" t="s">
        <v>444</v>
      </c>
      <c r="JP11" s="966" t="s">
        <v>468</v>
      </c>
      <c r="JQ11" s="966" t="s">
        <v>472</v>
      </c>
      <c r="JR11" s="640" t="s">
        <v>473</v>
      </c>
      <c r="JS11" s="640" t="s">
        <v>547</v>
      </c>
      <c r="JT11" s="971">
        <v>124642628</v>
      </c>
      <c r="JU11" s="971">
        <v>0</v>
      </c>
      <c r="JV11" s="971">
        <v>0</v>
      </c>
      <c r="JW11" s="945">
        <f t="shared" si="55"/>
        <v>124642.628</v>
      </c>
      <c r="JX11" s="945">
        <f t="shared" si="56"/>
        <v>0</v>
      </c>
      <c r="JY11" s="945">
        <f t="shared" si="57"/>
        <v>0</v>
      </c>
    </row>
    <row r="12" spans="1:287" ht="15" customHeight="1" x14ac:dyDescent="0.3">
      <c r="A12" s="954" t="s">
        <v>444</v>
      </c>
      <c r="B12" s="954" t="s">
        <v>468</v>
      </c>
      <c r="C12" s="954" t="s">
        <v>471</v>
      </c>
      <c r="D12" s="954" t="s">
        <v>279</v>
      </c>
      <c r="E12" s="955">
        <v>2400000</v>
      </c>
      <c r="F12" s="955">
        <f t="shared" si="7"/>
        <v>2551.1999999999998</v>
      </c>
      <c r="G12" s="955">
        <v>0</v>
      </c>
      <c r="H12" s="955">
        <f t="shared" si="8"/>
        <v>0</v>
      </c>
      <c r="L12" s="956" t="s">
        <v>664</v>
      </c>
      <c r="M12" s="956" t="s">
        <v>267</v>
      </c>
      <c r="N12" s="956" t="s">
        <v>447</v>
      </c>
      <c r="O12" s="956" t="s">
        <v>447</v>
      </c>
      <c r="P12" s="957">
        <v>205327500</v>
      </c>
      <c r="Q12" s="957">
        <f t="shared" si="9"/>
        <v>218263.13249999998</v>
      </c>
      <c r="U12" s="956" t="s">
        <v>450</v>
      </c>
      <c r="V12" s="956" t="s">
        <v>142</v>
      </c>
      <c r="W12" s="956" t="s">
        <v>447</v>
      </c>
      <c r="X12" s="956" t="s">
        <v>447</v>
      </c>
      <c r="Y12" s="957">
        <v>9151948000</v>
      </c>
      <c r="Z12" s="957">
        <f t="shared" si="10"/>
        <v>9728520.7239999995</v>
      </c>
      <c r="AD12" s="956" t="s">
        <v>662</v>
      </c>
      <c r="AE12" s="956" t="s">
        <v>308</v>
      </c>
      <c r="AF12" s="956" t="s">
        <v>447</v>
      </c>
      <c r="AG12" s="956" t="s">
        <v>447</v>
      </c>
      <c r="AH12" s="957">
        <v>2289082947</v>
      </c>
      <c r="AI12" s="957">
        <f t="shared" si="11"/>
        <v>2433295.1726609999</v>
      </c>
      <c r="AM12" s="956" t="s">
        <v>444</v>
      </c>
      <c r="AN12" s="956" t="s">
        <v>468</v>
      </c>
      <c r="AO12" s="956" t="s">
        <v>471</v>
      </c>
      <c r="AP12" s="956" t="s">
        <v>279</v>
      </c>
      <c r="AQ12" s="957">
        <v>2400000</v>
      </c>
      <c r="AR12" s="957">
        <f t="shared" si="58"/>
        <v>2551.1999999999998</v>
      </c>
      <c r="AS12" s="957">
        <v>0</v>
      </c>
      <c r="AV12" s="944"/>
      <c r="AX12" s="956" t="s">
        <v>666</v>
      </c>
      <c r="AY12" s="956" t="s">
        <v>529</v>
      </c>
      <c r="AZ12" s="956" t="s">
        <v>447</v>
      </c>
      <c r="BA12" s="956" t="s">
        <v>447</v>
      </c>
      <c r="BB12" s="957">
        <v>147541164</v>
      </c>
      <c r="BC12" s="957">
        <f t="shared" si="0"/>
        <v>156836.25733199998</v>
      </c>
      <c r="BG12" s="956" t="s">
        <v>444</v>
      </c>
      <c r="BH12" s="956" t="s">
        <v>468</v>
      </c>
      <c r="BI12" s="956" t="s">
        <v>446</v>
      </c>
      <c r="BJ12" s="956" t="s">
        <v>322</v>
      </c>
      <c r="BK12" s="957">
        <v>0</v>
      </c>
      <c r="BL12" s="957">
        <v>1400000</v>
      </c>
      <c r="BM12" s="957">
        <v>412174</v>
      </c>
      <c r="BN12" s="946">
        <f t="shared" si="1"/>
        <v>0</v>
      </c>
      <c r="BO12" s="946">
        <f t="shared" si="2"/>
        <v>1488.1999999999998</v>
      </c>
      <c r="BP12" s="946">
        <f t="shared" si="3"/>
        <v>438.14096199999994</v>
      </c>
      <c r="BT12" s="637" t="s">
        <v>660</v>
      </c>
      <c r="BU12" s="637" t="s">
        <v>154</v>
      </c>
      <c r="BV12" s="637" t="s">
        <v>447</v>
      </c>
      <c r="BW12" s="637" t="s">
        <v>447</v>
      </c>
      <c r="BX12" s="638" t="s">
        <v>547</v>
      </c>
      <c r="BY12" s="639">
        <v>0</v>
      </c>
      <c r="BZ12" s="639">
        <v>262437228</v>
      </c>
      <c r="CA12" s="639">
        <v>337437227</v>
      </c>
      <c r="CB12" s="944">
        <f t="shared" si="12"/>
        <v>0</v>
      </c>
      <c r="CC12" s="944">
        <f t="shared" si="13"/>
        <v>262437.228</v>
      </c>
      <c r="CD12" s="944">
        <f t="shared" si="14"/>
        <v>337437.22700000001</v>
      </c>
      <c r="CH12" s="637" t="s">
        <v>444</v>
      </c>
      <c r="CI12" s="637" t="s">
        <v>468</v>
      </c>
      <c r="CJ12" s="637" t="s">
        <v>471</v>
      </c>
      <c r="CK12" s="637" t="s">
        <v>279</v>
      </c>
      <c r="CL12" s="639">
        <v>2400000</v>
      </c>
      <c r="CM12" s="639">
        <v>0</v>
      </c>
      <c r="CN12" s="639">
        <v>0</v>
      </c>
      <c r="CO12" s="961">
        <f t="shared" si="15"/>
        <v>2400</v>
      </c>
      <c r="CP12" s="961">
        <f t="shared" si="16"/>
        <v>0</v>
      </c>
      <c r="CQ12" s="961">
        <f t="shared" si="17"/>
        <v>0</v>
      </c>
      <c r="CU12" s="637" t="s">
        <v>659</v>
      </c>
      <c r="CV12" s="637" t="s">
        <v>221</v>
      </c>
      <c r="CW12" s="637" t="s">
        <v>447</v>
      </c>
      <c r="CX12" s="637" t="s">
        <v>447</v>
      </c>
      <c r="CY12" s="639">
        <v>0</v>
      </c>
      <c r="CZ12" s="639">
        <v>314853499</v>
      </c>
      <c r="DA12" s="639">
        <v>309726633</v>
      </c>
      <c r="DB12" s="944">
        <f t="shared" si="18"/>
        <v>0</v>
      </c>
      <c r="DC12" s="944">
        <f t="shared" si="19"/>
        <v>314853.49900000001</v>
      </c>
      <c r="DD12" s="944">
        <f t="shared" si="20"/>
        <v>309726.63299999997</v>
      </c>
      <c r="DH12" s="637" t="s">
        <v>444</v>
      </c>
      <c r="DI12" s="637" t="s">
        <v>468</v>
      </c>
      <c r="DJ12" s="637" t="s">
        <v>471</v>
      </c>
      <c r="DK12" s="637" t="s">
        <v>279</v>
      </c>
      <c r="DL12" s="639">
        <v>2400000</v>
      </c>
      <c r="DM12" s="639">
        <v>0</v>
      </c>
      <c r="DN12" s="639">
        <v>0</v>
      </c>
      <c r="DO12" s="944">
        <f t="shared" si="21"/>
        <v>2400</v>
      </c>
      <c r="DP12" s="944">
        <f t="shared" si="22"/>
        <v>0</v>
      </c>
      <c r="DQ12" s="944">
        <f t="shared" si="23"/>
        <v>0</v>
      </c>
      <c r="DU12" s="962" t="s">
        <v>662</v>
      </c>
      <c r="DV12" s="962" t="s">
        <v>308</v>
      </c>
      <c r="DW12" s="962" t="s">
        <v>447</v>
      </c>
      <c r="DX12" s="962" t="s">
        <v>447</v>
      </c>
      <c r="DY12" s="963" t="s">
        <v>547</v>
      </c>
      <c r="DZ12" s="964">
        <v>0</v>
      </c>
      <c r="EA12" s="964">
        <v>92501148</v>
      </c>
      <c r="EB12" s="964">
        <v>95993148</v>
      </c>
      <c r="EC12" s="965">
        <f t="shared" si="24"/>
        <v>0</v>
      </c>
      <c r="ED12" s="965">
        <f t="shared" si="25"/>
        <v>92501.148000000001</v>
      </c>
      <c r="EE12" s="965">
        <f t="shared" si="26"/>
        <v>95993.148000000001</v>
      </c>
      <c r="EI12" s="637" t="s">
        <v>444</v>
      </c>
      <c r="EJ12" s="637" t="s">
        <v>468</v>
      </c>
      <c r="EK12" s="637" t="s">
        <v>471</v>
      </c>
      <c r="EL12" s="637" t="s">
        <v>279</v>
      </c>
      <c r="EM12" s="637" t="s">
        <v>547</v>
      </c>
      <c r="EN12" s="637">
        <v>2400000</v>
      </c>
      <c r="EO12" s="637">
        <v>0</v>
      </c>
      <c r="EP12" s="637">
        <v>0</v>
      </c>
      <c r="EQ12" s="966">
        <f t="shared" si="27"/>
        <v>2400</v>
      </c>
      <c r="ER12" s="966">
        <f t="shared" si="28"/>
        <v>0</v>
      </c>
      <c r="ES12" s="966">
        <f t="shared" si="29"/>
        <v>0</v>
      </c>
      <c r="EW12" s="637" t="s">
        <v>659</v>
      </c>
      <c r="EX12" s="637" t="s">
        <v>221</v>
      </c>
      <c r="EY12" s="637" t="s">
        <v>447</v>
      </c>
      <c r="EZ12" s="637" t="s">
        <v>447</v>
      </c>
      <c r="FA12" s="638" t="s">
        <v>547</v>
      </c>
      <c r="FB12" s="966">
        <v>0</v>
      </c>
      <c r="FC12" s="966">
        <v>797643522</v>
      </c>
      <c r="FD12" s="966">
        <v>687438221</v>
      </c>
      <c r="FE12" s="966">
        <f t="shared" si="30"/>
        <v>0</v>
      </c>
      <c r="FF12" s="966">
        <f t="shared" si="31"/>
        <v>797643.522</v>
      </c>
      <c r="FG12" s="966">
        <f t="shared" si="32"/>
        <v>687438.22100000002</v>
      </c>
      <c r="FK12" s="637" t="s">
        <v>444</v>
      </c>
      <c r="FL12" s="637" t="s">
        <v>468</v>
      </c>
      <c r="FM12" s="637" t="s">
        <v>471</v>
      </c>
      <c r="FN12" s="637" t="s">
        <v>279</v>
      </c>
      <c r="FO12" s="637" t="s">
        <v>547</v>
      </c>
      <c r="FP12" s="966">
        <v>2400000</v>
      </c>
      <c r="FQ12" s="966">
        <v>0</v>
      </c>
      <c r="FR12" s="966">
        <v>0</v>
      </c>
      <c r="FS12" s="944">
        <f t="shared" si="33"/>
        <v>2400</v>
      </c>
      <c r="FT12" s="944">
        <f t="shared" si="34"/>
        <v>0</v>
      </c>
      <c r="FU12" s="944">
        <f t="shared" si="35"/>
        <v>0</v>
      </c>
      <c r="FY12" s="637" t="s">
        <v>451</v>
      </c>
      <c r="FZ12" s="637" t="s">
        <v>470</v>
      </c>
      <c r="GA12" s="637" t="s">
        <v>447</v>
      </c>
      <c r="GB12" s="637" t="s">
        <v>447</v>
      </c>
      <c r="GC12" s="638" t="s">
        <v>547</v>
      </c>
      <c r="GD12" s="639">
        <v>0</v>
      </c>
      <c r="GE12" s="639">
        <v>36079975</v>
      </c>
      <c r="GF12" s="639">
        <v>49920211</v>
      </c>
      <c r="GG12" s="966">
        <f t="shared" si="36"/>
        <v>0</v>
      </c>
      <c r="GH12" s="966">
        <f t="shared" si="37"/>
        <v>36079.974999999999</v>
      </c>
      <c r="GI12" s="966">
        <f t="shared" si="38"/>
        <v>49920.211000000003</v>
      </c>
      <c r="GM12" s="967" t="s">
        <v>444</v>
      </c>
      <c r="GN12" s="968" t="s">
        <v>468</v>
      </c>
      <c r="GO12" s="967" t="s">
        <v>471</v>
      </c>
      <c r="GP12" s="967" t="s">
        <v>279</v>
      </c>
      <c r="GQ12" s="968" t="s">
        <v>547</v>
      </c>
      <c r="GR12" s="969">
        <v>2400000</v>
      </c>
      <c r="GS12" s="969">
        <v>0</v>
      </c>
      <c r="GT12" s="969">
        <v>0</v>
      </c>
      <c r="GU12" s="969">
        <f t="shared" si="39"/>
        <v>2400</v>
      </c>
      <c r="GV12" s="969">
        <f t="shared" si="40"/>
        <v>0</v>
      </c>
      <c r="GW12" s="969">
        <f t="shared" si="41"/>
        <v>0</v>
      </c>
      <c r="HA12" s="637" t="s">
        <v>660</v>
      </c>
      <c r="HB12" s="637" t="s">
        <v>154</v>
      </c>
      <c r="HC12" s="637" t="s">
        <v>447</v>
      </c>
      <c r="HD12" s="637" t="s">
        <v>447</v>
      </c>
      <c r="HE12" s="638" t="s">
        <v>547</v>
      </c>
      <c r="HF12" s="639">
        <v>-2000000000</v>
      </c>
      <c r="HG12" s="639">
        <v>0</v>
      </c>
      <c r="HH12" s="639">
        <v>0</v>
      </c>
      <c r="HI12" s="639">
        <f t="shared" si="42"/>
        <v>-2000000</v>
      </c>
      <c r="HJ12" s="639">
        <f t="shared" si="43"/>
        <v>0</v>
      </c>
      <c r="HK12" s="639">
        <f t="shared" si="44"/>
        <v>0</v>
      </c>
      <c r="HO12" s="967" t="s">
        <v>444</v>
      </c>
      <c r="HP12" s="967" t="s">
        <v>468</v>
      </c>
      <c r="HQ12" s="967" t="s">
        <v>471</v>
      </c>
      <c r="HR12" s="967" t="s">
        <v>279</v>
      </c>
      <c r="HS12" s="638" t="s">
        <v>547</v>
      </c>
      <c r="HT12" s="639">
        <v>2400000</v>
      </c>
      <c r="HU12" s="639">
        <v>0</v>
      </c>
      <c r="HV12" s="639">
        <v>0</v>
      </c>
      <c r="HW12" s="944">
        <f t="shared" si="45"/>
        <v>2400</v>
      </c>
      <c r="HX12" s="944">
        <f t="shared" si="46"/>
        <v>0</v>
      </c>
      <c r="HY12" s="944">
        <f t="shared" si="47"/>
        <v>0</v>
      </c>
      <c r="IC12" s="637" t="s">
        <v>444</v>
      </c>
      <c r="ID12" s="637" t="s">
        <v>468</v>
      </c>
      <c r="IE12" s="637" t="s">
        <v>446</v>
      </c>
      <c r="IF12" s="637" t="s">
        <v>322</v>
      </c>
      <c r="IG12" s="638" t="s">
        <v>547</v>
      </c>
      <c r="IH12" s="639">
        <v>-623875</v>
      </c>
      <c r="II12" s="639">
        <v>0</v>
      </c>
      <c r="IJ12" s="639">
        <v>0</v>
      </c>
      <c r="IK12" s="965">
        <f t="shared" si="48"/>
        <v>-623.875</v>
      </c>
      <c r="IL12" s="965">
        <f t="shared" si="49"/>
        <v>0</v>
      </c>
      <c r="IM12" s="965">
        <f t="shared" si="50"/>
        <v>0</v>
      </c>
      <c r="IQ12" s="967" t="s">
        <v>444</v>
      </c>
      <c r="IR12" s="967" t="s">
        <v>468</v>
      </c>
      <c r="IS12" s="967" t="s">
        <v>471</v>
      </c>
      <c r="IT12" s="967" t="s">
        <v>279</v>
      </c>
      <c r="IU12" s="968" t="s">
        <v>547</v>
      </c>
      <c r="IV12" s="969">
        <v>1447554</v>
      </c>
      <c r="IW12" s="969">
        <v>0</v>
      </c>
      <c r="IX12" s="969">
        <v>0</v>
      </c>
      <c r="IY12" s="970">
        <f t="shared" si="51"/>
        <v>1447.5540000000001</v>
      </c>
      <c r="IZ12" s="970">
        <f t="shared" si="52"/>
        <v>0</v>
      </c>
      <c r="JA12" s="970">
        <f t="shared" si="53"/>
        <v>0</v>
      </c>
      <c r="JE12" s="968" t="s">
        <v>451</v>
      </c>
      <c r="JF12" s="968" t="s">
        <v>470</v>
      </c>
      <c r="JG12" s="968" t="s">
        <v>447</v>
      </c>
      <c r="JH12" s="968" t="s">
        <v>447</v>
      </c>
      <c r="JI12" s="638" t="s">
        <v>547</v>
      </c>
      <c r="JJ12" s="639">
        <v>772758613</v>
      </c>
      <c r="JK12" s="944">
        <f t="shared" si="54"/>
        <v>772758.61300000001</v>
      </c>
      <c r="JO12" s="966" t="s">
        <v>444</v>
      </c>
      <c r="JP12" s="966" t="s">
        <v>468</v>
      </c>
      <c r="JQ12" s="966" t="s">
        <v>471</v>
      </c>
      <c r="JR12" s="640" t="s">
        <v>279</v>
      </c>
      <c r="JS12" s="640" t="s">
        <v>547</v>
      </c>
      <c r="JT12" s="971">
        <v>1447554</v>
      </c>
      <c r="JU12" s="971">
        <v>0</v>
      </c>
      <c r="JV12" s="971">
        <v>0</v>
      </c>
      <c r="JW12" s="945">
        <f t="shared" si="55"/>
        <v>1447.5540000000001</v>
      </c>
      <c r="JX12" s="945">
        <f t="shared" si="56"/>
        <v>0</v>
      </c>
      <c r="JY12" s="945">
        <f t="shared" si="57"/>
        <v>0</v>
      </c>
    </row>
    <row r="13" spans="1:287" ht="15" customHeight="1" x14ac:dyDescent="0.3">
      <c r="A13" s="954" t="s">
        <v>444</v>
      </c>
      <c r="B13" s="954" t="s">
        <v>468</v>
      </c>
      <c r="C13" s="954" t="s">
        <v>446</v>
      </c>
      <c r="D13" s="954" t="s">
        <v>322</v>
      </c>
      <c r="E13" s="955">
        <v>1500000</v>
      </c>
      <c r="F13" s="955">
        <f t="shared" si="7"/>
        <v>1594.5</v>
      </c>
      <c r="G13" s="955">
        <v>0</v>
      </c>
      <c r="H13" s="955">
        <f t="shared" si="8"/>
        <v>0</v>
      </c>
      <c r="L13" s="956" t="s">
        <v>665</v>
      </c>
      <c r="M13" s="956" t="s">
        <v>342</v>
      </c>
      <c r="N13" s="956" t="s">
        <v>447</v>
      </c>
      <c r="O13" s="956" t="s">
        <v>447</v>
      </c>
      <c r="P13" s="957">
        <v>116453400</v>
      </c>
      <c r="Q13" s="957">
        <f t="shared" si="9"/>
        <v>123789.96419999999</v>
      </c>
      <c r="U13" s="956" t="s">
        <v>448</v>
      </c>
      <c r="V13" s="956" t="s">
        <v>469</v>
      </c>
      <c r="W13" s="956" t="s">
        <v>447</v>
      </c>
      <c r="X13" s="956" t="s">
        <v>447</v>
      </c>
      <c r="Y13" s="957">
        <v>15930849000</v>
      </c>
      <c r="Z13" s="957">
        <f t="shared" si="10"/>
        <v>16934492.487</v>
      </c>
      <c r="AD13" s="956" t="s">
        <v>664</v>
      </c>
      <c r="AE13" s="956" t="s">
        <v>267</v>
      </c>
      <c r="AF13" s="956" t="s">
        <v>447</v>
      </c>
      <c r="AG13" s="956" t="s">
        <v>447</v>
      </c>
      <c r="AH13" s="957">
        <v>348240000</v>
      </c>
      <c r="AI13" s="957">
        <f t="shared" si="11"/>
        <v>370179.12</v>
      </c>
      <c r="AM13" s="956" t="s">
        <v>444</v>
      </c>
      <c r="AN13" s="956" t="s">
        <v>468</v>
      </c>
      <c r="AO13" s="956" t="s">
        <v>446</v>
      </c>
      <c r="AP13" s="956" t="s">
        <v>322</v>
      </c>
      <c r="AQ13" s="957">
        <v>1500000</v>
      </c>
      <c r="AR13" s="957">
        <f t="shared" si="58"/>
        <v>1594.5</v>
      </c>
      <c r="AS13" s="957">
        <v>0</v>
      </c>
      <c r="AV13" s="944"/>
      <c r="AX13" s="956" t="s">
        <v>667</v>
      </c>
      <c r="AY13" s="956" t="s">
        <v>634</v>
      </c>
      <c r="AZ13" s="956" t="s">
        <v>447</v>
      </c>
      <c r="BA13" s="956" t="s">
        <v>447</v>
      </c>
      <c r="BB13" s="957">
        <v>161714431</v>
      </c>
      <c r="BC13" s="957">
        <f t="shared" si="0"/>
        <v>171902.440153</v>
      </c>
      <c r="BG13" s="956" t="s">
        <v>444</v>
      </c>
      <c r="BH13" s="956" t="s">
        <v>468</v>
      </c>
      <c r="BI13" s="956" t="s">
        <v>471</v>
      </c>
      <c r="BJ13" s="956" t="s">
        <v>279</v>
      </c>
      <c r="BK13" s="957">
        <v>2400000</v>
      </c>
      <c r="BL13" s="957">
        <v>0</v>
      </c>
      <c r="BM13" s="957">
        <v>0</v>
      </c>
      <c r="BN13" s="946">
        <f t="shared" si="1"/>
        <v>2551.1999999999998</v>
      </c>
      <c r="BO13" s="946">
        <f t="shared" si="2"/>
        <v>0</v>
      </c>
      <c r="BP13" s="946">
        <f t="shared" si="3"/>
        <v>0</v>
      </c>
      <c r="BT13" s="637" t="s">
        <v>661</v>
      </c>
      <c r="BU13" s="637" t="s">
        <v>305</v>
      </c>
      <c r="BV13" s="637" t="s">
        <v>447</v>
      </c>
      <c r="BW13" s="637" t="s">
        <v>447</v>
      </c>
      <c r="BX13" s="638" t="s">
        <v>547</v>
      </c>
      <c r="BY13" s="639">
        <v>0</v>
      </c>
      <c r="BZ13" s="639">
        <v>0</v>
      </c>
      <c r="CA13" s="639">
        <v>0</v>
      </c>
      <c r="CB13" s="944">
        <f t="shared" si="12"/>
        <v>0</v>
      </c>
      <c r="CC13" s="944">
        <f t="shared" si="13"/>
        <v>0</v>
      </c>
      <c r="CD13" s="944">
        <f t="shared" si="14"/>
        <v>0</v>
      </c>
      <c r="CH13" s="637" t="s">
        <v>444</v>
      </c>
      <c r="CI13" s="637" t="s">
        <v>468</v>
      </c>
      <c r="CJ13" s="637" t="s">
        <v>446</v>
      </c>
      <c r="CK13" s="637" t="s">
        <v>322</v>
      </c>
      <c r="CL13" s="639">
        <v>1500000</v>
      </c>
      <c r="CM13" s="639">
        <v>0</v>
      </c>
      <c r="CN13" s="639">
        <v>0</v>
      </c>
      <c r="CO13" s="961">
        <f t="shared" si="15"/>
        <v>1500</v>
      </c>
      <c r="CP13" s="961">
        <f t="shared" si="16"/>
        <v>0</v>
      </c>
      <c r="CQ13" s="961">
        <f t="shared" si="17"/>
        <v>0</v>
      </c>
      <c r="CU13" s="637" t="s">
        <v>660</v>
      </c>
      <c r="CV13" s="637" t="s">
        <v>154</v>
      </c>
      <c r="CW13" s="637" t="s">
        <v>447</v>
      </c>
      <c r="CX13" s="637" t="s">
        <v>447</v>
      </c>
      <c r="CY13" s="639">
        <v>26982714240</v>
      </c>
      <c r="CZ13" s="639">
        <v>0</v>
      </c>
      <c r="DA13" s="639">
        <v>0</v>
      </c>
      <c r="DB13" s="944">
        <f t="shared" si="18"/>
        <v>26982714.239999998</v>
      </c>
      <c r="DC13" s="944">
        <f t="shared" si="19"/>
        <v>0</v>
      </c>
      <c r="DD13" s="944">
        <f t="shared" si="20"/>
        <v>0</v>
      </c>
      <c r="DH13" s="637" t="s">
        <v>444</v>
      </c>
      <c r="DI13" s="637" t="s">
        <v>468</v>
      </c>
      <c r="DJ13" s="637" t="s">
        <v>446</v>
      </c>
      <c r="DK13" s="637" t="s">
        <v>322</v>
      </c>
      <c r="DL13" s="639">
        <v>1500000</v>
      </c>
      <c r="DM13" s="639">
        <v>0</v>
      </c>
      <c r="DN13" s="639">
        <v>0</v>
      </c>
      <c r="DO13" s="944">
        <f t="shared" si="21"/>
        <v>1500</v>
      </c>
      <c r="DP13" s="944">
        <f t="shared" si="22"/>
        <v>0</v>
      </c>
      <c r="DQ13" s="944">
        <f t="shared" si="23"/>
        <v>0</v>
      </c>
      <c r="DU13" s="962" t="s">
        <v>664</v>
      </c>
      <c r="DV13" s="962" t="s">
        <v>267</v>
      </c>
      <c r="DW13" s="962" t="s">
        <v>447</v>
      </c>
      <c r="DX13" s="962" t="s">
        <v>447</v>
      </c>
      <c r="DY13" s="963" t="s">
        <v>547</v>
      </c>
      <c r="DZ13" s="964">
        <v>0</v>
      </c>
      <c r="EA13" s="964">
        <v>66729707</v>
      </c>
      <c r="EB13" s="964">
        <v>91929707</v>
      </c>
      <c r="EC13" s="965">
        <f t="shared" si="24"/>
        <v>0</v>
      </c>
      <c r="ED13" s="965">
        <f t="shared" si="25"/>
        <v>66729.706999999995</v>
      </c>
      <c r="EE13" s="965">
        <f t="shared" si="26"/>
        <v>91929.706999999995</v>
      </c>
      <c r="EI13" s="637" t="s">
        <v>444</v>
      </c>
      <c r="EJ13" s="637" t="s">
        <v>468</v>
      </c>
      <c r="EK13" s="637" t="s">
        <v>446</v>
      </c>
      <c r="EL13" s="637" t="s">
        <v>322</v>
      </c>
      <c r="EM13" s="637" t="s">
        <v>547</v>
      </c>
      <c r="EN13" s="637">
        <v>1500000</v>
      </c>
      <c r="EO13" s="637">
        <v>0</v>
      </c>
      <c r="EP13" s="637">
        <v>0</v>
      </c>
      <c r="EQ13" s="966">
        <f t="shared" si="27"/>
        <v>1500</v>
      </c>
      <c r="ER13" s="966">
        <f t="shared" si="28"/>
        <v>0</v>
      </c>
      <c r="ES13" s="966">
        <f t="shared" si="29"/>
        <v>0</v>
      </c>
      <c r="EW13" s="637" t="s">
        <v>660</v>
      </c>
      <c r="EX13" s="637" t="s">
        <v>154</v>
      </c>
      <c r="EY13" s="637" t="s">
        <v>447</v>
      </c>
      <c r="EZ13" s="637" t="s">
        <v>447</v>
      </c>
      <c r="FA13" s="638" t="s">
        <v>547</v>
      </c>
      <c r="FB13" s="966">
        <v>14000000000</v>
      </c>
      <c r="FC13" s="966">
        <v>0</v>
      </c>
      <c r="FD13" s="966">
        <v>0</v>
      </c>
      <c r="FE13" s="966">
        <f t="shared" si="30"/>
        <v>14000000</v>
      </c>
      <c r="FF13" s="966">
        <f t="shared" si="31"/>
        <v>0</v>
      </c>
      <c r="FG13" s="966">
        <f t="shared" si="32"/>
        <v>0</v>
      </c>
      <c r="FK13" s="637" t="s">
        <v>444</v>
      </c>
      <c r="FL13" s="637" t="s">
        <v>468</v>
      </c>
      <c r="FM13" s="637" t="s">
        <v>446</v>
      </c>
      <c r="FN13" s="637" t="s">
        <v>322</v>
      </c>
      <c r="FO13" s="637" t="s">
        <v>547</v>
      </c>
      <c r="FP13" s="966">
        <v>1500000</v>
      </c>
      <c r="FQ13" s="966">
        <v>0</v>
      </c>
      <c r="FR13" s="966">
        <v>0</v>
      </c>
      <c r="FS13" s="944">
        <f t="shared" si="33"/>
        <v>1500</v>
      </c>
      <c r="FT13" s="944">
        <f t="shared" si="34"/>
        <v>0</v>
      </c>
      <c r="FU13" s="944">
        <f t="shared" si="35"/>
        <v>0</v>
      </c>
      <c r="FY13" s="637" t="s">
        <v>659</v>
      </c>
      <c r="FZ13" s="637" t="s">
        <v>221</v>
      </c>
      <c r="GA13" s="637" t="s">
        <v>447</v>
      </c>
      <c r="GB13" s="637" t="s">
        <v>447</v>
      </c>
      <c r="GC13" s="638" t="s">
        <v>547</v>
      </c>
      <c r="GD13" s="639">
        <v>0</v>
      </c>
      <c r="GE13" s="639">
        <v>485326659</v>
      </c>
      <c r="GF13" s="639">
        <v>631083193</v>
      </c>
      <c r="GG13" s="966">
        <f t="shared" si="36"/>
        <v>0</v>
      </c>
      <c r="GH13" s="966">
        <f t="shared" si="37"/>
        <v>485326.65899999999</v>
      </c>
      <c r="GI13" s="966">
        <f t="shared" si="38"/>
        <v>631083.19299999997</v>
      </c>
      <c r="GM13" s="967" t="s">
        <v>444</v>
      </c>
      <c r="GN13" s="968" t="s">
        <v>468</v>
      </c>
      <c r="GO13" s="967" t="s">
        <v>446</v>
      </c>
      <c r="GP13" s="967" t="s">
        <v>322</v>
      </c>
      <c r="GQ13" s="968" t="s">
        <v>547</v>
      </c>
      <c r="GR13" s="969">
        <v>1500000</v>
      </c>
      <c r="GS13" s="969">
        <v>0</v>
      </c>
      <c r="GT13" s="969">
        <v>0</v>
      </c>
      <c r="GU13" s="969">
        <f t="shared" si="39"/>
        <v>1500</v>
      </c>
      <c r="GV13" s="969">
        <f t="shared" si="40"/>
        <v>0</v>
      </c>
      <c r="GW13" s="969">
        <f t="shared" si="41"/>
        <v>0</v>
      </c>
      <c r="HA13" s="637" t="s">
        <v>661</v>
      </c>
      <c r="HB13" s="637" t="s">
        <v>305</v>
      </c>
      <c r="HC13" s="637" t="s">
        <v>447</v>
      </c>
      <c r="HD13" s="637" t="s">
        <v>447</v>
      </c>
      <c r="HE13" s="638" t="s">
        <v>547</v>
      </c>
      <c r="HF13" s="639">
        <v>0</v>
      </c>
      <c r="HG13" s="639">
        <v>0</v>
      </c>
      <c r="HH13" s="639">
        <v>1946198310</v>
      </c>
      <c r="HI13" s="639">
        <f t="shared" si="42"/>
        <v>0</v>
      </c>
      <c r="HJ13" s="639">
        <f t="shared" si="43"/>
        <v>0</v>
      </c>
      <c r="HK13" s="639">
        <f t="shared" si="44"/>
        <v>1946198.31</v>
      </c>
      <c r="HO13" s="967" t="s">
        <v>444</v>
      </c>
      <c r="HP13" s="967" t="s">
        <v>468</v>
      </c>
      <c r="HQ13" s="967" t="s">
        <v>446</v>
      </c>
      <c r="HR13" s="967" t="s">
        <v>322</v>
      </c>
      <c r="HS13" s="638" t="s">
        <v>547</v>
      </c>
      <c r="HT13" s="639">
        <v>1500000</v>
      </c>
      <c r="HU13" s="639">
        <v>0</v>
      </c>
      <c r="HV13" s="639">
        <v>0</v>
      </c>
      <c r="HW13" s="944">
        <f t="shared" si="45"/>
        <v>1500</v>
      </c>
      <c r="HX13" s="944">
        <f t="shared" si="46"/>
        <v>0</v>
      </c>
      <c r="HY13" s="944">
        <f t="shared" si="47"/>
        <v>0</v>
      </c>
      <c r="IC13" s="637" t="s">
        <v>444</v>
      </c>
      <c r="ID13" s="637" t="s">
        <v>468</v>
      </c>
      <c r="IE13" s="637" t="s">
        <v>471</v>
      </c>
      <c r="IF13" s="637" t="s">
        <v>279</v>
      </c>
      <c r="IG13" s="638" t="s">
        <v>547</v>
      </c>
      <c r="IH13" s="639">
        <v>-952446</v>
      </c>
      <c r="II13" s="639">
        <v>0</v>
      </c>
      <c r="IJ13" s="639">
        <v>0</v>
      </c>
      <c r="IK13" s="965">
        <f t="shared" si="48"/>
        <v>-952.44600000000003</v>
      </c>
      <c r="IL13" s="965">
        <f t="shared" si="49"/>
        <v>0</v>
      </c>
      <c r="IM13" s="965">
        <f t="shared" si="50"/>
        <v>0</v>
      </c>
      <c r="IQ13" s="967" t="s">
        <v>444</v>
      </c>
      <c r="IR13" s="967" t="s">
        <v>468</v>
      </c>
      <c r="IS13" s="967" t="s">
        <v>446</v>
      </c>
      <c r="IT13" s="967" t="s">
        <v>322</v>
      </c>
      <c r="IU13" s="968" t="s">
        <v>547</v>
      </c>
      <c r="IV13" s="969">
        <v>876125</v>
      </c>
      <c r="IW13" s="969">
        <v>0</v>
      </c>
      <c r="IX13" s="969">
        <v>0</v>
      </c>
      <c r="IY13" s="970">
        <f t="shared" si="51"/>
        <v>876.125</v>
      </c>
      <c r="IZ13" s="970">
        <f t="shared" si="52"/>
        <v>0</v>
      </c>
      <c r="JA13" s="970">
        <f t="shared" si="53"/>
        <v>0</v>
      </c>
      <c r="JE13" s="968" t="s">
        <v>659</v>
      </c>
      <c r="JF13" s="968" t="s">
        <v>221</v>
      </c>
      <c r="JG13" s="968" t="s">
        <v>447</v>
      </c>
      <c r="JH13" s="968" t="s">
        <v>447</v>
      </c>
      <c r="JI13" s="638" t="s">
        <v>547</v>
      </c>
      <c r="JJ13" s="639">
        <v>2866048634</v>
      </c>
      <c r="JK13" s="944">
        <f t="shared" si="54"/>
        <v>2866048.6340000001</v>
      </c>
      <c r="JO13" s="966" t="s">
        <v>444</v>
      </c>
      <c r="JP13" s="966" t="s">
        <v>468</v>
      </c>
      <c r="JQ13" s="966" t="s">
        <v>446</v>
      </c>
      <c r="JR13" s="640" t="s">
        <v>322</v>
      </c>
      <c r="JS13" s="640" t="s">
        <v>547</v>
      </c>
      <c r="JT13" s="971">
        <v>880920</v>
      </c>
      <c r="JU13" s="971">
        <v>0</v>
      </c>
      <c r="JV13" s="971">
        <v>0</v>
      </c>
      <c r="JW13" s="945">
        <f t="shared" si="55"/>
        <v>880.92</v>
      </c>
      <c r="JX13" s="945">
        <f t="shared" si="56"/>
        <v>0</v>
      </c>
      <c r="JY13" s="945">
        <f t="shared" si="57"/>
        <v>0</v>
      </c>
    </row>
    <row r="14" spans="1:287" ht="15" customHeight="1" x14ac:dyDescent="0.3">
      <c r="A14" s="954" t="s">
        <v>444</v>
      </c>
      <c r="B14" s="954" t="s">
        <v>468</v>
      </c>
      <c r="C14" s="954" t="s">
        <v>447</v>
      </c>
      <c r="D14" s="954" t="s">
        <v>447</v>
      </c>
      <c r="E14" s="955">
        <v>0</v>
      </c>
      <c r="F14" s="955">
        <f t="shared" si="7"/>
        <v>0</v>
      </c>
      <c r="G14" s="955">
        <v>0</v>
      </c>
      <c r="H14" s="955">
        <f t="shared" si="8"/>
        <v>0</v>
      </c>
      <c r="L14" s="956" t="s">
        <v>666</v>
      </c>
      <c r="M14" s="956" t="s">
        <v>529</v>
      </c>
      <c r="N14" s="956" t="s">
        <v>447</v>
      </c>
      <c r="O14" s="956" t="s">
        <v>447</v>
      </c>
      <c r="P14" s="957">
        <v>265093609</v>
      </c>
      <c r="Q14" s="957">
        <f t="shared" si="9"/>
        <v>281794.50636699999</v>
      </c>
      <c r="U14" s="956" t="s">
        <v>451</v>
      </c>
      <c r="V14" s="956" t="s">
        <v>470</v>
      </c>
      <c r="W14" s="956" t="s">
        <v>447</v>
      </c>
      <c r="X14" s="956" t="s">
        <v>447</v>
      </c>
      <c r="Y14" s="957">
        <v>4161496000</v>
      </c>
      <c r="Z14" s="957">
        <f t="shared" si="10"/>
        <v>4423670.2479999997</v>
      </c>
      <c r="AD14" s="956" t="s">
        <v>665</v>
      </c>
      <c r="AE14" s="956" t="s">
        <v>342</v>
      </c>
      <c r="AF14" s="956" t="s">
        <v>447</v>
      </c>
      <c r="AG14" s="956" t="s">
        <v>447</v>
      </c>
      <c r="AH14" s="957">
        <v>279368000</v>
      </c>
      <c r="AI14" s="957">
        <f t="shared" si="11"/>
        <v>296968.18400000001</v>
      </c>
      <c r="AM14" s="956" t="s">
        <v>444</v>
      </c>
      <c r="AN14" s="956" t="s">
        <v>468</v>
      </c>
      <c r="AO14" s="956" t="s">
        <v>471</v>
      </c>
      <c r="AP14" s="956" t="s">
        <v>279</v>
      </c>
      <c r="AQ14" s="957">
        <v>0</v>
      </c>
      <c r="AR14" s="957">
        <f t="shared" si="58"/>
        <v>0</v>
      </c>
      <c r="AS14" s="957">
        <v>1447554</v>
      </c>
      <c r="AV14" s="944"/>
      <c r="BC14" s="942">
        <f>SUM(BC3:BC13)</f>
        <v>6949511.290236</v>
      </c>
      <c r="BG14" s="956" t="s">
        <v>444</v>
      </c>
      <c r="BH14" s="956" t="s">
        <v>468</v>
      </c>
      <c r="BI14" s="956" t="s">
        <v>471</v>
      </c>
      <c r="BJ14" s="956" t="s">
        <v>279</v>
      </c>
      <c r="BK14" s="957">
        <v>0</v>
      </c>
      <c r="BL14" s="957">
        <v>1447554</v>
      </c>
      <c r="BM14" s="957">
        <v>1447554</v>
      </c>
      <c r="BN14" s="946">
        <f t="shared" si="1"/>
        <v>0</v>
      </c>
      <c r="BO14" s="946">
        <f t="shared" si="2"/>
        <v>1538.749902</v>
      </c>
      <c r="BP14" s="946">
        <f t="shared" si="3"/>
        <v>1538.749902</v>
      </c>
      <c r="BT14" s="637" t="s">
        <v>662</v>
      </c>
      <c r="BU14" s="637" t="s">
        <v>308</v>
      </c>
      <c r="BV14" s="637" t="s">
        <v>447</v>
      </c>
      <c r="BW14" s="637" t="s">
        <v>447</v>
      </c>
      <c r="BX14" s="638" t="s">
        <v>547</v>
      </c>
      <c r="BY14" s="639">
        <v>0</v>
      </c>
      <c r="BZ14" s="639">
        <v>563232920</v>
      </c>
      <c r="CA14" s="639">
        <v>562830265</v>
      </c>
      <c r="CB14" s="944">
        <f t="shared" si="12"/>
        <v>0</v>
      </c>
      <c r="CC14" s="944">
        <f t="shared" si="13"/>
        <v>563232.92000000004</v>
      </c>
      <c r="CD14" s="944">
        <f t="shared" si="14"/>
        <v>562830.26500000001</v>
      </c>
      <c r="CH14" s="637" t="s">
        <v>444</v>
      </c>
      <c r="CI14" s="637" t="s">
        <v>468</v>
      </c>
      <c r="CJ14" s="637" t="s">
        <v>445</v>
      </c>
      <c r="CK14" s="637" t="s">
        <v>277</v>
      </c>
      <c r="CL14" s="639">
        <v>0</v>
      </c>
      <c r="CM14" s="639">
        <v>199842339</v>
      </c>
      <c r="CN14" s="639">
        <v>102935008</v>
      </c>
      <c r="CO14" s="961">
        <f t="shared" si="15"/>
        <v>0</v>
      </c>
      <c r="CP14" s="961">
        <f t="shared" si="16"/>
        <v>199842.33900000001</v>
      </c>
      <c r="CQ14" s="961">
        <f t="shared" si="17"/>
        <v>102935.008</v>
      </c>
      <c r="CU14" s="637" t="s">
        <v>660</v>
      </c>
      <c r="CV14" s="637" t="s">
        <v>154</v>
      </c>
      <c r="CW14" s="637" t="s">
        <v>447</v>
      </c>
      <c r="CX14" s="637" t="s">
        <v>447</v>
      </c>
      <c r="CY14" s="639">
        <v>0</v>
      </c>
      <c r="CZ14" s="639">
        <v>390928519</v>
      </c>
      <c r="DA14" s="639">
        <v>352910254</v>
      </c>
      <c r="DB14" s="944">
        <f t="shared" si="18"/>
        <v>0</v>
      </c>
      <c r="DC14" s="944">
        <f t="shared" si="19"/>
        <v>390928.51899999997</v>
      </c>
      <c r="DD14" s="944">
        <f t="shared" si="20"/>
        <v>352910.25400000002</v>
      </c>
      <c r="DH14" s="637" t="s">
        <v>444</v>
      </c>
      <c r="DI14" s="637" t="s">
        <v>468</v>
      </c>
      <c r="DJ14" s="637" t="s">
        <v>471</v>
      </c>
      <c r="DK14" s="637" t="s">
        <v>279</v>
      </c>
      <c r="DL14" s="639">
        <v>0</v>
      </c>
      <c r="DM14" s="639">
        <v>1447554</v>
      </c>
      <c r="DN14" s="639">
        <v>1447554</v>
      </c>
      <c r="DO14" s="944">
        <f t="shared" si="21"/>
        <v>0</v>
      </c>
      <c r="DP14" s="944">
        <f t="shared" si="22"/>
        <v>1447.5540000000001</v>
      </c>
      <c r="DQ14" s="944">
        <f t="shared" si="23"/>
        <v>1447.5540000000001</v>
      </c>
      <c r="DU14" s="962" t="s">
        <v>665</v>
      </c>
      <c r="DV14" s="962" t="s">
        <v>342</v>
      </c>
      <c r="DW14" s="962" t="s">
        <v>447</v>
      </c>
      <c r="DX14" s="962" t="s">
        <v>447</v>
      </c>
      <c r="DY14" s="963" t="s">
        <v>547</v>
      </c>
      <c r="DZ14" s="964">
        <v>0</v>
      </c>
      <c r="EA14" s="964">
        <v>9900000</v>
      </c>
      <c r="EB14" s="964">
        <v>9900000</v>
      </c>
      <c r="EC14" s="965">
        <f t="shared" si="24"/>
        <v>0</v>
      </c>
      <c r="ED14" s="965">
        <f t="shared" si="25"/>
        <v>9900</v>
      </c>
      <c r="EE14" s="965">
        <f t="shared" si="26"/>
        <v>9900</v>
      </c>
      <c r="EI14" s="637" t="s">
        <v>444</v>
      </c>
      <c r="EJ14" s="637" t="s">
        <v>468</v>
      </c>
      <c r="EK14" s="637" t="s">
        <v>445</v>
      </c>
      <c r="EL14" s="637" t="s">
        <v>277</v>
      </c>
      <c r="EM14" s="637" t="s">
        <v>547</v>
      </c>
      <c r="EN14" s="637">
        <v>0</v>
      </c>
      <c r="EO14" s="637">
        <v>221533671</v>
      </c>
      <c r="EP14" s="637">
        <v>144892536</v>
      </c>
      <c r="EQ14" s="966">
        <f t="shared" si="27"/>
        <v>0</v>
      </c>
      <c r="ER14" s="966">
        <f t="shared" si="28"/>
        <v>221533.671</v>
      </c>
      <c r="ES14" s="966">
        <f t="shared" si="29"/>
        <v>144892.53599999999</v>
      </c>
      <c r="EW14" s="637" t="s">
        <v>660</v>
      </c>
      <c r="EX14" s="637" t="s">
        <v>154</v>
      </c>
      <c r="EY14" s="637" t="s">
        <v>447</v>
      </c>
      <c r="EZ14" s="637" t="s">
        <v>447</v>
      </c>
      <c r="FA14" s="638" t="s">
        <v>547</v>
      </c>
      <c r="FB14" s="966">
        <v>0</v>
      </c>
      <c r="FC14" s="966">
        <v>14349746759</v>
      </c>
      <c r="FD14" s="966">
        <v>27018465591</v>
      </c>
      <c r="FE14" s="966">
        <f t="shared" si="30"/>
        <v>0</v>
      </c>
      <c r="FF14" s="966">
        <f t="shared" si="31"/>
        <v>14349746.759</v>
      </c>
      <c r="FG14" s="966">
        <f t="shared" si="32"/>
        <v>27018465.590999998</v>
      </c>
      <c r="FK14" s="637" t="s">
        <v>444</v>
      </c>
      <c r="FL14" s="637" t="s">
        <v>468</v>
      </c>
      <c r="FM14" s="637" t="s">
        <v>474</v>
      </c>
      <c r="FN14" s="637" t="s">
        <v>276</v>
      </c>
      <c r="FO14" s="637" t="s">
        <v>547</v>
      </c>
      <c r="FP14" s="966">
        <v>0</v>
      </c>
      <c r="FQ14" s="966">
        <v>1788210381</v>
      </c>
      <c r="FR14" s="966">
        <v>1726100300</v>
      </c>
      <c r="FS14" s="944">
        <f t="shared" si="33"/>
        <v>0</v>
      </c>
      <c r="FT14" s="944">
        <f t="shared" si="34"/>
        <v>1788210.3810000001</v>
      </c>
      <c r="FU14" s="944">
        <f t="shared" si="35"/>
        <v>1726100.3</v>
      </c>
      <c r="FY14" s="637" t="s">
        <v>660</v>
      </c>
      <c r="FZ14" s="637" t="s">
        <v>154</v>
      </c>
      <c r="GA14" s="637" t="s">
        <v>447</v>
      </c>
      <c r="GB14" s="637" t="s">
        <v>447</v>
      </c>
      <c r="GC14" s="638" t="s">
        <v>547</v>
      </c>
      <c r="GD14" s="639">
        <v>0</v>
      </c>
      <c r="GE14" s="639">
        <v>4010239048</v>
      </c>
      <c r="GF14" s="639">
        <v>3272953707</v>
      </c>
      <c r="GG14" s="966">
        <f t="shared" si="36"/>
        <v>0</v>
      </c>
      <c r="GH14" s="966">
        <f t="shared" si="37"/>
        <v>4010239.048</v>
      </c>
      <c r="GI14" s="966">
        <f t="shared" si="38"/>
        <v>3272953.7069999999</v>
      </c>
      <c r="GM14" s="967" t="s">
        <v>444</v>
      </c>
      <c r="GN14" s="968" t="s">
        <v>468</v>
      </c>
      <c r="GO14" s="967" t="s">
        <v>445</v>
      </c>
      <c r="GP14" s="967" t="s">
        <v>277</v>
      </c>
      <c r="GQ14" s="968" t="s">
        <v>547</v>
      </c>
      <c r="GR14" s="969">
        <v>0</v>
      </c>
      <c r="GS14" s="969">
        <v>244776423</v>
      </c>
      <c r="GT14" s="969">
        <v>181099785</v>
      </c>
      <c r="GU14" s="969">
        <f t="shared" si="39"/>
        <v>0</v>
      </c>
      <c r="GV14" s="969">
        <f t="shared" si="40"/>
        <v>244776.42300000001</v>
      </c>
      <c r="GW14" s="969">
        <f t="shared" si="41"/>
        <v>181099.785</v>
      </c>
      <c r="HA14" s="637" t="s">
        <v>901</v>
      </c>
      <c r="HB14" s="637" t="s">
        <v>902</v>
      </c>
      <c r="HC14" s="637" t="s">
        <v>447</v>
      </c>
      <c r="HD14" s="637" t="s">
        <v>447</v>
      </c>
      <c r="HE14" s="638" t="s">
        <v>547</v>
      </c>
      <c r="HF14" s="639">
        <v>2000000000</v>
      </c>
      <c r="HG14" s="639">
        <v>0</v>
      </c>
      <c r="HH14" s="639">
        <v>0</v>
      </c>
      <c r="HI14" s="639">
        <f t="shared" si="42"/>
        <v>2000000</v>
      </c>
      <c r="HJ14" s="639">
        <f t="shared" si="43"/>
        <v>0</v>
      </c>
      <c r="HK14" s="639">
        <f t="shared" si="44"/>
        <v>0</v>
      </c>
      <c r="HO14" s="967" t="s">
        <v>444</v>
      </c>
      <c r="HP14" s="967" t="s">
        <v>468</v>
      </c>
      <c r="HQ14" s="967" t="s">
        <v>472</v>
      </c>
      <c r="HR14" s="967" t="s">
        <v>473</v>
      </c>
      <c r="HS14" s="638" t="s">
        <v>547</v>
      </c>
      <c r="HT14" s="639">
        <v>0</v>
      </c>
      <c r="HU14" s="639">
        <v>125296217</v>
      </c>
      <c r="HV14" s="639">
        <v>112509985</v>
      </c>
      <c r="HW14" s="944">
        <f t="shared" si="45"/>
        <v>0</v>
      </c>
      <c r="HX14" s="944">
        <f t="shared" si="46"/>
        <v>125296.217</v>
      </c>
      <c r="HY14" s="944">
        <f t="shared" si="47"/>
        <v>112509.985</v>
      </c>
      <c r="IC14" s="637" t="s">
        <v>444</v>
      </c>
      <c r="ID14" s="637" t="s">
        <v>468</v>
      </c>
      <c r="IE14" s="637" t="s">
        <v>445</v>
      </c>
      <c r="IF14" s="637" t="s">
        <v>277</v>
      </c>
      <c r="IG14" s="638" t="s">
        <v>547</v>
      </c>
      <c r="IH14" s="639">
        <v>-71229263</v>
      </c>
      <c r="II14" s="639">
        <v>0</v>
      </c>
      <c r="IJ14" s="639">
        <v>0</v>
      </c>
      <c r="IK14" s="965">
        <f t="shared" si="48"/>
        <v>-71229.263000000006</v>
      </c>
      <c r="IL14" s="965">
        <f t="shared" si="49"/>
        <v>0</v>
      </c>
      <c r="IM14" s="965">
        <f t="shared" si="50"/>
        <v>0</v>
      </c>
      <c r="IQ14" s="967" t="s">
        <v>444</v>
      </c>
      <c r="IR14" s="967" t="s">
        <v>468</v>
      </c>
      <c r="IS14" s="967" t="s">
        <v>471</v>
      </c>
      <c r="IT14" s="967" t="s">
        <v>279</v>
      </c>
      <c r="IU14" s="968" t="s">
        <v>547</v>
      </c>
      <c r="IV14" s="969">
        <v>0</v>
      </c>
      <c r="IW14" s="969">
        <v>1447554</v>
      </c>
      <c r="IX14" s="969">
        <v>1447554</v>
      </c>
      <c r="IY14" s="970">
        <f t="shared" si="51"/>
        <v>0</v>
      </c>
      <c r="IZ14" s="970">
        <f t="shared" si="52"/>
        <v>1447.5540000000001</v>
      </c>
      <c r="JA14" s="970">
        <f t="shared" si="53"/>
        <v>1447.5540000000001</v>
      </c>
      <c r="JE14" s="968" t="s">
        <v>660</v>
      </c>
      <c r="JF14" s="968" t="s">
        <v>154</v>
      </c>
      <c r="JG14" s="968" t="s">
        <v>447</v>
      </c>
      <c r="JH14" s="968" t="s">
        <v>447</v>
      </c>
      <c r="JI14" s="638" t="s">
        <v>547</v>
      </c>
      <c r="JJ14" s="639">
        <v>1594899266</v>
      </c>
      <c r="JK14" s="944">
        <f t="shared" si="54"/>
        <v>1594899.2660000001</v>
      </c>
      <c r="JO14" s="966" t="s">
        <v>444</v>
      </c>
      <c r="JP14" s="966" t="s">
        <v>468</v>
      </c>
      <c r="JQ14" s="966" t="s">
        <v>498</v>
      </c>
      <c r="JR14" s="640" t="s">
        <v>343</v>
      </c>
      <c r="JS14" s="640" t="s">
        <v>547</v>
      </c>
      <c r="JT14" s="971">
        <v>0</v>
      </c>
      <c r="JU14" s="971">
        <v>532588076</v>
      </c>
      <c r="JV14" s="971">
        <v>532588076</v>
      </c>
      <c r="JW14" s="945">
        <f t="shared" si="55"/>
        <v>0</v>
      </c>
      <c r="JX14" s="945">
        <f t="shared" si="56"/>
        <v>532588.076</v>
      </c>
      <c r="JY14" s="945">
        <f t="shared" si="57"/>
        <v>532588.076</v>
      </c>
    </row>
    <row r="15" spans="1:287" ht="15" customHeight="1" x14ac:dyDescent="0.3">
      <c r="A15" s="954" t="s">
        <v>444</v>
      </c>
      <c r="B15" s="954" t="s">
        <v>468</v>
      </c>
      <c r="C15" s="954" t="s">
        <v>446</v>
      </c>
      <c r="D15" s="954" t="s">
        <v>322</v>
      </c>
      <c r="E15" s="955">
        <v>0</v>
      </c>
      <c r="F15" s="955">
        <f t="shared" si="7"/>
        <v>0</v>
      </c>
      <c r="G15" s="955">
        <v>167345</v>
      </c>
      <c r="H15" s="955">
        <f t="shared" si="8"/>
        <v>177.88773499999999</v>
      </c>
      <c r="L15" s="956" t="s">
        <v>667</v>
      </c>
      <c r="M15" s="956" t="s">
        <v>634</v>
      </c>
      <c r="N15" s="956" t="s">
        <v>447</v>
      </c>
      <c r="O15" s="956" t="s">
        <v>447</v>
      </c>
      <c r="P15" s="957">
        <v>1749053931</v>
      </c>
      <c r="Q15" s="957">
        <f t="shared" si="9"/>
        <v>1859244.3286530001</v>
      </c>
      <c r="U15" s="956" t="s">
        <v>451</v>
      </c>
      <c r="V15" s="956" t="s">
        <v>470</v>
      </c>
      <c r="W15" s="956" t="s">
        <v>447</v>
      </c>
      <c r="X15" s="956" t="s">
        <v>447</v>
      </c>
      <c r="Y15" s="957">
        <v>4161484000</v>
      </c>
      <c r="Z15" s="957">
        <f t="shared" si="10"/>
        <v>4423657.4919999996</v>
      </c>
      <c r="AD15" s="956" t="s">
        <v>666</v>
      </c>
      <c r="AE15" s="956" t="s">
        <v>529</v>
      </c>
      <c r="AF15" s="956" t="s">
        <v>447</v>
      </c>
      <c r="AG15" s="956" t="s">
        <v>447</v>
      </c>
      <c r="AH15" s="957">
        <v>743155855</v>
      </c>
      <c r="AI15" s="957">
        <f t="shared" si="11"/>
        <v>789974.6738649999</v>
      </c>
      <c r="AM15" s="956" t="s">
        <v>444</v>
      </c>
      <c r="AN15" s="956" t="s">
        <v>468</v>
      </c>
      <c r="AO15" s="956" t="s">
        <v>472</v>
      </c>
      <c r="AP15" s="956" t="s">
        <v>473</v>
      </c>
      <c r="AQ15" s="957">
        <v>0</v>
      </c>
      <c r="AR15" s="957">
        <f t="shared" si="58"/>
        <v>0</v>
      </c>
      <c r="AS15" s="957">
        <v>20574501</v>
      </c>
      <c r="AV15" s="944"/>
      <c r="BG15" s="956" t="s">
        <v>444</v>
      </c>
      <c r="BH15" s="956" t="s">
        <v>468</v>
      </c>
      <c r="BI15" s="956" t="s">
        <v>472</v>
      </c>
      <c r="BJ15" s="956" t="s">
        <v>473</v>
      </c>
      <c r="BK15" s="957">
        <v>198649775</v>
      </c>
      <c r="BL15" s="957">
        <v>0</v>
      </c>
      <c r="BM15" s="957">
        <v>0</v>
      </c>
      <c r="BN15" s="946">
        <f t="shared" si="1"/>
        <v>211164.71082499999</v>
      </c>
      <c r="BO15" s="946">
        <f t="shared" si="2"/>
        <v>0</v>
      </c>
      <c r="BP15" s="946">
        <f t="shared" si="3"/>
        <v>0</v>
      </c>
      <c r="BT15" s="637" t="s">
        <v>664</v>
      </c>
      <c r="BU15" s="637" t="s">
        <v>267</v>
      </c>
      <c r="BV15" s="637" t="s">
        <v>447</v>
      </c>
      <c r="BW15" s="637" t="s">
        <v>447</v>
      </c>
      <c r="BX15" s="638" t="s">
        <v>547</v>
      </c>
      <c r="BY15" s="639">
        <v>0</v>
      </c>
      <c r="BZ15" s="639">
        <v>230038352</v>
      </c>
      <c r="CA15" s="639">
        <v>263638352</v>
      </c>
      <c r="CB15" s="944">
        <f t="shared" si="12"/>
        <v>0</v>
      </c>
      <c r="CC15" s="944">
        <f t="shared" si="13"/>
        <v>230038.35200000001</v>
      </c>
      <c r="CD15" s="944">
        <f t="shared" si="14"/>
        <v>263638.35200000001</v>
      </c>
      <c r="CH15" s="637" t="s">
        <v>444</v>
      </c>
      <c r="CI15" s="637" t="s">
        <v>468</v>
      </c>
      <c r="CJ15" s="637" t="s">
        <v>446</v>
      </c>
      <c r="CK15" s="637" t="s">
        <v>322</v>
      </c>
      <c r="CL15" s="639">
        <v>0</v>
      </c>
      <c r="CM15" s="639">
        <v>1400000</v>
      </c>
      <c r="CN15" s="639">
        <v>412174</v>
      </c>
      <c r="CO15" s="961">
        <f t="shared" si="15"/>
        <v>0</v>
      </c>
      <c r="CP15" s="961">
        <f t="shared" si="16"/>
        <v>1400</v>
      </c>
      <c r="CQ15" s="961">
        <f t="shared" si="17"/>
        <v>412.17399999999998</v>
      </c>
      <c r="CU15" s="637" t="s">
        <v>661</v>
      </c>
      <c r="CV15" s="637" t="s">
        <v>305</v>
      </c>
      <c r="CW15" s="637" t="s">
        <v>447</v>
      </c>
      <c r="CX15" s="637" t="s">
        <v>447</v>
      </c>
      <c r="CY15" s="639">
        <v>875889000</v>
      </c>
      <c r="CZ15" s="639">
        <v>0</v>
      </c>
      <c r="DA15" s="639">
        <v>0</v>
      </c>
      <c r="DB15" s="944">
        <f t="shared" si="18"/>
        <v>875889</v>
      </c>
      <c r="DC15" s="944">
        <f t="shared" si="19"/>
        <v>0</v>
      </c>
      <c r="DD15" s="944">
        <f t="shared" si="20"/>
        <v>0</v>
      </c>
      <c r="DH15" s="637" t="s">
        <v>444</v>
      </c>
      <c r="DI15" s="637" t="s">
        <v>468</v>
      </c>
      <c r="DJ15" s="637" t="s">
        <v>472</v>
      </c>
      <c r="DK15" s="637" t="s">
        <v>473</v>
      </c>
      <c r="DL15" s="639">
        <v>0</v>
      </c>
      <c r="DM15" s="639">
        <v>125296217</v>
      </c>
      <c r="DN15" s="639">
        <v>92149501</v>
      </c>
      <c r="DO15" s="944">
        <f t="shared" si="21"/>
        <v>0</v>
      </c>
      <c r="DP15" s="944">
        <f t="shared" si="22"/>
        <v>125296.217</v>
      </c>
      <c r="DQ15" s="944">
        <f t="shared" si="23"/>
        <v>92149.501000000004</v>
      </c>
      <c r="DU15" s="962" t="s">
        <v>666</v>
      </c>
      <c r="DV15" s="962" t="s">
        <v>529</v>
      </c>
      <c r="DW15" s="962" t="s">
        <v>447</v>
      </c>
      <c r="DX15" s="962" t="s">
        <v>447</v>
      </c>
      <c r="DY15" s="963" t="s">
        <v>547</v>
      </c>
      <c r="DZ15" s="964">
        <v>0</v>
      </c>
      <c r="EA15" s="964">
        <v>0</v>
      </c>
      <c r="EB15" s="964">
        <v>0</v>
      </c>
      <c r="EC15" s="965">
        <f t="shared" si="24"/>
        <v>0</v>
      </c>
      <c r="ED15" s="965">
        <f t="shared" si="25"/>
        <v>0</v>
      </c>
      <c r="EE15" s="965">
        <f t="shared" si="26"/>
        <v>0</v>
      </c>
      <c r="EI15" s="637" t="s">
        <v>444</v>
      </c>
      <c r="EJ15" s="637" t="s">
        <v>468</v>
      </c>
      <c r="EK15" s="637" t="s">
        <v>447</v>
      </c>
      <c r="EL15" s="637" t="s">
        <v>447</v>
      </c>
      <c r="EM15" s="637" t="s">
        <v>547</v>
      </c>
      <c r="EN15" s="637">
        <v>0</v>
      </c>
      <c r="EO15" s="637">
        <v>0</v>
      </c>
      <c r="EP15" s="637">
        <v>0</v>
      </c>
      <c r="EQ15" s="966">
        <f t="shared" si="27"/>
        <v>0</v>
      </c>
      <c r="ER15" s="966">
        <f t="shared" si="28"/>
        <v>0</v>
      </c>
      <c r="ES15" s="966">
        <f t="shared" si="29"/>
        <v>0</v>
      </c>
      <c r="EW15" s="637" t="s">
        <v>661</v>
      </c>
      <c r="EX15" s="637" t="s">
        <v>305</v>
      </c>
      <c r="EY15" s="637" t="s">
        <v>447</v>
      </c>
      <c r="EZ15" s="637" t="s">
        <v>447</v>
      </c>
      <c r="FA15" s="638" t="s">
        <v>547</v>
      </c>
      <c r="FB15" s="966">
        <v>0</v>
      </c>
      <c r="FC15" s="966">
        <v>0</v>
      </c>
      <c r="FD15" s="966">
        <v>58640085</v>
      </c>
      <c r="FE15" s="966">
        <f t="shared" si="30"/>
        <v>0</v>
      </c>
      <c r="FF15" s="966">
        <f t="shared" si="31"/>
        <v>0</v>
      </c>
      <c r="FG15" s="966">
        <f t="shared" si="32"/>
        <v>58640.084999999999</v>
      </c>
      <c r="FK15" s="637" t="s">
        <v>444</v>
      </c>
      <c r="FL15" s="637" t="s">
        <v>468</v>
      </c>
      <c r="FM15" s="637" t="s">
        <v>446</v>
      </c>
      <c r="FN15" s="637" t="s">
        <v>322</v>
      </c>
      <c r="FO15" s="637" t="s">
        <v>547</v>
      </c>
      <c r="FP15" s="966">
        <v>0</v>
      </c>
      <c r="FQ15" s="966">
        <v>1400000</v>
      </c>
      <c r="FR15" s="966">
        <v>515486</v>
      </c>
      <c r="FS15" s="944">
        <f t="shared" si="33"/>
        <v>0</v>
      </c>
      <c r="FT15" s="944">
        <f t="shared" si="34"/>
        <v>1400</v>
      </c>
      <c r="FU15" s="944">
        <f t="shared" si="35"/>
        <v>515.48599999999999</v>
      </c>
      <c r="FY15" s="637" t="s">
        <v>662</v>
      </c>
      <c r="FZ15" s="637" t="s">
        <v>308</v>
      </c>
      <c r="GA15" s="637" t="s">
        <v>447</v>
      </c>
      <c r="GB15" s="637" t="s">
        <v>447</v>
      </c>
      <c r="GC15" s="638" t="s">
        <v>547</v>
      </c>
      <c r="GD15" s="639">
        <v>3242262546</v>
      </c>
      <c r="GE15" s="639">
        <v>0</v>
      </c>
      <c r="GF15" s="639">
        <v>0</v>
      </c>
      <c r="GG15" s="966">
        <f t="shared" si="36"/>
        <v>3242262.5460000001</v>
      </c>
      <c r="GH15" s="966">
        <f t="shared" si="37"/>
        <v>0</v>
      </c>
      <c r="GI15" s="966">
        <f t="shared" si="38"/>
        <v>0</v>
      </c>
      <c r="GM15" s="967" t="s">
        <v>444</v>
      </c>
      <c r="GN15" s="968" t="s">
        <v>468</v>
      </c>
      <c r="GO15" s="967" t="s">
        <v>474</v>
      </c>
      <c r="GP15" s="967" t="s">
        <v>276</v>
      </c>
      <c r="GQ15" s="968" t="s">
        <v>547</v>
      </c>
      <c r="GR15" s="969">
        <v>0</v>
      </c>
      <c r="GS15" s="969">
        <v>1811058381</v>
      </c>
      <c r="GT15" s="969">
        <v>1811058381</v>
      </c>
      <c r="GU15" s="969">
        <f t="shared" si="39"/>
        <v>0</v>
      </c>
      <c r="GV15" s="969">
        <f t="shared" si="40"/>
        <v>1811058.3810000001</v>
      </c>
      <c r="GW15" s="969">
        <f t="shared" si="41"/>
        <v>1811058.3810000001</v>
      </c>
      <c r="HA15" s="637" t="s">
        <v>662</v>
      </c>
      <c r="HB15" s="637" t="s">
        <v>308</v>
      </c>
      <c r="HC15" s="637" t="s">
        <v>447</v>
      </c>
      <c r="HD15" s="637" t="s">
        <v>447</v>
      </c>
      <c r="HE15" s="638" t="s">
        <v>547</v>
      </c>
      <c r="HF15" s="639">
        <v>0</v>
      </c>
      <c r="HG15" s="639">
        <v>1212017990</v>
      </c>
      <c r="HH15" s="639">
        <v>305588105</v>
      </c>
      <c r="HI15" s="639">
        <f t="shared" si="42"/>
        <v>0</v>
      </c>
      <c r="HJ15" s="639">
        <f t="shared" si="43"/>
        <v>1212017.99</v>
      </c>
      <c r="HK15" s="639">
        <f>+HH15/$HL$2*$HM$2</f>
        <v>305588.10499999998</v>
      </c>
      <c r="HO15" s="967" t="s">
        <v>444</v>
      </c>
      <c r="HP15" s="967" t="s">
        <v>468</v>
      </c>
      <c r="HQ15" s="967" t="s">
        <v>474</v>
      </c>
      <c r="HR15" s="967" t="s">
        <v>276</v>
      </c>
      <c r="HS15" s="638" t="s">
        <v>547</v>
      </c>
      <c r="HT15" s="639">
        <v>0</v>
      </c>
      <c r="HU15" s="639">
        <v>3267484366</v>
      </c>
      <c r="HV15" s="639">
        <v>2463077016</v>
      </c>
      <c r="HW15" s="944">
        <f t="shared" si="45"/>
        <v>0</v>
      </c>
      <c r="HX15" s="944">
        <f t="shared" si="46"/>
        <v>3267484.3659999999</v>
      </c>
      <c r="HY15" s="944">
        <f t="shared" si="47"/>
        <v>2463077.0159999998</v>
      </c>
      <c r="IC15" s="637" t="s">
        <v>444</v>
      </c>
      <c r="ID15" s="637" t="s">
        <v>468</v>
      </c>
      <c r="IE15" s="637" t="s">
        <v>472</v>
      </c>
      <c r="IF15" s="637" t="s">
        <v>473</v>
      </c>
      <c r="IG15" s="638" t="s">
        <v>547</v>
      </c>
      <c r="IH15" s="639">
        <v>-74007147</v>
      </c>
      <c r="II15" s="639">
        <v>0</v>
      </c>
      <c r="IJ15" s="639">
        <v>0</v>
      </c>
      <c r="IK15" s="965">
        <f t="shared" si="48"/>
        <v>-74007.146999999997</v>
      </c>
      <c r="IL15" s="965">
        <f t="shared" si="49"/>
        <v>0</v>
      </c>
      <c r="IM15" s="965">
        <f t="shared" si="50"/>
        <v>0</v>
      </c>
      <c r="IQ15" s="967" t="s">
        <v>444</v>
      </c>
      <c r="IR15" s="967" t="s">
        <v>468</v>
      </c>
      <c r="IS15" s="967" t="s">
        <v>498</v>
      </c>
      <c r="IT15" s="967" t="s">
        <v>343</v>
      </c>
      <c r="IU15" s="968" t="s">
        <v>547</v>
      </c>
      <c r="IV15" s="969">
        <v>0</v>
      </c>
      <c r="IW15" s="969">
        <v>502948968</v>
      </c>
      <c r="IX15" s="969">
        <v>357211720</v>
      </c>
      <c r="IY15" s="970">
        <f t="shared" si="51"/>
        <v>0</v>
      </c>
      <c r="IZ15" s="970">
        <f t="shared" si="52"/>
        <v>502948.96799999999</v>
      </c>
      <c r="JA15" s="970">
        <f t="shared" si="53"/>
        <v>357211.72</v>
      </c>
      <c r="JE15" s="968" t="s">
        <v>661</v>
      </c>
      <c r="JF15" s="968" t="s">
        <v>305</v>
      </c>
      <c r="JG15" s="968" t="s">
        <v>447</v>
      </c>
      <c r="JH15" s="968" t="s">
        <v>447</v>
      </c>
      <c r="JI15" s="638" t="s">
        <v>547</v>
      </c>
      <c r="JJ15" s="639">
        <v>1744767215</v>
      </c>
      <c r="JK15" s="944">
        <f t="shared" si="54"/>
        <v>1744767.2150000001</v>
      </c>
      <c r="JO15" s="966" t="s">
        <v>444</v>
      </c>
      <c r="JP15" s="966" t="s">
        <v>468</v>
      </c>
      <c r="JQ15" s="966" t="s">
        <v>474</v>
      </c>
      <c r="JR15" s="640" t="s">
        <v>276</v>
      </c>
      <c r="JS15" s="640" t="s">
        <v>547</v>
      </c>
      <c r="JT15" s="971">
        <v>0</v>
      </c>
      <c r="JU15" s="971">
        <v>4000721537</v>
      </c>
      <c r="JV15" s="971">
        <v>4000721537</v>
      </c>
      <c r="JW15" s="945">
        <f t="shared" si="55"/>
        <v>0</v>
      </c>
      <c r="JX15" s="945">
        <f t="shared" si="56"/>
        <v>4000721.537</v>
      </c>
      <c r="JY15" s="945">
        <f t="shared" si="57"/>
        <v>4000721.537</v>
      </c>
    </row>
    <row r="16" spans="1:287" ht="15" customHeight="1" x14ac:dyDescent="0.3">
      <c r="A16" s="954" t="s">
        <v>444</v>
      </c>
      <c r="B16" s="954" t="s">
        <v>468</v>
      </c>
      <c r="C16" s="954" t="s">
        <v>472</v>
      </c>
      <c r="D16" s="954" t="s">
        <v>473</v>
      </c>
      <c r="E16" s="955">
        <v>0</v>
      </c>
      <c r="F16" s="955">
        <f t="shared" si="7"/>
        <v>0</v>
      </c>
      <c r="G16" s="955">
        <v>0</v>
      </c>
      <c r="H16" s="955">
        <f t="shared" si="8"/>
        <v>0</v>
      </c>
      <c r="L16" s="956" t="s">
        <v>452</v>
      </c>
      <c r="M16" s="956" t="s">
        <v>128</v>
      </c>
      <c r="N16" s="956" t="s">
        <v>447</v>
      </c>
      <c r="O16" s="956" t="s">
        <v>447</v>
      </c>
      <c r="P16" s="957">
        <v>-3007332</v>
      </c>
      <c r="Q16" s="957">
        <f t="shared" si="9"/>
        <v>-3196.7939159999996</v>
      </c>
      <c r="U16" s="956" t="s">
        <v>659</v>
      </c>
      <c r="V16" s="956" t="s">
        <v>221</v>
      </c>
      <c r="W16" s="956" t="s">
        <v>447</v>
      </c>
      <c r="X16" s="956" t="s">
        <v>447</v>
      </c>
      <c r="Y16" s="957">
        <v>12345937500</v>
      </c>
      <c r="Z16" s="957">
        <f t="shared" si="10"/>
        <v>13123731.5625</v>
      </c>
      <c r="AD16" s="956" t="s">
        <v>667</v>
      </c>
      <c r="AE16" s="956" t="s">
        <v>634</v>
      </c>
      <c r="AF16" s="956" t="s">
        <v>447</v>
      </c>
      <c r="AG16" s="956" t="s">
        <v>447</v>
      </c>
      <c r="AH16" s="957">
        <v>1042532597</v>
      </c>
      <c r="AI16" s="957">
        <f t="shared" si="11"/>
        <v>1108212.1506109999</v>
      </c>
      <c r="AM16" s="956" t="s">
        <v>444</v>
      </c>
      <c r="AN16" s="956" t="s">
        <v>468</v>
      </c>
      <c r="AO16" s="956" t="s">
        <v>445</v>
      </c>
      <c r="AP16" s="956" t="s">
        <v>277</v>
      </c>
      <c r="AQ16" s="957">
        <v>0</v>
      </c>
      <c r="AR16" s="957">
        <f t="shared" si="58"/>
        <v>0</v>
      </c>
      <c r="AS16" s="957">
        <v>77557635</v>
      </c>
      <c r="AV16" s="944"/>
      <c r="BG16" s="956" t="s">
        <v>444</v>
      </c>
      <c r="BH16" s="956" t="s">
        <v>468</v>
      </c>
      <c r="BI16" s="956" t="s">
        <v>472</v>
      </c>
      <c r="BJ16" s="956" t="s">
        <v>473</v>
      </c>
      <c r="BK16" s="957">
        <v>0</v>
      </c>
      <c r="BL16" s="957">
        <v>125296217</v>
      </c>
      <c r="BM16" s="957">
        <v>20574501</v>
      </c>
      <c r="BN16" s="946">
        <f t="shared" si="1"/>
        <v>0</v>
      </c>
      <c r="BO16" s="946">
        <f t="shared" si="2"/>
        <v>133189.87867099998</v>
      </c>
      <c r="BP16" s="946">
        <f t="shared" si="3"/>
        <v>21870.694562999997</v>
      </c>
      <c r="BT16" s="637" t="s">
        <v>666</v>
      </c>
      <c r="BU16" s="637" t="s">
        <v>529</v>
      </c>
      <c r="BV16" s="637" t="s">
        <v>447</v>
      </c>
      <c r="BW16" s="637" t="s">
        <v>447</v>
      </c>
      <c r="BX16" s="638" t="s">
        <v>547</v>
      </c>
      <c r="BY16" s="639">
        <v>0</v>
      </c>
      <c r="BZ16" s="639">
        <v>1221268312</v>
      </c>
      <c r="CA16" s="639">
        <v>499285719</v>
      </c>
      <c r="CB16" s="944">
        <f t="shared" si="12"/>
        <v>0</v>
      </c>
      <c r="CC16" s="944">
        <f t="shared" si="13"/>
        <v>1221268.3119999999</v>
      </c>
      <c r="CD16" s="944">
        <f t="shared" si="14"/>
        <v>499285.71899999998</v>
      </c>
      <c r="CH16" s="637" t="s">
        <v>444</v>
      </c>
      <c r="CI16" s="637" t="s">
        <v>468</v>
      </c>
      <c r="CJ16" s="637" t="s">
        <v>471</v>
      </c>
      <c r="CK16" s="637" t="s">
        <v>279</v>
      </c>
      <c r="CL16" s="639">
        <v>0</v>
      </c>
      <c r="CM16" s="639">
        <v>1447554</v>
      </c>
      <c r="CN16" s="639">
        <v>1447554</v>
      </c>
      <c r="CO16" s="961">
        <f t="shared" si="15"/>
        <v>0</v>
      </c>
      <c r="CP16" s="961">
        <f t="shared" si="16"/>
        <v>1447.5540000000001</v>
      </c>
      <c r="CQ16" s="961">
        <f t="shared" si="17"/>
        <v>1447.5540000000001</v>
      </c>
      <c r="CU16" s="637" t="s">
        <v>661</v>
      </c>
      <c r="CV16" s="637" t="s">
        <v>305</v>
      </c>
      <c r="CW16" s="637" t="s">
        <v>447</v>
      </c>
      <c r="CX16" s="637" t="s">
        <v>447</v>
      </c>
      <c r="CY16" s="639">
        <v>0</v>
      </c>
      <c r="CZ16" s="639">
        <v>102290493</v>
      </c>
      <c r="DA16" s="639">
        <v>269790176</v>
      </c>
      <c r="DB16" s="944">
        <f t="shared" si="18"/>
        <v>0</v>
      </c>
      <c r="DC16" s="944">
        <f t="shared" si="19"/>
        <v>102290.493</v>
      </c>
      <c r="DD16" s="944">
        <f t="shared" si="20"/>
        <v>269790.17599999998</v>
      </c>
      <c r="DH16" s="637" t="s">
        <v>444</v>
      </c>
      <c r="DI16" s="637" t="s">
        <v>468</v>
      </c>
      <c r="DJ16" s="637" t="s">
        <v>474</v>
      </c>
      <c r="DK16" s="637" t="s">
        <v>276</v>
      </c>
      <c r="DL16" s="639">
        <v>0</v>
      </c>
      <c r="DM16" s="639">
        <v>474879832</v>
      </c>
      <c r="DN16" s="639">
        <v>474879832</v>
      </c>
      <c r="DO16" s="944">
        <f t="shared" si="21"/>
        <v>0</v>
      </c>
      <c r="DP16" s="944">
        <f t="shared" si="22"/>
        <v>474879.83199999999</v>
      </c>
      <c r="DQ16" s="944">
        <f t="shared" si="23"/>
        <v>474879.83199999999</v>
      </c>
      <c r="DU16" s="962" t="s">
        <v>667</v>
      </c>
      <c r="DV16" s="962" t="s">
        <v>634</v>
      </c>
      <c r="DW16" s="962" t="s">
        <v>447</v>
      </c>
      <c r="DX16" s="962" t="s">
        <v>447</v>
      </c>
      <c r="DY16" s="963" t="s">
        <v>547</v>
      </c>
      <c r="DZ16" s="964">
        <v>0</v>
      </c>
      <c r="EA16" s="964">
        <v>19875383406</v>
      </c>
      <c r="EB16" s="964">
        <v>1587778498</v>
      </c>
      <c r="EC16" s="965">
        <f t="shared" si="24"/>
        <v>0</v>
      </c>
      <c r="ED16" s="965">
        <f t="shared" si="25"/>
        <v>19875383.405999999</v>
      </c>
      <c r="EE16" s="965">
        <f t="shared" si="26"/>
        <v>1587778.4979999999</v>
      </c>
      <c r="EI16" s="637" t="s">
        <v>444</v>
      </c>
      <c r="EJ16" s="637" t="s">
        <v>468</v>
      </c>
      <c r="EK16" s="637" t="s">
        <v>446</v>
      </c>
      <c r="EL16" s="637" t="s">
        <v>322</v>
      </c>
      <c r="EM16" s="637" t="s">
        <v>547</v>
      </c>
      <c r="EN16" s="637">
        <v>0</v>
      </c>
      <c r="EO16" s="637">
        <v>1400000</v>
      </c>
      <c r="EP16" s="637">
        <v>463830</v>
      </c>
      <c r="EQ16" s="966">
        <f t="shared" si="27"/>
        <v>0</v>
      </c>
      <c r="ER16" s="966">
        <f t="shared" si="28"/>
        <v>1400</v>
      </c>
      <c r="ES16" s="966">
        <f t="shared" si="29"/>
        <v>463.83</v>
      </c>
      <c r="EW16" s="637" t="s">
        <v>662</v>
      </c>
      <c r="EX16" s="637" t="s">
        <v>308</v>
      </c>
      <c r="EY16" s="637" t="s">
        <v>447</v>
      </c>
      <c r="EZ16" s="637" t="s">
        <v>447</v>
      </c>
      <c r="FA16" s="638" t="s">
        <v>547</v>
      </c>
      <c r="FB16" s="966">
        <v>0</v>
      </c>
      <c r="FC16" s="966">
        <v>211860999</v>
      </c>
      <c r="FD16" s="966">
        <v>263139733</v>
      </c>
      <c r="FE16" s="966">
        <f t="shared" si="30"/>
        <v>0</v>
      </c>
      <c r="FF16" s="966">
        <f t="shared" si="31"/>
        <v>211860.99900000001</v>
      </c>
      <c r="FG16" s="966">
        <f t="shared" si="32"/>
        <v>263139.73300000001</v>
      </c>
      <c r="FK16" s="637" t="s">
        <v>444</v>
      </c>
      <c r="FL16" s="637" t="s">
        <v>468</v>
      </c>
      <c r="FM16" s="637" t="s">
        <v>471</v>
      </c>
      <c r="FN16" s="637" t="s">
        <v>279</v>
      </c>
      <c r="FO16" s="637" t="s">
        <v>547</v>
      </c>
      <c r="FP16" s="966">
        <v>0</v>
      </c>
      <c r="FQ16" s="966">
        <v>1447554</v>
      </c>
      <c r="FR16" s="966">
        <v>1447554</v>
      </c>
      <c r="FS16" s="944">
        <f t="shared" si="33"/>
        <v>0</v>
      </c>
      <c r="FT16" s="944">
        <f t="shared" si="34"/>
        <v>1447.5540000000001</v>
      </c>
      <c r="FU16" s="944">
        <f t="shared" si="35"/>
        <v>1447.5540000000001</v>
      </c>
      <c r="FY16" s="637" t="s">
        <v>662</v>
      </c>
      <c r="FZ16" s="637" t="s">
        <v>308</v>
      </c>
      <c r="GA16" s="637" t="s">
        <v>447</v>
      </c>
      <c r="GB16" s="637" t="s">
        <v>447</v>
      </c>
      <c r="GC16" s="638" t="s">
        <v>547</v>
      </c>
      <c r="GD16" s="639">
        <v>0</v>
      </c>
      <c r="GE16" s="639">
        <v>149352000</v>
      </c>
      <c r="GF16" s="639">
        <v>172632000</v>
      </c>
      <c r="GG16" s="966">
        <f t="shared" si="36"/>
        <v>0</v>
      </c>
      <c r="GH16" s="966">
        <f t="shared" si="37"/>
        <v>149352</v>
      </c>
      <c r="GI16" s="966">
        <f t="shared" si="38"/>
        <v>172632</v>
      </c>
      <c r="GM16" s="967" t="s">
        <v>444</v>
      </c>
      <c r="GN16" s="968" t="s">
        <v>468</v>
      </c>
      <c r="GO16" s="967" t="s">
        <v>446</v>
      </c>
      <c r="GP16" s="967" t="s">
        <v>322</v>
      </c>
      <c r="GQ16" s="968" t="s">
        <v>547</v>
      </c>
      <c r="GR16" s="969">
        <v>0</v>
      </c>
      <c r="GS16" s="969">
        <v>1377484</v>
      </c>
      <c r="GT16" s="969">
        <v>592970</v>
      </c>
      <c r="GU16" s="969">
        <f t="shared" si="39"/>
        <v>0</v>
      </c>
      <c r="GV16" s="969">
        <f t="shared" si="40"/>
        <v>1377.4839999999999</v>
      </c>
      <c r="GW16" s="969">
        <f t="shared" si="41"/>
        <v>592.97</v>
      </c>
      <c r="HA16" s="637" t="s">
        <v>664</v>
      </c>
      <c r="HB16" s="637" t="s">
        <v>267</v>
      </c>
      <c r="HC16" s="637" t="s">
        <v>447</v>
      </c>
      <c r="HD16" s="637" t="s">
        <v>447</v>
      </c>
      <c r="HE16" s="638" t="s">
        <v>547</v>
      </c>
      <c r="HF16" s="639">
        <v>288406648</v>
      </c>
      <c r="HG16" s="639">
        <v>0</v>
      </c>
      <c r="HH16" s="639">
        <v>0</v>
      </c>
      <c r="HI16" s="639">
        <f t="shared" si="42"/>
        <v>288406.64799999999</v>
      </c>
      <c r="HJ16" s="639">
        <f t="shared" si="43"/>
        <v>0</v>
      </c>
      <c r="HK16" s="639">
        <f t="shared" si="44"/>
        <v>0</v>
      </c>
      <c r="HO16" s="967" t="s">
        <v>444</v>
      </c>
      <c r="HP16" s="967" t="s">
        <v>468</v>
      </c>
      <c r="HQ16" s="967" t="s">
        <v>445</v>
      </c>
      <c r="HR16" s="967" t="s">
        <v>277</v>
      </c>
      <c r="HS16" s="638" t="s">
        <v>547</v>
      </c>
      <c r="HT16" s="639">
        <v>0</v>
      </c>
      <c r="HU16" s="639">
        <v>244776423</v>
      </c>
      <c r="HV16" s="639">
        <v>199245261</v>
      </c>
      <c r="HW16" s="944">
        <f t="shared" si="45"/>
        <v>0</v>
      </c>
      <c r="HX16" s="944">
        <f t="shared" si="46"/>
        <v>244776.42300000001</v>
      </c>
      <c r="HY16" s="944">
        <f t="shared" si="47"/>
        <v>199245.261</v>
      </c>
      <c r="IC16" s="637" t="s">
        <v>544</v>
      </c>
      <c r="ID16" s="637" t="s">
        <v>545</v>
      </c>
      <c r="IE16" s="637" t="s">
        <v>447</v>
      </c>
      <c r="IF16" s="637" t="s">
        <v>447</v>
      </c>
      <c r="IG16" s="638" t="s">
        <v>547</v>
      </c>
      <c r="IH16" s="639">
        <v>8701780000</v>
      </c>
      <c r="II16" s="639">
        <v>0</v>
      </c>
      <c r="IJ16" s="639">
        <v>0</v>
      </c>
      <c r="IK16" s="965">
        <f t="shared" si="48"/>
        <v>8701780</v>
      </c>
      <c r="IL16" s="965">
        <f t="shared" si="49"/>
        <v>0</v>
      </c>
      <c r="IM16" s="965">
        <f t="shared" si="50"/>
        <v>0</v>
      </c>
      <c r="IQ16" s="967" t="s">
        <v>444</v>
      </c>
      <c r="IR16" s="967" t="s">
        <v>468</v>
      </c>
      <c r="IS16" s="967" t="s">
        <v>447</v>
      </c>
      <c r="IT16" s="967" t="s">
        <v>447</v>
      </c>
      <c r="IU16" s="968" t="s">
        <v>547</v>
      </c>
      <c r="IV16" s="969">
        <v>0</v>
      </c>
      <c r="IW16" s="969">
        <v>0</v>
      </c>
      <c r="IX16" s="969">
        <v>0</v>
      </c>
      <c r="IY16" s="970">
        <f t="shared" si="51"/>
        <v>0</v>
      </c>
      <c r="IZ16" s="970">
        <f t="shared" si="52"/>
        <v>0</v>
      </c>
      <c r="JA16" s="970">
        <f t="shared" si="53"/>
        <v>0</v>
      </c>
      <c r="JE16" s="968" t="s">
        <v>901</v>
      </c>
      <c r="JF16" s="968" t="s">
        <v>902</v>
      </c>
      <c r="JG16" s="968" t="s">
        <v>447</v>
      </c>
      <c r="JH16" s="968" t="s">
        <v>447</v>
      </c>
      <c r="JI16" s="638" t="s">
        <v>547</v>
      </c>
      <c r="JJ16" s="639">
        <v>17558483763</v>
      </c>
      <c r="JK16" s="944">
        <f t="shared" si="54"/>
        <v>17558483.763</v>
      </c>
      <c r="JO16" s="966" t="s">
        <v>444</v>
      </c>
      <c r="JP16" s="966" t="s">
        <v>468</v>
      </c>
      <c r="JQ16" s="966" t="s">
        <v>471</v>
      </c>
      <c r="JR16" s="640" t="s">
        <v>279</v>
      </c>
      <c r="JS16" s="640" t="s">
        <v>547</v>
      </c>
      <c r="JT16" s="971">
        <v>0</v>
      </c>
      <c r="JU16" s="971">
        <v>1447554</v>
      </c>
      <c r="JV16" s="971">
        <v>1447554</v>
      </c>
      <c r="JW16" s="945">
        <f t="shared" si="55"/>
        <v>0</v>
      </c>
      <c r="JX16" s="945">
        <f t="shared" si="56"/>
        <v>1447.5540000000001</v>
      </c>
      <c r="JY16" s="945">
        <f t="shared" si="57"/>
        <v>1447.5540000000001</v>
      </c>
    </row>
    <row r="17" spans="1:285" ht="15" customHeight="1" x14ac:dyDescent="0.3">
      <c r="A17" s="954" t="s">
        <v>444</v>
      </c>
      <c r="B17" s="954" t="s">
        <v>468</v>
      </c>
      <c r="C17" s="954" t="s">
        <v>445</v>
      </c>
      <c r="D17" s="954" t="s">
        <v>277</v>
      </c>
      <c r="E17" s="955">
        <v>0</v>
      </c>
      <c r="F17" s="955">
        <f t="shared" si="7"/>
        <v>0</v>
      </c>
      <c r="G17" s="955">
        <v>25932023</v>
      </c>
      <c r="H17" s="955">
        <f t="shared" si="8"/>
        <v>27565.740449000001</v>
      </c>
      <c r="U17" s="956" t="s">
        <v>660</v>
      </c>
      <c r="V17" s="956" t="s">
        <v>154</v>
      </c>
      <c r="W17" s="956" t="s">
        <v>447</v>
      </c>
      <c r="X17" s="956" t="s">
        <v>447</v>
      </c>
      <c r="Y17" s="957">
        <v>20598777500</v>
      </c>
      <c r="Z17" s="957">
        <f t="shared" si="10"/>
        <v>21896500.482499998</v>
      </c>
      <c r="AM17" s="956" t="s">
        <v>444</v>
      </c>
      <c r="AN17" s="956" t="s">
        <v>468</v>
      </c>
      <c r="AO17" s="956" t="s">
        <v>474</v>
      </c>
      <c r="AP17" s="956" t="s">
        <v>276</v>
      </c>
      <c r="AQ17" s="957">
        <v>0</v>
      </c>
      <c r="AR17" s="957">
        <f t="shared" si="58"/>
        <v>0</v>
      </c>
      <c r="AS17" s="957">
        <v>303428863</v>
      </c>
      <c r="AV17" s="944"/>
      <c r="BG17" s="956" t="s">
        <v>444</v>
      </c>
      <c r="BH17" s="956" t="s">
        <v>468</v>
      </c>
      <c r="BI17" s="956" t="s">
        <v>498</v>
      </c>
      <c r="BJ17" s="956" t="s">
        <v>343</v>
      </c>
      <c r="BK17" s="957">
        <v>533745000</v>
      </c>
      <c r="BL17" s="957">
        <v>0</v>
      </c>
      <c r="BM17" s="957">
        <v>0</v>
      </c>
      <c r="BN17" s="946">
        <f t="shared" si="1"/>
        <v>567370.93499999994</v>
      </c>
      <c r="BO17" s="946">
        <f t="shared" si="2"/>
        <v>0</v>
      </c>
      <c r="BP17" s="946">
        <f t="shared" si="3"/>
        <v>0</v>
      </c>
      <c r="BT17" s="637" t="s">
        <v>667</v>
      </c>
      <c r="BU17" s="637" t="s">
        <v>634</v>
      </c>
      <c r="BV17" s="637" t="s">
        <v>447</v>
      </c>
      <c r="BW17" s="637" t="s">
        <v>447</v>
      </c>
      <c r="BX17" s="638" t="s">
        <v>547</v>
      </c>
      <c r="BY17" s="639">
        <v>0</v>
      </c>
      <c r="BZ17" s="639">
        <v>354909338</v>
      </c>
      <c r="CA17" s="639">
        <v>343750703</v>
      </c>
      <c r="CB17" s="944">
        <f t="shared" si="12"/>
        <v>0</v>
      </c>
      <c r="CC17" s="944">
        <f t="shared" si="13"/>
        <v>354909.33799999999</v>
      </c>
      <c r="CD17" s="944">
        <f t="shared" si="14"/>
        <v>343750.70299999998</v>
      </c>
      <c r="CH17" s="637" t="s">
        <v>444</v>
      </c>
      <c r="CI17" s="637" t="s">
        <v>468</v>
      </c>
      <c r="CJ17" s="637" t="s">
        <v>474</v>
      </c>
      <c r="CK17" s="637" t="s">
        <v>276</v>
      </c>
      <c r="CL17" s="639">
        <v>0</v>
      </c>
      <c r="CM17" s="639">
        <v>474879832</v>
      </c>
      <c r="CN17" s="639">
        <v>414777463</v>
      </c>
      <c r="CO17" s="961">
        <f t="shared" si="15"/>
        <v>0</v>
      </c>
      <c r="CP17" s="961">
        <f t="shared" si="16"/>
        <v>474879.83199999999</v>
      </c>
      <c r="CQ17" s="961">
        <f t="shared" si="17"/>
        <v>414777.46299999999</v>
      </c>
      <c r="CU17" s="637" t="s">
        <v>662</v>
      </c>
      <c r="CV17" s="972" t="s">
        <v>308</v>
      </c>
      <c r="CW17" s="972" t="s">
        <v>447</v>
      </c>
      <c r="CX17" s="972" t="s">
        <v>447</v>
      </c>
      <c r="CY17" s="973">
        <v>0</v>
      </c>
      <c r="CZ17" s="973">
        <v>192637410</v>
      </c>
      <c r="DA17" s="973">
        <v>236264065</v>
      </c>
      <c r="DB17" s="948">
        <f t="shared" si="18"/>
        <v>0</v>
      </c>
      <c r="DC17" s="948">
        <f t="shared" si="19"/>
        <v>192637.41</v>
      </c>
      <c r="DD17" s="948">
        <f t="shared" si="20"/>
        <v>236264.065</v>
      </c>
      <c r="DH17" s="637" t="s">
        <v>444</v>
      </c>
      <c r="DI17" s="637" t="s">
        <v>468</v>
      </c>
      <c r="DJ17" s="637" t="s">
        <v>445</v>
      </c>
      <c r="DK17" s="637" t="s">
        <v>277</v>
      </c>
      <c r="DL17" s="639">
        <v>0</v>
      </c>
      <c r="DM17" s="639">
        <v>221533671</v>
      </c>
      <c r="DN17" s="639">
        <v>123866444</v>
      </c>
      <c r="DO17" s="944">
        <f t="shared" si="21"/>
        <v>0</v>
      </c>
      <c r="DP17" s="944">
        <f t="shared" si="22"/>
        <v>221533.671</v>
      </c>
      <c r="DQ17" s="944">
        <f t="shared" si="23"/>
        <v>123866.444</v>
      </c>
      <c r="DU17" s="962" t="s">
        <v>668</v>
      </c>
      <c r="DV17" s="962" t="s">
        <v>669</v>
      </c>
      <c r="DW17" s="962" t="s">
        <v>447</v>
      </c>
      <c r="DX17" s="962" t="s">
        <v>447</v>
      </c>
      <c r="DY17" s="963" t="s">
        <v>547</v>
      </c>
      <c r="DZ17" s="964">
        <v>0</v>
      </c>
      <c r="EA17" s="964">
        <v>690987321</v>
      </c>
      <c r="EB17" s="964">
        <v>690987321</v>
      </c>
      <c r="EC17" s="965">
        <f t="shared" si="24"/>
        <v>0</v>
      </c>
      <c r="ED17" s="965">
        <f t="shared" si="25"/>
        <v>690987.321</v>
      </c>
      <c r="EE17" s="965">
        <f t="shared" si="26"/>
        <v>690987.321</v>
      </c>
      <c r="EI17" s="637" t="s">
        <v>444</v>
      </c>
      <c r="EJ17" s="637" t="s">
        <v>468</v>
      </c>
      <c r="EK17" s="637" t="s">
        <v>471</v>
      </c>
      <c r="EL17" s="637" t="s">
        <v>279</v>
      </c>
      <c r="EM17" s="637" t="s">
        <v>547</v>
      </c>
      <c r="EN17" s="637">
        <v>0</v>
      </c>
      <c r="EO17" s="637">
        <v>1447554</v>
      </c>
      <c r="EP17" s="637">
        <v>1447554</v>
      </c>
      <c r="EQ17" s="966">
        <f t="shared" si="27"/>
        <v>0</v>
      </c>
      <c r="ER17" s="966">
        <f t="shared" si="28"/>
        <v>1447.5540000000001</v>
      </c>
      <c r="ES17" s="966">
        <f t="shared" si="29"/>
        <v>1447.5540000000001</v>
      </c>
      <c r="EW17" s="637" t="s">
        <v>663</v>
      </c>
      <c r="EX17" s="637" t="s">
        <v>266</v>
      </c>
      <c r="EY17" s="637" t="s">
        <v>447</v>
      </c>
      <c r="EZ17" s="637" t="s">
        <v>447</v>
      </c>
      <c r="FA17" s="638" t="s">
        <v>547</v>
      </c>
      <c r="FB17" s="966">
        <v>0</v>
      </c>
      <c r="FC17" s="966">
        <v>1897911024</v>
      </c>
      <c r="FD17" s="966">
        <v>450709000</v>
      </c>
      <c r="FE17" s="966">
        <f t="shared" si="30"/>
        <v>0</v>
      </c>
      <c r="FF17" s="966">
        <f t="shared" si="31"/>
        <v>1897911.024</v>
      </c>
      <c r="FG17" s="966">
        <f t="shared" si="32"/>
        <v>450709</v>
      </c>
      <c r="FK17" s="637" t="s">
        <v>444</v>
      </c>
      <c r="FL17" s="637" t="s">
        <v>468</v>
      </c>
      <c r="FM17" s="637" t="s">
        <v>447</v>
      </c>
      <c r="FN17" s="637" t="s">
        <v>447</v>
      </c>
      <c r="FO17" s="637" t="s">
        <v>547</v>
      </c>
      <c r="FP17" s="966">
        <v>0</v>
      </c>
      <c r="FQ17" s="966">
        <v>0</v>
      </c>
      <c r="FR17" s="966">
        <v>0</v>
      </c>
      <c r="FS17" s="944">
        <f t="shared" si="33"/>
        <v>0</v>
      </c>
      <c r="FT17" s="944">
        <f t="shared" si="34"/>
        <v>0</v>
      </c>
      <c r="FU17" s="944">
        <f t="shared" si="35"/>
        <v>0</v>
      </c>
      <c r="FY17" s="637" t="s">
        <v>663</v>
      </c>
      <c r="FZ17" s="637" t="s">
        <v>266</v>
      </c>
      <c r="GA17" s="637" t="s">
        <v>447</v>
      </c>
      <c r="GB17" s="637" t="s">
        <v>447</v>
      </c>
      <c r="GC17" s="638" t="s">
        <v>547</v>
      </c>
      <c r="GD17" s="639">
        <v>0</v>
      </c>
      <c r="GE17" s="639">
        <v>0</v>
      </c>
      <c r="GF17" s="639">
        <v>0</v>
      </c>
      <c r="GG17" s="966">
        <f t="shared" si="36"/>
        <v>0</v>
      </c>
      <c r="GH17" s="966">
        <f t="shared" si="37"/>
        <v>0</v>
      </c>
      <c r="GI17" s="966">
        <f t="shared" si="38"/>
        <v>0</v>
      </c>
      <c r="GM17" s="967" t="s">
        <v>444</v>
      </c>
      <c r="GN17" s="968" t="s">
        <v>468</v>
      </c>
      <c r="GO17" s="967" t="s">
        <v>472</v>
      </c>
      <c r="GP17" s="967" t="s">
        <v>473</v>
      </c>
      <c r="GQ17" s="968" t="s">
        <v>547</v>
      </c>
      <c r="GR17" s="969">
        <v>0</v>
      </c>
      <c r="GS17" s="969">
        <v>125296217</v>
      </c>
      <c r="GT17" s="969">
        <v>112509985</v>
      </c>
      <c r="GU17" s="969">
        <f t="shared" si="39"/>
        <v>0</v>
      </c>
      <c r="GV17" s="969">
        <f t="shared" si="40"/>
        <v>125296.217</v>
      </c>
      <c r="GW17" s="969">
        <f t="shared" si="41"/>
        <v>112509.985</v>
      </c>
      <c r="HA17" s="637" t="s">
        <v>664</v>
      </c>
      <c r="HB17" s="637" t="s">
        <v>267</v>
      </c>
      <c r="HC17" s="637" t="s">
        <v>447</v>
      </c>
      <c r="HD17" s="637" t="s">
        <v>447</v>
      </c>
      <c r="HE17" s="638" t="s">
        <v>547</v>
      </c>
      <c r="HF17" s="639">
        <v>0</v>
      </c>
      <c r="HG17" s="639">
        <v>1181407000</v>
      </c>
      <c r="HH17" s="639">
        <v>0</v>
      </c>
      <c r="HI17" s="639">
        <f t="shared" si="42"/>
        <v>0</v>
      </c>
      <c r="HJ17" s="639">
        <f t="shared" si="43"/>
        <v>1181407</v>
      </c>
      <c r="HK17" s="639">
        <f t="shared" si="44"/>
        <v>0</v>
      </c>
      <c r="HO17" s="967" t="s">
        <v>444</v>
      </c>
      <c r="HP17" s="967" t="s">
        <v>468</v>
      </c>
      <c r="HQ17" s="967" t="s">
        <v>471</v>
      </c>
      <c r="HR17" s="967" t="s">
        <v>279</v>
      </c>
      <c r="HS17" s="638" t="s">
        <v>547</v>
      </c>
      <c r="HT17" s="639">
        <v>0</v>
      </c>
      <c r="HU17" s="639">
        <v>1447554</v>
      </c>
      <c r="HV17" s="639">
        <v>1447554</v>
      </c>
      <c r="HW17" s="944">
        <f t="shared" si="45"/>
        <v>0</v>
      </c>
      <c r="HX17" s="944">
        <f t="shared" si="46"/>
        <v>1447.5540000000001</v>
      </c>
      <c r="HY17" s="944">
        <f t="shared" si="47"/>
        <v>1447.5540000000001</v>
      </c>
      <c r="IC17" s="637" t="s">
        <v>544</v>
      </c>
      <c r="ID17" s="637" t="s">
        <v>545</v>
      </c>
      <c r="IE17" s="637" t="s">
        <v>447</v>
      </c>
      <c r="IF17" s="637" t="s">
        <v>447</v>
      </c>
      <c r="IG17" s="638" t="s">
        <v>547</v>
      </c>
      <c r="IH17" s="639">
        <v>0</v>
      </c>
      <c r="II17" s="639">
        <v>5862708590</v>
      </c>
      <c r="IJ17" s="639">
        <v>5862708590</v>
      </c>
      <c r="IK17" s="965">
        <f t="shared" si="48"/>
        <v>0</v>
      </c>
      <c r="IL17" s="965">
        <f t="shared" si="49"/>
        <v>5862708.5899999999</v>
      </c>
      <c r="IM17" s="965">
        <f t="shared" si="50"/>
        <v>5862708.5899999999</v>
      </c>
      <c r="IQ17" s="967" t="s">
        <v>444</v>
      </c>
      <c r="IR17" s="967" t="s">
        <v>468</v>
      </c>
      <c r="IS17" s="967" t="s">
        <v>446</v>
      </c>
      <c r="IT17" s="967" t="s">
        <v>322</v>
      </c>
      <c r="IU17" s="968" t="s">
        <v>547</v>
      </c>
      <c r="IV17" s="969">
        <v>0</v>
      </c>
      <c r="IW17" s="969">
        <v>735025</v>
      </c>
      <c r="IX17" s="969">
        <v>735025</v>
      </c>
      <c r="IY17" s="970">
        <f t="shared" si="51"/>
        <v>0</v>
      </c>
      <c r="IZ17" s="970">
        <f t="shared" si="52"/>
        <v>735.02499999999998</v>
      </c>
      <c r="JA17" s="970">
        <f t="shared" si="53"/>
        <v>735.02499999999998</v>
      </c>
      <c r="JE17" s="968" t="s">
        <v>662</v>
      </c>
      <c r="JF17" s="968" t="s">
        <v>308</v>
      </c>
      <c r="JG17" s="968" t="s">
        <v>447</v>
      </c>
      <c r="JH17" s="968" t="s">
        <v>447</v>
      </c>
      <c r="JI17" s="638" t="s">
        <v>547</v>
      </c>
      <c r="JJ17" s="639">
        <v>2058557447</v>
      </c>
      <c r="JK17" s="944">
        <f t="shared" si="54"/>
        <v>2058557.4469999999</v>
      </c>
      <c r="JO17" s="966" t="s">
        <v>444</v>
      </c>
      <c r="JP17" s="966" t="s">
        <v>468</v>
      </c>
      <c r="JQ17" s="966" t="s">
        <v>446</v>
      </c>
      <c r="JR17" s="640" t="s">
        <v>322</v>
      </c>
      <c r="JS17" s="640" t="s">
        <v>547</v>
      </c>
      <c r="JT17" s="971">
        <v>0</v>
      </c>
      <c r="JU17" s="971">
        <v>879665</v>
      </c>
      <c r="JV17" s="971">
        <v>879665</v>
      </c>
      <c r="JW17" s="945">
        <f t="shared" si="55"/>
        <v>0</v>
      </c>
      <c r="JX17" s="945">
        <f t="shared" si="56"/>
        <v>879.66499999999996</v>
      </c>
      <c r="JY17" s="945">
        <f t="shared" si="57"/>
        <v>879.66499999999996</v>
      </c>
    </row>
    <row r="18" spans="1:285" ht="15" customHeight="1" x14ac:dyDescent="0.3">
      <c r="A18" s="954" t="s">
        <v>444</v>
      </c>
      <c r="B18" s="954" t="s">
        <v>468</v>
      </c>
      <c r="C18" s="954" t="s">
        <v>471</v>
      </c>
      <c r="D18" s="954" t="s">
        <v>279</v>
      </c>
      <c r="E18" s="955">
        <v>0</v>
      </c>
      <c r="F18" s="955">
        <f t="shared" si="7"/>
        <v>0</v>
      </c>
      <c r="G18" s="955">
        <v>0</v>
      </c>
      <c r="H18" s="955">
        <f t="shared" si="8"/>
        <v>0</v>
      </c>
      <c r="U18" s="956" t="s">
        <v>661</v>
      </c>
      <c r="V18" s="956" t="s">
        <v>305</v>
      </c>
      <c r="W18" s="956" t="s">
        <v>447</v>
      </c>
      <c r="X18" s="956" t="s">
        <v>447</v>
      </c>
      <c r="Y18" s="957">
        <v>15656882000</v>
      </c>
      <c r="Z18" s="957">
        <f t="shared" si="10"/>
        <v>16643265.566</v>
      </c>
      <c r="AM18" s="956" t="s">
        <v>444</v>
      </c>
      <c r="AN18" s="956" t="s">
        <v>468</v>
      </c>
      <c r="AO18" s="956" t="s">
        <v>447</v>
      </c>
      <c r="AP18" s="956" t="s">
        <v>447</v>
      </c>
      <c r="AQ18" s="957">
        <v>0</v>
      </c>
      <c r="AR18" s="957">
        <f t="shared" si="58"/>
        <v>0</v>
      </c>
      <c r="AS18" s="957">
        <v>0</v>
      </c>
      <c r="AV18" s="944"/>
      <c r="BG18" s="956" t="s">
        <v>442</v>
      </c>
      <c r="BH18" s="956" t="s">
        <v>220</v>
      </c>
      <c r="BI18" s="956" t="s">
        <v>447</v>
      </c>
      <c r="BJ18" s="956" t="s">
        <v>447</v>
      </c>
      <c r="BK18" s="957">
        <v>0</v>
      </c>
      <c r="BL18" s="957">
        <v>0</v>
      </c>
      <c r="BM18" s="957">
        <v>0</v>
      </c>
      <c r="BN18" s="946">
        <f t="shared" si="1"/>
        <v>0</v>
      </c>
      <c r="BO18" s="946">
        <f t="shared" si="2"/>
        <v>0</v>
      </c>
      <c r="BP18" s="946">
        <f t="shared" si="3"/>
        <v>0</v>
      </c>
      <c r="CH18" s="637" t="s">
        <v>444</v>
      </c>
      <c r="CI18" s="637" t="s">
        <v>468</v>
      </c>
      <c r="CJ18" s="637" t="s">
        <v>447</v>
      </c>
      <c r="CK18" s="637" t="s">
        <v>447</v>
      </c>
      <c r="CL18" s="639">
        <v>0</v>
      </c>
      <c r="CM18" s="639">
        <v>0</v>
      </c>
      <c r="CN18" s="639">
        <v>0</v>
      </c>
      <c r="CO18" s="961">
        <f t="shared" si="15"/>
        <v>0</v>
      </c>
      <c r="CP18" s="961">
        <f t="shared" si="16"/>
        <v>0</v>
      </c>
      <c r="CQ18" s="961">
        <f t="shared" si="17"/>
        <v>0</v>
      </c>
      <c r="CU18" s="637" t="s">
        <v>663</v>
      </c>
      <c r="CV18" s="637" t="s">
        <v>266</v>
      </c>
      <c r="CW18" s="637" t="s">
        <v>447</v>
      </c>
      <c r="CX18" s="637" t="s">
        <v>447</v>
      </c>
      <c r="CY18" s="639">
        <v>2497911024</v>
      </c>
      <c r="CZ18" s="639">
        <v>0</v>
      </c>
      <c r="DA18" s="639">
        <v>0</v>
      </c>
      <c r="DB18" s="944">
        <f t="shared" si="18"/>
        <v>2497911.0240000002</v>
      </c>
      <c r="DC18" s="944">
        <f t="shared" si="19"/>
        <v>0</v>
      </c>
      <c r="DD18" s="944">
        <f t="shared" si="20"/>
        <v>0</v>
      </c>
      <c r="DH18" s="637" t="s">
        <v>444</v>
      </c>
      <c r="DI18" s="637" t="s">
        <v>468</v>
      </c>
      <c r="DJ18" s="637" t="s">
        <v>446</v>
      </c>
      <c r="DK18" s="637" t="s">
        <v>322</v>
      </c>
      <c r="DL18" s="639">
        <v>0</v>
      </c>
      <c r="DM18" s="639">
        <v>1400000</v>
      </c>
      <c r="DN18" s="639">
        <v>412174</v>
      </c>
      <c r="DO18" s="944">
        <f t="shared" si="21"/>
        <v>0</v>
      </c>
      <c r="DP18" s="944">
        <f t="shared" si="22"/>
        <v>1400</v>
      </c>
      <c r="DQ18" s="944">
        <f t="shared" si="23"/>
        <v>412.17399999999998</v>
      </c>
      <c r="EE18" s="947">
        <f>SUM(EE3:EE17)</f>
        <v>14396727.231999999</v>
      </c>
      <c r="EI18" s="637" t="s">
        <v>444</v>
      </c>
      <c r="EJ18" s="637" t="s">
        <v>468</v>
      </c>
      <c r="EK18" s="637" t="s">
        <v>472</v>
      </c>
      <c r="EL18" s="637" t="s">
        <v>473</v>
      </c>
      <c r="EM18" s="637" t="s">
        <v>547</v>
      </c>
      <c r="EN18" s="637">
        <v>0</v>
      </c>
      <c r="EO18" s="637">
        <v>125296217</v>
      </c>
      <c r="EP18" s="637">
        <v>92149501</v>
      </c>
      <c r="EQ18" s="966">
        <f t="shared" si="27"/>
        <v>0</v>
      </c>
      <c r="ER18" s="966">
        <f t="shared" si="28"/>
        <v>125296.217</v>
      </c>
      <c r="ES18" s="966">
        <f t="shared" si="29"/>
        <v>92149.501000000004</v>
      </c>
      <c r="EW18" s="637" t="s">
        <v>664</v>
      </c>
      <c r="EX18" s="637" t="s">
        <v>267</v>
      </c>
      <c r="EY18" s="637" t="s">
        <v>447</v>
      </c>
      <c r="EZ18" s="637" t="s">
        <v>447</v>
      </c>
      <c r="FA18" s="638" t="s">
        <v>547</v>
      </c>
      <c r="FB18" s="966">
        <v>0</v>
      </c>
      <c r="FC18" s="966">
        <v>183977662</v>
      </c>
      <c r="FD18" s="966">
        <v>192626662</v>
      </c>
      <c r="FE18" s="966">
        <f t="shared" si="30"/>
        <v>0</v>
      </c>
      <c r="FF18" s="966">
        <f t="shared" si="31"/>
        <v>183977.66200000001</v>
      </c>
      <c r="FG18" s="966">
        <f t="shared" si="32"/>
        <v>192626.66200000001</v>
      </c>
      <c r="FK18" s="637" t="s">
        <v>444</v>
      </c>
      <c r="FL18" s="637" t="s">
        <v>468</v>
      </c>
      <c r="FM18" s="637" t="s">
        <v>472</v>
      </c>
      <c r="FN18" s="637" t="s">
        <v>473</v>
      </c>
      <c r="FO18" s="637" t="s">
        <v>547</v>
      </c>
      <c r="FP18" s="966">
        <v>0</v>
      </c>
      <c r="FQ18" s="966">
        <v>125296217</v>
      </c>
      <c r="FR18" s="966">
        <v>92149501</v>
      </c>
      <c r="FS18" s="944">
        <f t="shared" si="33"/>
        <v>0</v>
      </c>
      <c r="FT18" s="944">
        <f t="shared" si="34"/>
        <v>125296.217</v>
      </c>
      <c r="FU18" s="944">
        <f t="shared" si="35"/>
        <v>92149.501000000004</v>
      </c>
      <c r="FY18" s="637" t="s">
        <v>664</v>
      </c>
      <c r="FZ18" s="637" t="s">
        <v>267</v>
      </c>
      <c r="GA18" s="637" t="s">
        <v>447</v>
      </c>
      <c r="GB18" s="637" t="s">
        <v>447</v>
      </c>
      <c r="GC18" s="638" t="s">
        <v>547</v>
      </c>
      <c r="GD18" s="639">
        <v>1557271007</v>
      </c>
      <c r="GE18" s="639">
        <v>0</v>
      </c>
      <c r="GF18" s="639">
        <v>0</v>
      </c>
      <c r="GG18" s="966">
        <f t="shared" si="36"/>
        <v>1557271.007</v>
      </c>
      <c r="GH18" s="966">
        <f t="shared" si="37"/>
        <v>0</v>
      </c>
      <c r="GI18" s="966">
        <f t="shared" si="38"/>
        <v>0</v>
      </c>
      <c r="GM18" s="967" t="s">
        <v>444</v>
      </c>
      <c r="GN18" s="968" t="s">
        <v>468</v>
      </c>
      <c r="GO18" s="967" t="s">
        <v>447</v>
      </c>
      <c r="GP18" s="967" t="s">
        <v>447</v>
      </c>
      <c r="GQ18" s="968" t="s">
        <v>547</v>
      </c>
      <c r="GR18" s="969">
        <v>0</v>
      </c>
      <c r="GS18" s="969">
        <v>0</v>
      </c>
      <c r="GT18" s="969">
        <v>0</v>
      </c>
      <c r="GU18" s="969">
        <f t="shared" si="39"/>
        <v>0</v>
      </c>
      <c r="GV18" s="969">
        <f t="shared" si="40"/>
        <v>0</v>
      </c>
      <c r="GW18" s="969">
        <f t="shared" si="41"/>
        <v>0</v>
      </c>
      <c r="HA18" s="637" t="s">
        <v>665</v>
      </c>
      <c r="HB18" s="637" t="s">
        <v>342</v>
      </c>
      <c r="HC18" s="637" t="s">
        <v>447</v>
      </c>
      <c r="HD18" s="637" t="s">
        <v>447</v>
      </c>
      <c r="HE18" s="638" t="s">
        <v>547</v>
      </c>
      <c r="HF18" s="639">
        <v>0</v>
      </c>
      <c r="HG18" s="639">
        <v>1111364367</v>
      </c>
      <c r="HH18" s="639">
        <v>405549949</v>
      </c>
      <c r="HI18" s="639">
        <f t="shared" si="42"/>
        <v>0</v>
      </c>
      <c r="HJ18" s="639">
        <f t="shared" si="43"/>
        <v>1111364.3670000001</v>
      </c>
      <c r="HK18" s="639">
        <f t="shared" si="44"/>
        <v>405549.94900000002</v>
      </c>
      <c r="HO18" s="967" t="s">
        <v>444</v>
      </c>
      <c r="HP18" s="967" t="s">
        <v>468</v>
      </c>
      <c r="HQ18" s="967" t="s">
        <v>446</v>
      </c>
      <c r="HR18" s="967" t="s">
        <v>322</v>
      </c>
      <c r="HS18" s="638" t="s">
        <v>547</v>
      </c>
      <c r="HT18" s="639">
        <v>0</v>
      </c>
      <c r="HU18" s="639">
        <v>1377484</v>
      </c>
      <c r="HV18" s="639">
        <v>709197</v>
      </c>
      <c r="HW18" s="944">
        <f t="shared" si="45"/>
        <v>0</v>
      </c>
      <c r="HX18" s="944">
        <f t="shared" si="46"/>
        <v>1377.4839999999999</v>
      </c>
      <c r="HY18" s="944">
        <f t="shared" si="47"/>
        <v>709.197</v>
      </c>
      <c r="IC18" s="637" t="s">
        <v>506</v>
      </c>
      <c r="ID18" s="637" t="s">
        <v>507</v>
      </c>
      <c r="IE18" s="637" t="s">
        <v>447</v>
      </c>
      <c r="IF18" s="637" t="s">
        <v>447</v>
      </c>
      <c r="IG18" s="638" t="s">
        <v>547</v>
      </c>
      <c r="IH18" s="639">
        <v>881025000</v>
      </c>
      <c r="II18" s="639">
        <v>0</v>
      </c>
      <c r="IJ18" s="639">
        <v>0</v>
      </c>
      <c r="IK18" s="965">
        <f t="shared" si="48"/>
        <v>881025</v>
      </c>
      <c r="IL18" s="965">
        <f t="shared" si="49"/>
        <v>0</v>
      </c>
      <c r="IM18" s="965">
        <f t="shared" si="50"/>
        <v>0</v>
      </c>
      <c r="IQ18" s="967" t="s">
        <v>444</v>
      </c>
      <c r="IR18" s="967" t="s">
        <v>468</v>
      </c>
      <c r="IS18" s="967" t="s">
        <v>474</v>
      </c>
      <c r="IT18" s="967" t="s">
        <v>276</v>
      </c>
      <c r="IU18" s="968" t="s">
        <v>547</v>
      </c>
      <c r="IV18" s="969">
        <v>0</v>
      </c>
      <c r="IW18" s="969">
        <v>3927188291</v>
      </c>
      <c r="IX18" s="969">
        <v>3810489874</v>
      </c>
      <c r="IY18" s="970">
        <f t="shared" si="51"/>
        <v>0</v>
      </c>
      <c r="IZ18" s="970">
        <f t="shared" si="52"/>
        <v>3927188.2910000002</v>
      </c>
      <c r="JA18" s="970">
        <f t="shared" si="53"/>
        <v>3810489.8739999998</v>
      </c>
      <c r="JE18" s="968" t="s">
        <v>663</v>
      </c>
      <c r="JF18" s="968" t="s">
        <v>266</v>
      </c>
      <c r="JG18" s="968" t="s">
        <v>447</v>
      </c>
      <c r="JH18" s="968" t="s">
        <v>447</v>
      </c>
      <c r="JI18" s="638" t="s">
        <v>547</v>
      </c>
      <c r="JJ18" s="639">
        <v>1241165025</v>
      </c>
      <c r="JK18" s="944">
        <f t="shared" si="54"/>
        <v>1241165.0249999999</v>
      </c>
      <c r="JO18" s="966" t="s">
        <v>444</v>
      </c>
      <c r="JP18" s="966" t="s">
        <v>468</v>
      </c>
      <c r="JQ18" s="966" t="s">
        <v>447</v>
      </c>
      <c r="JR18" s="640" t="s">
        <v>447</v>
      </c>
      <c r="JS18" s="640" t="s">
        <v>547</v>
      </c>
      <c r="JT18" s="971">
        <v>0</v>
      </c>
      <c r="JU18" s="971">
        <v>0</v>
      </c>
      <c r="JV18" s="971">
        <v>0</v>
      </c>
      <c r="JW18" s="945">
        <f t="shared" si="55"/>
        <v>0</v>
      </c>
      <c r="JX18" s="945">
        <f t="shared" si="56"/>
        <v>0</v>
      </c>
      <c r="JY18" s="945">
        <f t="shared" si="57"/>
        <v>0</v>
      </c>
    </row>
    <row r="19" spans="1:285" ht="15" customHeight="1" x14ac:dyDescent="0.3">
      <c r="A19" s="954" t="s">
        <v>544</v>
      </c>
      <c r="B19" s="954" t="s">
        <v>545</v>
      </c>
      <c r="C19" s="954" t="s">
        <v>447</v>
      </c>
      <c r="D19" s="954" t="s">
        <v>447</v>
      </c>
      <c r="E19" s="955">
        <v>10000</v>
      </c>
      <c r="F19" s="955">
        <f t="shared" si="7"/>
        <v>10.629999999999999</v>
      </c>
      <c r="G19" s="955">
        <v>0</v>
      </c>
      <c r="H19" s="955">
        <f t="shared" si="8"/>
        <v>0</v>
      </c>
      <c r="U19" s="956" t="s">
        <v>662</v>
      </c>
      <c r="V19" s="956" t="s">
        <v>308</v>
      </c>
      <c r="W19" s="956" t="s">
        <v>447</v>
      </c>
      <c r="X19" s="956" t="s">
        <v>447</v>
      </c>
      <c r="Y19" s="957">
        <v>3794172000</v>
      </c>
      <c r="Z19" s="957">
        <f t="shared" si="10"/>
        <v>4033204.8359999997</v>
      </c>
      <c r="AM19" s="956" t="s">
        <v>444</v>
      </c>
      <c r="AN19" s="956" t="s">
        <v>468</v>
      </c>
      <c r="AO19" s="956" t="s">
        <v>446</v>
      </c>
      <c r="AP19" s="956" t="s">
        <v>322</v>
      </c>
      <c r="AQ19" s="957">
        <v>0</v>
      </c>
      <c r="AR19" s="957">
        <f t="shared" si="58"/>
        <v>0</v>
      </c>
      <c r="AS19" s="957">
        <v>412174</v>
      </c>
      <c r="AV19" s="944"/>
      <c r="BG19" s="956" t="s">
        <v>444</v>
      </c>
      <c r="BH19" s="956" t="s">
        <v>468</v>
      </c>
      <c r="BI19" s="956" t="s">
        <v>447</v>
      </c>
      <c r="BJ19" s="956" t="s">
        <v>447</v>
      </c>
      <c r="BK19" s="957">
        <v>0</v>
      </c>
      <c r="BL19" s="957">
        <v>0</v>
      </c>
      <c r="BM19" s="957">
        <v>0</v>
      </c>
      <c r="BN19" s="946">
        <f t="shared" si="1"/>
        <v>0</v>
      </c>
      <c r="BO19" s="946">
        <f t="shared" si="2"/>
        <v>0</v>
      </c>
      <c r="BP19" s="946">
        <f t="shared" si="3"/>
        <v>0</v>
      </c>
      <c r="CH19" s="637" t="s">
        <v>444</v>
      </c>
      <c r="CI19" s="637" t="s">
        <v>468</v>
      </c>
      <c r="CJ19" s="637" t="s">
        <v>472</v>
      </c>
      <c r="CK19" s="637" t="s">
        <v>473</v>
      </c>
      <c r="CL19" s="639">
        <v>0</v>
      </c>
      <c r="CM19" s="639">
        <v>125296217</v>
      </c>
      <c r="CN19" s="639">
        <v>20574501</v>
      </c>
      <c r="CO19" s="961">
        <f t="shared" si="15"/>
        <v>0</v>
      </c>
      <c r="CP19" s="961">
        <f t="shared" si="16"/>
        <v>125296.217</v>
      </c>
      <c r="CQ19" s="961">
        <f t="shared" si="17"/>
        <v>20574.501</v>
      </c>
      <c r="CU19" s="637" t="s">
        <v>663</v>
      </c>
      <c r="CV19" s="637" t="s">
        <v>266</v>
      </c>
      <c r="CW19" s="637" t="s">
        <v>447</v>
      </c>
      <c r="CX19" s="637" t="s">
        <v>447</v>
      </c>
      <c r="CY19" s="639">
        <v>0</v>
      </c>
      <c r="CZ19" s="639">
        <v>867077315</v>
      </c>
      <c r="DA19" s="639">
        <v>867077315</v>
      </c>
      <c r="DB19" s="944">
        <f t="shared" si="18"/>
        <v>0</v>
      </c>
      <c r="DC19" s="944">
        <f t="shared" si="19"/>
        <v>867077.31499999994</v>
      </c>
      <c r="DD19" s="944">
        <f t="shared" si="20"/>
        <v>867077.31499999994</v>
      </c>
      <c r="DH19" s="637" t="s">
        <v>444</v>
      </c>
      <c r="DI19" s="637" t="s">
        <v>468</v>
      </c>
      <c r="DJ19" s="637" t="s">
        <v>447</v>
      </c>
      <c r="DK19" s="637" t="s">
        <v>447</v>
      </c>
      <c r="DL19" s="639">
        <v>0</v>
      </c>
      <c r="DM19" s="639">
        <v>0</v>
      </c>
      <c r="DN19" s="639">
        <v>0</v>
      </c>
      <c r="DO19" s="944">
        <f t="shared" si="21"/>
        <v>0</v>
      </c>
      <c r="DP19" s="944">
        <f t="shared" si="22"/>
        <v>0</v>
      </c>
      <c r="DQ19" s="944">
        <f t="shared" si="23"/>
        <v>0</v>
      </c>
      <c r="EI19" s="637" t="s">
        <v>444</v>
      </c>
      <c r="EJ19" s="637" t="s">
        <v>468</v>
      </c>
      <c r="EK19" s="637" t="s">
        <v>474</v>
      </c>
      <c r="EL19" s="637" t="s">
        <v>276</v>
      </c>
      <c r="EM19" s="637" t="s">
        <v>547</v>
      </c>
      <c r="EN19" s="637">
        <v>0</v>
      </c>
      <c r="EO19" s="637">
        <v>1758310428</v>
      </c>
      <c r="EP19" s="637">
        <v>583909235</v>
      </c>
      <c r="EQ19" s="966">
        <f t="shared" si="27"/>
        <v>0</v>
      </c>
      <c r="ER19" s="966">
        <f t="shared" si="28"/>
        <v>1758310.4280000001</v>
      </c>
      <c r="ES19" s="966">
        <f t="shared" si="29"/>
        <v>583909.23499999999</v>
      </c>
      <c r="EW19" s="637" t="s">
        <v>665</v>
      </c>
      <c r="EX19" s="637" t="s">
        <v>342</v>
      </c>
      <c r="EY19" s="637" t="s">
        <v>447</v>
      </c>
      <c r="EZ19" s="637" t="s">
        <v>447</v>
      </c>
      <c r="FA19" s="638" t="s">
        <v>547</v>
      </c>
      <c r="FB19" s="966">
        <v>0</v>
      </c>
      <c r="FC19" s="966">
        <v>102700657</v>
      </c>
      <c r="FD19" s="966">
        <v>102700657</v>
      </c>
      <c r="FE19" s="966">
        <f t="shared" si="30"/>
        <v>0</v>
      </c>
      <c r="FF19" s="966">
        <f t="shared" si="31"/>
        <v>102700.65700000001</v>
      </c>
      <c r="FG19" s="966">
        <f t="shared" si="32"/>
        <v>102700.65700000001</v>
      </c>
      <c r="FK19" s="637" t="s">
        <v>444</v>
      </c>
      <c r="FL19" s="637" t="s">
        <v>468</v>
      </c>
      <c r="FM19" s="637" t="s">
        <v>445</v>
      </c>
      <c r="FN19" s="637" t="s">
        <v>277</v>
      </c>
      <c r="FO19" s="637" t="s">
        <v>547</v>
      </c>
      <c r="FP19" s="966">
        <v>0</v>
      </c>
      <c r="FQ19" s="966">
        <v>221533671</v>
      </c>
      <c r="FR19" s="966">
        <v>161244865</v>
      </c>
      <c r="FS19" s="944">
        <f t="shared" si="33"/>
        <v>0</v>
      </c>
      <c r="FT19" s="944">
        <f t="shared" si="34"/>
        <v>221533.671</v>
      </c>
      <c r="FU19" s="944">
        <f t="shared" si="35"/>
        <v>161244.86499999999</v>
      </c>
      <c r="FY19" s="637" t="s">
        <v>664</v>
      </c>
      <c r="FZ19" s="637" t="s">
        <v>267</v>
      </c>
      <c r="GA19" s="637" t="s">
        <v>447</v>
      </c>
      <c r="GB19" s="637" t="s">
        <v>447</v>
      </c>
      <c r="GC19" s="638" t="s">
        <v>547</v>
      </c>
      <c r="GD19" s="639">
        <v>0</v>
      </c>
      <c r="GE19" s="639">
        <v>77712737</v>
      </c>
      <c r="GF19" s="639">
        <v>77712737</v>
      </c>
      <c r="GG19" s="966">
        <f t="shared" si="36"/>
        <v>0</v>
      </c>
      <c r="GH19" s="966">
        <f t="shared" si="37"/>
        <v>77712.736999999994</v>
      </c>
      <c r="GI19" s="966">
        <f t="shared" si="38"/>
        <v>77712.736999999994</v>
      </c>
      <c r="GM19" s="967" t="s">
        <v>444</v>
      </c>
      <c r="GN19" s="968" t="s">
        <v>468</v>
      </c>
      <c r="GO19" s="967" t="s">
        <v>471</v>
      </c>
      <c r="GP19" s="967" t="s">
        <v>279</v>
      </c>
      <c r="GQ19" s="968" t="s">
        <v>547</v>
      </c>
      <c r="GR19" s="969">
        <v>0</v>
      </c>
      <c r="GS19" s="969">
        <v>1447554</v>
      </c>
      <c r="GT19" s="969">
        <v>1447554</v>
      </c>
      <c r="GU19" s="969">
        <f t="shared" si="39"/>
        <v>0</v>
      </c>
      <c r="GV19" s="969">
        <f t="shared" si="40"/>
        <v>1447.5540000000001</v>
      </c>
      <c r="GW19" s="969">
        <f t="shared" si="41"/>
        <v>1447.5540000000001</v>
      </c>
      <c r="HA19" s="637" t="s">
        <v>666</v>
      </c>
      <c r="HB19" s="637" t="s">
        <v>529</v>
      </c>
      <c r="HC19" s="637" t="s">
        <v>447</v>
      </c>
      <c r="HD19" s="637" t="s">
        <v>447</v>
      </c>
      <c r="HE19" s="638" t="s">
        <v>547</v>
      </c>
      <c r="HF19" s="639">
        <v>0</v>
      </c>
      <c r="HG19" s="639">
        <v>1126605680</v>
      </c>
      <c r="HH19" s="639">
        <v>1709378242</v>
      </c>
      <c r="HI19" s="639">
        <f t="shared" si="42"/>
        <v>0</v>
      </c>
      <c r="HJ19" s="639">
        <f t="shared" si="43"/>
        <v>1126605.68</v>
      </c>
      <c r="HK19" s="639">
        <f t="shared" si="44"/>
        <v>1709378.2420000001</v>
      </c>
      <c r="HO19" s="967" t="s">
        <v>444</v>
      </c>
      <c r="HP19" s="967" t="s">
        <v>468</v>
      </c>
      <c r="HQ19" s="967" t="s">
        <v>447</v>
      </c>
      <c r="HR19" s="967" t="s">
        <v>447</v>
      </c>
      <c r="HS19" s="638" t="s">
        <v>547</v>
      </c>
      <c r="HT19" s="639">
        <v>0</v>
      </c>
      <c r="HU19" s="639">
        <v>0</v>
      </c>
      <c r="HV19" s="639">
        <v>0</v>
      </c>
      <c r="HW19" s="944">
        <f t="shared" si="45"/>
        <v>0</v>
      </c>
      <c r="HX19" s="944">
        <f t="shared" si="46"/>
        <v>0</v>
      </c>
      <c r="HY19" s="944">
        <f t="shared" si="47"/>
        <v>0</v>
      </c>
      <c r="IC19" s="637" t="s">
        <v>448</v>
      </c>
      <c r="ID19" s="637" t="s">
        <v>469</v>
      </c>
      <c r="IE19" s="637" t="s">
        <v>447</v>
      </c>
      <c r="IF19" s="637" t="s">
        <v>447</v>
      </c>
      <c r="IG19" s="638" t="s">
        <v>547</v>
      </c>
      <c r="IH19" s="639">
        <v>0</v>
      </c>
      <c r="II19" s="639">
        <v>0</v>
      </c>
      <c r="IJ19" s="639">
        <v>1970164775</v>
      </c>
      <c r="IK19" s="965">
        <f t="shared" si="48"/>
        <v>0</v>
      </c>
      <c r="IL19" s="965">
        <f t="shared" si="49"/>
        <v>0</v>
      </c>
      <c r="IM19" s="965">
        <f t="shared" si="50"/>
        <v>1970164.7749999999</v>
      </c>
      <c r="IQ19" s="967" t="s">
        <v>444</v>
      </c>
      <c r="IR19" s="967" t="s">
        <v>468</v>
      </c>
      <c r="IS19" s="967" t="s">
        <v>445</v>
      </c>
      <c r="IT19" s="967" t="s">
        <v>277</v>
      </c>
      <c r="IU19" s="968" t="s">
        <v>547</v>
      </c>
      <c r="IV19" s="969">
        <v>0</v>
      </c>
      <c r="IW19" s="969">
        <v>234881270</v>
      </c>
      <c r="IX19" s="969">
        <v>217390737</v>
      </c>
      <c r="IY19" s="970">
        <f t="shared" si="51"/>
        <v>0</v>
      </c>
      <c r="IZ19" s="970">
        <f t="shared" si="52"/>
        <v>234881.27</v>
      </c>
      <c r="JA19" s="970">
        <f t="shared" si="53"/>
        <v>217390.73699999999</v>
      </c>
      <c r="JE19" s="968" t="s">
        <v>664</v>
      </c>
      <c r="JF19" s="968" t="s">
        <v>267</v>
      </c>
      <c r="JG19" s="968" t="s">
        <v>447</v>
      </c>
      <c r="JH19" s="968" t="s">
        <v>447</v>
      </c>
      <c r="JI19" s="638" t="s">
        <v>547</v>
      </c>
      <c r="JJ19" s="639">
        <v>1419202212</v>
      </c>
      <c r="JK19" s="944">
        <f t="shared" si="54"/>
        <v>1419202.2120000001</v>
      </c>
      <c r="JO19" s="966" t="s">
        <v>444</v>
      </c>
      <c r="JP19" s="966" t="s">
        <v>468</v>
      </c>
      <c r="JQ19" s="966" t="s">
        <v>472</v>
      </c>
      <c r="JR19" s="640" t="s">
        <v>473</v>
      </c>
      <c r="JS19" s="640" t="s">
        <v>547</v>
      </c>
      <c r="JT19" s="971">
        <v>0</v>
      </c>
      <c r="JU19" s="971">
        <v>124642628</v>
      </c>
      <c r="JV19" s="971">
        <v>124268424</v>
      </c>
      <c r="JW19" s="945">
        <f t="shared" si="55"/>
        <v>0</v>
      </c>
      <c r="JX19" s="945">
        <f t="shared" si="56"/>
        <v>124642.628</v>
      </c>
      <c r="JY19" s="945">
        <f t="shared" si="57"/>
        <v>124268.424</v>
      </c>
    </row>
    <row r="20" spans="1:285" ht="15" customHeight="1" x14ac:dyDescent="0.3">
      <c r="A20" s="954" t="s">
        <v>656</v>
      </c>
      <c r="B20" s="954" t="s">
        <v>657</v>
      </c>
      <c r="C20" s="954" t="s">
        <v>447</v>
      </c>
      <c r="D20" s="954" t="s">
        <v>447</v>
      </c>
      <c r="E20" s="955">
        <v>43877288000</v>
      </c>
      <c r="F20" s="955">
        <f t="shared" si="7"/>
        <v>46641557.144000001</v>
      </c>
      <c r="G20" s="955">
        <v>0</v>
      </c>
      <c r="H20" s="955">
        <f t="shared" si="8"/>
        <v>0</v>
      </c>
      <c r="U20" s="956" t="s">
        <v>663</v>
      </c>
      <c r="V20" s="956" t="s">
        <v>266</v>
      </c>
      <c r="W20" s="956" t="s">
        <v>447</v>
      </c>
      <c r="X20" s="956" t="s">
        <v>447</v>
      </c>
      <c r="Y20" s="957">
        <v>3161810000</v>
      </c>
      <c r="Z20" s="957">
        <f t="shared" si="10"/>
        <v>3361004.03</v>
      </c>
      <c r="AM20" s="956" t="s">
        <v>544</v>
      </c>
      <c r="AN20" s="956" t="s">
        <v>545</v>
      </c>
      <c r="AO20" s="956" t="s">
        <v>447</v>
      </c>
      <c r="AP20" s="956" t="s">
        <v>447</v>
      </c>
      <c r="AQ20" s="957">
        <v>10000</v>
      </c>
      <c r="AR20" s="957">
        <f t="shared" si="58"/>
        <v>10.629999999999999</v>
      </c>
      <c r="AS20" s="957">
        <v>0</v>
      </c>
      <c r="AV20" s="944"/>
      <c r="BG20" s="956" t="s">
        <v>544</v>
      </c>
      <c r="BH20" s="956" t="s">
        <v>545</v>
      </c>
      <c r="BI20" s="956" t="s">
        <v>447</v>
      </c>
      <c r="BJ20" s="956" t="s">
        <v>447</v>
      </c>
      <c r="BK20" s="957">
        <v>10000</v>
      </c>
      <c r="BL20" s="957">
        <v>0</v>
      </c>
      <c r="BM20" s="957">
        <v>0</v>
      </c>
      <c r="BN20" s="946">
        <f t="shared" si="1"/>
        <v>10.629999999999999</v>
      </c>
      <c r="BO20" s="946">
        <f t="shared" si="2"/>
        <v>0</v>
      </c>
      <c r="BP20" s="946">
        <f t="shared" si="3"/>
        <v>0</v>
      </c>
      <c r="CH20" s="637" t="s">
        <v>544</v>
      </c>
      <c r="CI20" s="637" t="s">
        <v>545</v>
      </c>
      <c r="CJ20" s="637" t="s">
        <v>447</v>
      </c>
      <c r="CK20" s="637" t="s">
        <v>447</v>
      </c>
      <c r="CL20" s="639">
        <v>10000</v>
      </c>
      <c r="CM20" s="639">
        <v>0</v>
      </c>
      <c r="CN20" s="639">
        <v>0</v>
      </c>
      <c r="CO20" s="961">
        <f t="shared" si="15"/>
        <v>10</v>
      </c>
      <c r="CP20" s="961">
        <f t="shared" si="16"/>
        <v>0</v>
      </c>
      <c r="CQ20" s="961">
        <f t="shared" si="17"/>
        <v>0</v>
      </c>
      <c r="CU20" s="637" t="s">
        <v>664</v>
      </c>
      <c r="CV20" s="637" t="s">
        <v>267</v>
      </c>
      <c r="CW20" s="637" t="s">
        <v>447</v>
      </c>
      <c r="CX20" s="637" t="s">
        <v>447</v>
      </c>
      <c r="CY20" s="639">
        <v>0</v>
      </c>
      <c r="CZ20" s="639">
        <v>44109227</v>
      </c>
      <c r="DA20" s="639">
        <v>52269227</v>
      </c>
      <c r="DB20" s="944">
        <f t="shared" si="18"/>
        <v>0</v>
      </c>
      <c r="DC20" s="944">
        <f t="shared" si="19"/>
        <v>44109.226999999999</v>
      </c>
      <c r="DD20" s="944">
        <f t="shared" si="20"/>
        <v>52269.226999999999</v>
      </c>
      <c r="DH20" s="637" t="s">
        <v>544</v>
      </c>
      <c r="DI20" s="637" t="s">
        <v>545</v>
      </c>
      <c r="DJ20" s="637" t="s">
        <v>447</v>
      </c>
      <c r="DK20" s="637" t="s">
        <v>447</v>
      </c>
      <c r="DL20" s="639">
        <v>10000</v>
      </c>
      <c r="DM20" s="639">
        <v>0</v>
      </c>
      <c r="DN20" s="639">
        <v>0</v>
      </c>
      <c r="DO20" s="944">
        <f t="shared" si="21"/>
        <v>10</v>
      </c>
      <c r="DP20" s="944">
        <f t="shared" si="22"/>
        <v>0</v>
      </c>
      <c r="DQ20" s="944">
        <f t="shared" si="23"/>
        <v>0</v>
      </c>
      <c r="EI20" s="637" t="s">
        <v>544</v>
      </c>
      <c r="EJ20" s="637" t="s">
        <v>545</v>
      </c>
      <c r="EK20" s="637" t="s">
        <v>447</v>
      </c>
      <c r="EL20" s="637" t="s">
        <v>447</v>
      </c>
      <c r="EM20" s="637" t="s">
        <v>547</v>
      </c>
      <c r="EN20" s="637">
        <v>10000</v>
      </c>
      <c r="EO20" s="637">
        <v>0</v>
      </c>
      <c r="EP20" s="637">
        <v>0</v>
      </c>
      <c r="EQ20" s="966">
        <f t="shared" si="27"/>
        <v>10</v>
      </c>
      <c r="ER20" s="966">
        <f t="shared" si="28"/>
        <v>0</v>
      </c>
      <c r="ES20" s="966">
        <f t="shared" si="29"/>
        <v>0</v>
      </c>
      <c r="EW20" s="637" t="s">
        <v>666</v>
      </c>
      <c r="EX20" s="637" t="s">
        <v>529</v>
      </c>
      <c r="EY20" s="637" t="s">
        <v>447</v>
      </c>
      <c r="EZ20" s="637" t="s">
        <v>447</v>
      </c>
      <c r="FA20" s="638" t="s">
        <v>547</v>
      </c>
      <c r="FB20" s="966">
        <v>0</v>
      </c>
      <c r="FC20" s="966">
        <v>463659138</v>
      </c>
      <c r="FD20" s="966">
        <v>260547026</v>
      </c>
      <c r="FE20" s="966">
        <f t="shared" si="30"/>
        <v>0</v>
      </c>
      <c r="FF20" s="966">
        <f t="shared" si="31"/>
        <v>463659.13799999998</v>
      </c>
      <c r="FG20" s="966">
        <f t="shared" si="32"/>
        <v>260547.02600000001</v>
      </c>
      <c r="FK20" s="637" t="s">
        <v>544</v>
      </c>
      <c r="FL20" s="637" t="s">
        <v>545</v>
      </c>
      <c r="FM20" s="637" t="s">
        <v>447</v>
      </c>
      <c r="FN20" s="637" t="s">
        <v>447</v>
      </c>
      <c r="FO20" s="637" t="s">
        <v>547</v>
      </c>
      <c r="FP20" s="966">
        <v>10000</v>
      </c>
      <c r="FQ20" s="966">
        <v>0</v>
      </c>
      <c r="FR20" s="966">
        <v>0</v>
      </c>
      <c r="FS20" s="944">
        <f t="shared" si="33"/>
        <v>10</v>
      </c>
      <c r="FT20" s="944">
        <f t="shared" si="34"/>
        <v>0</v>
      </c>
      <c r="FU20" s="944">
        <f t="shared" si="35"/>
        <v>0</v>
      </c>
      <c r="FY20" s="637" t="s">
        <v>665</v>
      </c>
      <c r="FZ20" s="637" t="s">
        <v>342</v>
      </c>
      <c r="GA20" s="637" t="s">
        <v>447</v>
      </c>
      <c r="GB20" s="637" t="s">
        <v>447</v>
      </c>
      <c r="GC20" s="638" t="s">
        <v>547</v>
      </c>
      <c r="GD20" s="639">
        <v>1358436095</v>
      </c>
      <c r="GE20" s="639">
        <v>0</v>
      </c>
      <c r="GF20" s="639">
        <v>0</v>
      </c>
      <c r="GG20" s="966">
        <f t="shared" si="36"/>
        <v>1358436.095</v>
      </c>
      <c r="GH20" s="966">
        <f t="shared" si="37"/>
        <v>0</v>
      </c>
      <c r="GI20" s="966">
        <f t="shared" si="38"/>
        <v>0</v>
      </c>
      <c r="GM20" s="967" t="s">
        <v>544</v>
      </c>
      <c r="GN20" s="968" t="s">
        <v>545</v>
      </c>
      <c r="GO20" s="967" t="s">
        <v>447</v>
      </c>
      <c r="GP20" s="967" t="s">
        <v>447</v>
      </c>
      <c r="GQ20" s="968" t="s">
        <v>547</v>
      </c>
      <c r="GR20" s="969">
        <v>10000</v>
      </c>
      <c r="GS20" s="969">
        <v>0</v>
      </c>
      <c r="GT20" s="969">
        <v>0</v>
      </c>
      <c r="GU20" s="969">
        <f t="shared" si="39"/>
        <v>10</v>
      </c>
      <c r="GV20" s="969">
        <f t="shared" si="40"/>
        <v>0</v>
      </c>
      <c r="GW20" s="969">
        <f t="shared" si="41"/>
        <v>0</v>
      </c>
      <c r="HA20" s="637" t="s">
        <v>667</v>
      </c>
      <c r="HB20" s="637" t="s">
        <v>634</v>
      </c>
      <c r="HC20" s="637" t="s">
        <v>447</v>
      </c>
      <c r="HD20" s="637" t="s">
        <v>447</v>
      </c>
      <c r="HE20" s="638" t="s">
        <v>547</v>
      </c>
      <c r="HF20" s="639">
        <v>7501125352</v>
      </c>
      <c r="HG20" s="639">
        <v>0</v>
      </c>
      <c r="HH20" s="639">
        <v>0</v>
      </c>
      <c r="HI20" s="639">
        <f t="shared" si="42"/>
        <v>7501125.352</v>
      </c>
      <c r="HJ20" s="639">
        <f t="shared" si="43"/>
        <v>0</v>
      </c>
      <c r="HK20" s="639">
        <f t="shared" si="44"/>
        <v>0</v>
      </c>
      <c r="HO20" s="967" t="s">
        <v>544</v>
      </c>
      <c r="HP20" s="967" t="s">
        <v>545</v>
      </c>
      <c r="HQ20" s="967" t="s">
        <v>447</v>
      </c>
      <c r="HR20" s="967" t="s">
        <v>447</v>
      </c>
      <c r="HS20" s="638" t="s">
        <v>547</v>
      </c>
      <c r="HT20" s="639">
        <v>10000</v>
      </c>
      <c r="HU20" s="639">
        <v>0</v>
      </c>
      <c r="HV20" s="639">
        <v>0</v>
      </c>
      <c r="HW20" s="944">
        <f t="shared" si="45"/>
        <v>10</v>
      </c>
      <c r="HX20" s="944">
        <f t="shared" si="46"/>
        <v>0</v>
      </c>
      <c r="HY20" s="944">
        <f t="shared" si="47"/>
        <v>0</v>
      </c>
      <c r="IC20" s="637" t="s">
        <v>451</v>
      </c>
      <c r="ID20" s="637" t="s">
        <v>470</v>
      </c>
      <c r="IE20" s="637" t="s">
        <v>447</v>
      </c>
      <c r="IF20" s="637" t="s">
        <v>447</v>
      </c>
      <c r="IG20" s="638" t="s">
        <v>547</v>
      </c>
      <c r="IH20" s="639">
        <v>0</v>
      </c>
      <c r="II20" s="639">
        <v>3758896502</v>
      </c>
      <c r="IJ20" s="639">
        <v>3692214386</v>
      </c>
      <c r="IK20" s="965">
        <f t="shared" si="48"/>
        <v>0</v>
      </c>
      <c r="IL20" s="965">
        <f t="shared" si="49"/>
        <v>3758896.5019999999</v>
      </c>
      <c r="IM20" s="965">
        <f t="shared" si="50"/>
        <v>3692214.3859999999</v>
      </c>
      <c r="IQ20" s="967" t="s">
        <v>444</v>
      </c>
      <c r="IR20" s="967" t="s">
        <v>468</v>
      </c>
      <c r="IS20" s="967" t="s">
        <v>472</v>
      </c>
      <c r="IT20" s="967" t="s">
        <v>473</v>
      </c>
      <c r="IU20" s="968" t="s">
        <v>547</v>
      </c>
      <c r="IV20" s="969">
        <v>0</v>
      </c>
      <c r="IW20" s="969">
        <v>124642628</v>
      </c>
      <c r="IX20" s="969">
        <v>112509985</v>
      </c>
      <c r="IY20" s="970">
        <f t="shared" si="51"/>
        <v>0</v>
      </c>
      <c r="IZ20" s="970">
        <f t="shared" si="52"/>
        <v>124642.628</v>
      </c>
      <c r="JA20" s="970">
        <f t="shared" si="53"/>
        <v>112509.985</v>
      </c>
      <c r="JE20" s="968" t="s">
        <v>665</v>
      </c>
      <c r="JF20" s="968" t="s">
        <v>342</v>
      </c>
      <c r="JG20" s="968" t="s">
        <v>447</v>
      </c>
      <c r="JH20" s="968" t="s">
        <v>447</v>
      </c>
      <c r="JI20" s="638" t="s">
        <v>547</v>
      </c>
      <c r="JJ20" s="639">
        <v>618506580</v>
      </c>
      <c r="JK20" s="944">
        <f t="shared" si="54"/>
        <v>618506.57999999996</v>
      </c>
      <c r="JO20" s="966" t="s">
        <v>444</v>
      </c>
      <c r="JP20" s="966" t="s">
        <v>468</v>
      </c>
      <c r="JQ20" s="966" t="s">
        <v>445</v>
      </c>
      <c r="JR20" s="640" t="s">
        <v>277</v>
      </c>
      <c r="JS20" s="640" t="s">
        <v>547</v>
      </c>
      <c r="JT20" s="971">
        <v>0</v>
      </c>
      <c r="JU20" s="971">
        <v>238843816</v>
      </c>
      <c r="JV20" s="971">
        <v>238843816</v>
      </c>
      <c r="JW20" s="945">
        <f t="shared" si="55"/>
        <v>0</v>
      </c>
      <c r="JX20" s="945">
        <f t="shared" si="56"/>
        <v>238843.81599999999</v>
      </c>
      <c r="JY20" s="945">
        <f t="shared" si="57"/>
        <v>238843.81599999999</v>
      </c>
    </row>
    <row r="21" spans="1:285" ht="15" customHeight="1" x14ac:dyDescent="0.3">
      <c r="A21" s="954" t="s">
        <v>450</v>
      </c>
      <c r="B21" s="954" t="s">
        <v>142</v>
      </c>
      <c r="C21" s="954" t="s">
        <v>447</v>
      </c>
      <c r="D21" s="954" t="s">
        <v>447</v>
      </c>
      <c r="E21" s="955">
        <v>9151948000</v>
      </c>
      <c r="F21" s="955">
        <f t="shared" si="7"/>
        <v>9728520.7239999995</v>
      </c>
      <c r="G21" s="955">
        <v>0</v>
      </c>
      <c r="H21" s="955">
        <f t="shared" si="8"/>
        <v>0</v>
      </c>
      <c r="U21" s="956" t="s">
        <v>664</v>
      </c>
      <c r="V21" s="956" t="s">
        <v>267</v>
      </c>
      <c r="W21" s="956" t="s">
        <v>447</v>
      </c>
      <c r="X21" s="956" t="s">
        <v>447</v>
      </c>
      <c r="Y21" s="957">
        <v>948543000</v>
      </c>
      <c r="Z21" s="957">
        <f t="shared" si="10"/>
        <v>1008301.2089999999</v>
      </c>
      <c r="AM21" s="956" t="s">
        <v>656</v>
      </c>
      <c r="AN21" s="956" t="s">
        <v>657</v>
      </c>
      <c r="AO21" s="956" t="s">
        <v>447</v>
      </c>
      <c r="AP21" s="956" t="s">
        <v>447</v>
      </c>
      <c r="AQ21" s="957">
        <v>0</v>
      </c>
      <c r="AR21" s="957">
        <f t="shared" si="58"/>
        <v>0</v>
      </c>
      <c r="AS21" s="957">
        <v>0</v>
      </c>
      <c r="AV21" s="944"/>
      <c r="BG21" s="956" t="s">
        <v>656</v>
      </c>
      <c r="BH21" s="956" t="s">
        <v>657</v>
      </c>
      <c r="BI21" s="956" t="s">
        <v>447</v>
      </c>
      <c r="BJ21" s="956" t="s">
        <v>447</v>
      </c>
      <c r="BK21" s="957">
        <v>0</v>
      </c>
      <c r="BL21" s="957">
        <v>0</v>
      </c>
      <c r="BM21" s="957">
        <v>0</v>
      </c>
      <c r="BN21" s="946">
        <f t="shared" si="1"/>
        <v>0</v>
      </c>
      <c r="BO21" s="946">
        <f t="shared" si="2"/>
        <v>0</v>
      </c>
      <c r="BP21" s="946">
        <f t="shared" si="3"/>
        <v>0</v>
      </c>
      <c r="CH21" s="637" t="s">
        <v>656</v>
      </c>
      <c r="CI21" s="637" t="s">
        <v>657</v>
      </c>
      <c r="CJ21" s="637" t="s">
        <v>447</v>
      </c>
      <c r="CK21" s="637" t="s">
        <v>447</v>
      </c>
      <c r="CL21" s="639">
        <v>0</v>
      </c>
      <c r="CM21" s="639">
        <v>0</v>
      </c>
      <c r="CN21" s="639">
        <v>0</v>
      </c>
      <c r="CO21" s="961">
        <f t="shared" si="15"/>
        <v>0</v>
      </c>
      <c r="CP21" s="961">
        <f t="shared" si="16"/>
        <v>0</v>
      </c>
      <c r="CQ21" s="961">
        <f t="shared" si="17"/>
        <v>0</v>
      </c>
      <c r="CU21" s="637" t="s">
        <v>665</v>
      </c>
      <c r="CV21" s="637" t="s">
        <v>342</v>
      </c>
      <c r="CW21" s="637" t="s">
        <v>447</v>
      </c>
      <c r="CX21" s="637" t="s">
        <v>447</v>
      </c>
      <c r="CY21" s="639">
        <v>0</v>
      </c>
      <c r="CZ21" s="639">
        <v>52329950</v>
      </c>
      <c r="DA21" s="639">
        <v>52329950</v>
      </c>
      <c r="DB21" s="944">
        <f t="shared" si="18"/>
        <v>0</v>
      </c>
      <c r="DC21" s="944">
        <f t="shared" si="19"/>
        <v>52329.95</v>
      </c>
      <c r="DD21" s="944">
        <f t="shared" si="20"/>
        <v>52329.95</v>
      </c>
      <c r="DH21" s="637" t="s">
        <v>656</v>
      </c>
      <c r="DI21" s="637" t="s">
        <v>657</v>
      </c>
      <c r="DJ21" s="637" t="s">
        <v>447</v>
      </c>
      <c r="DK21" s="637" t="s">
        <v>447</v>
      </c>
      <c r="DL21" s="639">
        <v>0</v>
      </c>
      <c r="DM21" s="639">
        <v>0</v>
      </c>
      <c r="DN21" s="639">
        <v>0</v>
      </c>
      <c r="DO21" s="944">
        <f t="shared" si="21"/>
        <v>0</v>
      </c>
      <c r="DP21" s="944">
        <f t="shared" si="22"/>
        <v>0</v>
      </c>
      <c r="DQ21" s="944">
        <f t="shared" si="23"/>
        <v>0</v>
      </c>
      <c r="EE21" s="949"/>
      <c r="EI21" s="637" t="s">
        <v>656</v>
      </c>
      <c r="EJ21" s="637" t="s">
        <v>657</v>
      </c>
      <c r="EK21" s="637" t="s">
        <v>447</v>
      </c>
      <c r="EL21" s="637" t="s">
        <v>447</v>
      </c>
      <c r="EM21" s="637" t="s">
        <v>547</v>
      </c>
      <c r="EN21" s="637">
        <v>0</v>
      </c>
      <c r="EO21" s="637">
        <v>0</v>
      </c>
      <c r="EP21" s="637">
        <v>0</v>
      </c>
      <c r="EQ21" s="966">
        <f t="shared" si="27"/>
        <v>0</v>
      </c>
      <c r="ER21" s="966">
        <f t="shared" si="28"/>
        <v>0</v>
      </c>
      <c r="ES21" s="966">
        <f t="shared" si="29"/>
        <v>0</v>
      </c>
      <c r="EW21" s="637" t="s">
        <v>667</v>
      </c>
      <c r="EX21" s="637" t="s">
        <v>634</v>
      </c>
      <c r="EY21" s="637" t="s">
        <v>447</v>
      </c>
      <c r="EZ21" s="637" t="s">
        <v>447</v>
      </c>
      <c r="FA21" s="638" t="s">
        <v>547</v>
      </c>
      <c r="FB21" s="966">
        <v>6697474000</v>
      </c>
      <c r="FC21" s="966">
        <v>0</v>
      </c>
      <c r="FD21" s="966">
        <v>0</v>
      </c>
      <c r="FE21" s="966">
        <f t="shared" si="30"/>
        <v>6697474</v>
      </c>
      <c r="FF21" s="966">
        <f t="shared" si="31"/>
        <v>0</v>
      </c>
      <c r="FG21" s="966">
        <f t="shared" si="32"/>
        <v>0</v>
      </c>
      <c r="FK21" s="637" t="s">
        <v>656</v>
      </c>
      <c r="FL21" s="637" t="s">
        <v>657</v>
      </c>
      <c r="FM21" s="637" t="s">
        <v>447</v>
      </c>
      <c r="FN21" s="637" t="s">
        <v>447</v>
      </c>
      <c r="FO21" s="637" t="s">
        <v>547</v>
      </c>
      <c r="FP21" s="966">
        <v>0</v>
      </c>
      <c r="FQ21" s="966">
        <v>0</v>
      </c>
      <c r="FR21" s="966">
        <v>0</v>
      </c>
      <c r="FS21" s="944">
        <f t="shared" si="33"/>
        <v>0</v>
      </c>
      <c r="FT21" s="944">
        <f t="shared" si="34"/>
        <v>0</v>
      </c>
      <c r="FU21" s="944">
        <f t="shared" si="35"/>
        <v>0</v>
      </c>
      <c r="FY21" s="637" t="s">
        <v>665</v>
      </c>
      <c r="FZ21" s="637" t="s">
        <v>342</v>
      </c>
      <c r="GA21" s="637" t="s">
        <v>447</v>
      </c>
      <c r="GB21" s="637" t="s">
        <v>447</v>
      </c>
      <c r="GC21" s="638" t="s">
        <v>547</v>
      </c>
      <c r="GD21" s="639">
        <v>0</v>
      </c>
      <c r="GE21" s="639">
        <v>41654000</v>
      </c>
      <c r="GF21" s="639">
        <v>41654000</v>
      </c>
      <c r="GG21" s="966">
        <f t="shared" si="36"/>
        <v>0</v>
      </c>
      <c r="GH21" s="966">
        <f t="shared" si="37"/>
        <v>41654</v>
      </c>
      <c r="GI21" s="966">
        <f t="shared" si="38"/>
        <v>41654</v>
      </c>
      <c r="GM21" s="967" t="s">
        <v>656</v>
      </c>
      <c r="GN21" s="968" t="s">
        <v>657</v>
      </c>
      <c r="GO21" s="967" t="s">
        <v>447</v>
      </c>
      <c r="GP21" s="967" t="s">
        <v>447</v>
      </c>
      <c r="GQ21" s="968" t="s">
        <v>547</v>
      </c>
      <c r="GR21" s="969">
        <v>0</v>
      </c>
      <c r="GS21" s="969">
        <v>0</v>
      </c>
      <c r="GT21" s="969">
        <v>0</v>
      </c>
      <c r="GU21" s="969">
        <f t="shared" si="39"/>
        <v>0</v>
      </c>
      <c r="GV21" s="969">
        <f t="shared" si="40"/>
        <v>0</v>
      </c>
      <c r="GW21" s="969">
        <f t="shared" si="41"/>
        <v>0</v>
      </c>
      <c r="HA21" s="637" t="s">
        <v>667</v>
      </c>
      <c r="HB21" s="637" t="s">
        <v>634</v>
      </c>
      <c r="HC21" s="637" t="s">
        <v>447</v>
      </c>
      <c r="HD21" s="637" t="s">
        <v>447</v>
      </c>
      <c r="HE21" s="638" t="s">
        <v>547</v>
      </c>
      <c r="HF21" s="639">
        <v>0</v>
      </c>
      <c r="HG21" s="639">
        <v>6201041732</v>
      </c>
      <c r="HH21" s="639">
        <v>403073913</v>
      </c>
      <c r="HI21" s="639">
        <f t="shared" si="42"/>
        <v>0</v>
      </c>
      <c r="HJ21" s="639">
        <f t="shared" si="43"/>
        <v>6201041.7319999998</v>
      </c>
      <c r="HK21" s="639">
        <f t="shared" si="44"/>
        <v>403073.913</v>
      </c>
      <c r="HO21" s="967" t="s">
        <v>656</v>
      </c>
      <c r="HP21" s="967" t="s">
        <v>657</v>
      </c>
      <c r="HQ21" s="967" t="s">
        <v>447</v>
      </c>
      <c r="HR21" s="967" t="s">
        <v>447</v>
      </c>
      <c r="HS21" s="638" t="s">
        <v>547</v>
      </c>
      <c r="HT21" s="639">
        <v>0</v>
      </c>
      <c r="HU21" s="639">
        <v>0</v>
      </c>
      <c r="HV21" s="639">
        <v>0</v>
      </c>
      <c r="HW21" s="944">
        <f t="shared" si="45"/>
        <v>0</v>
      </c>
      <c r="HX21" s="944">
        <f t="shared" si="46"/>
        <v>0</v>
      </c>
      <c r="HY21" s="944">
        <f t="shared" si="47"/>
        <v>0</v>
      </c>
      <c r="IC21" s="637" t="s">
        <v>451</v>
      </c>
      <c r="ID21" s="637" t="s">
        <v>470</v>
      </c>
      <c r="IE21" s="637" t="s">
        <v>447</v>
      </c>
      <c r="IF21" s="637" t="s">
        <v>447</v>
      </c>
      <c r="IG21" s="638" t="s">
        <v>547</v>
      </c>
      <c r="IH21" s="639">
        <v>0</v>
      </c>
      <c r="II21" s="639">
        <v>1007773130</v>
      </c>
      <c r="IJ21" s="639">
        <v>1081848495</v>
      </c>
      <c r="IK21" s="965">
        <f t="shared" si="48"/>
        <v>0</v>
      </c>
      <c r="IL21" s="965">
        <f t="shared" si="49"/>
        <v>1007773.13</v>
      </c>
      <c r="IM21" s="965">
        <f t="shared" si="50"/>
        <v>1081848.4950000001</v>
      </c>
      <c r="IQ21" s="967" t="s">
        <v>544</v>
      </c>
      <c r="IR21" s="967" t="s">
        <v>545</v>
      </c>
      <c r="IS21" s="967" t="s">
        <v>447</v>
      </c>
      <c r="IT21" s="967" t="s">
        <v>447</v>
      </c>
      <c r="IU21" s="968" t="s">
        <v>547</v>
      </c>
      <c r="IV21" s="969">
        <v>8701790000</v>
      </c>
      <c r="IW21" s="969">
        <v>0</v>
      </c>
      <c r="IX21" s="969">
        <v>0</v>
      </c>
      <c r="IY21" s="970">
        <f t="shared" si="51"/>
        <v>8701790</v>
      </c>
      <c r="IZ21" s="970">
        <f t="shared" si="52"/>
        <v>0</v>
      </c>
      <c r="JA21" s="970">
        <f t="shared" si="53"/>
        <v>0</v>
      </c>
      <c r="JE21" s="968" t="s">
        <v>666</v>
      </c>
      <c r="JF21" s="968" t="s">
        <v>529</v>
      </c>
      <c r="JG21" s="968" t="s">
        <v>447</v>
      </c>
      <c r="JH21" s="968" t="s">
        <v>447</v>
      </c>
      <c r="JI21" s="638" t="s">
        <v>547</v>
      </c>
      <c r="JJ21" s="639">
        <v>1054976897</v>
      </c>
      <c r="JK21" s="944">
        <f t="shared" si="54"/>
        <v>1054976.8970000001</v>
      </c>
      <c r="JO21" s="966" t="s">
        <v>544</v>
      </c>
      <c r="JP21" s="966" t="s">
        <v>545</v>
      </c>
      <c r="JQ21" s="966" t="s">
        <v>447</v>
      </c>
      <c r="JR21" s="640" t="s">
        <v>447</v>
      </c>
      <c r="JS21" s="640" t="s">
        <v>547</v>
      </c>
      <c r="JT21" s="971">
        <v>8701790000</v>
      </c>
      <c r="JU21" s="971">
        <v>0</v>
      </c>
      <c r="JV21" s="971">
        <v>0</v>
      </c>
      <c r="JW21" s="945">
        <f t="shared" si="55"/>
        <v>8701790</v>
      </c>
      <c r="JX21" s="945">
        <f t="shared" si="56"/>
        <v>0</v>
      </c>
      <c r="JY21" s="945">
        <f t="shared" si="57"/>
        <v>0</v>
      </c>
    </row>
    <row r="22" spans="1:285" ht="15" customHeight="1" x14ac:dyDescent="0.3">
      <c r="A22" s="954" t="s">
        <v>448</v>
      </c>
      <c r="B22" s="954" t="s">
        <v>469</v>
      </c>
      <c r="C22" s="954" t="s">
        <v>447</v>
      </c>
      <c r="D22" s="954" t="s">
        <v>447</v>
      </c>
      <c r="E22" s="955">
        <v>15930849000</v>
      </c>
      <c r="F22" s="955">
        <f t="shared" si="7"/>
        <v>16934492.487</v>
      </c>
      <c r="G22" s="955">
        <v>0</v>
      </c>
      <c r="H22" s="955">
        <f t="shared" si="8"/>
        <v>0</v>
      </c>
      <c r="U22" s="956" t="s">
        <v>665</v>
      </c>
      <c r="V22" s="956" t="s">
        <v>342</v>
      </c>
      <c r="W22" s="956" t="s">
        <v>447</v>
      </c>
      <c r="X22" s="956" t="s">
        <v>447</v>
      </c>
      <c r="Y22" s="957">
        <v>2009426000</v>
      </c>
      <c r="Z22" s="957">
        <f t="shared" si="10"/>
        <v>2136019.838</v>
      </c>
      <c r="AM22" s="956" t="s">
        <v>450</v>
      </c>
      <c r="AN22" s="956" t="s">
        <v>142</v>
      </c>
      <c r="AO22" s="956" t="s">
        <v>447</v>
      </c>
      <c r="AP22" s="956" t="s">
        <v>447</v>
      </c>
      <c r="AQ22" s="957">
        <v>9151948000</v>
      </c>
      <c r="AR22" s="957">
        <f t="shared" si="58"/>
        <v>9728520.7239999995</v>
      </c>
      <c r="AS22" s="957">
        <v>0</v>
      </c>
      <c r="AV22" s="944"/>
      <c r="BG22" s="956" t="s">
        <v>450</v>
      </c>
      <c r="BH22" s="956" t="s">
        <v>142</v>
      </c>
      <c r="BI22" s="956" t="s">
        <v>447</v>
      </c>
      <c r="BJ22" s="956" t="s">
        <v>447</v>
      </c>
      <c r="BK22" s="957">
        <v>9151948000</v>
      </c>
      <c r="BL22" s="957">
        <v>0</v>
      </c>
      <c r="BM22" s="957">
        <v>0</v>
      </c>
      <c r="BN22" s="946">
        <f t="shared" si="1"/>
        <v>9728520.7239999995</v>
      </c>
      <c r="BO22" s="946">
        <f t="shared" si="2"/>
        <v>0</v>
      </c>
      <c r="BP22" s="946">
        <f t="shared" si="3"/>
        <v>0</v>
      </c>
      <c r="CH22" s="637" t="s">
        <v>450</v>
      </c>
      <c r="CI22" s="637" t="s">
        <v>142</v>
      </c>
      <c r="CJ22" s="637" t="s">
        <v>447</v>
      </c>
      <c r="CK22" s="637" t="s">
        <v>447</v>
      </c>
      <c r="CL22" s="639">
        <v>9151948000</v>
      </c>
      <c r="CM22" s="639">
        <v>0</v>
      </c>
      <c r="CN22" s="639">
        <v>0</v>
      </c>
      <c r="CO22" s="961">
        <f t="shared" si="15"/>
        <v>9151948</v>
      </c>
      <c r="CP22" s="961">
        <f t="shared" si="16"/>
        <v>0</v>
      </c>
      <c r="CQ22" s="961">
        <f t="shared" si="17"/>
        <v>0</v>
      </c>
      <c r="CU22" s="637" t="s">
        <v>666</v>
      </c>
      <c r="CV22" s="637" t="s">
        <v>529</v>
      </c>
      <c r="CW22" s="637" t="s">
        <v>447</v>
      </c>
      <c r="CX22" s="637" t="s">
        <v>447</v>
      </c>
      <c r="CY22" s="639">
        <v>0</v>
      </c>
      <c r="CZ22" s="639">
        <v>106223903</v>
      </c>
      <c r="DA22" s="639">
        <v>794910566</v>
      </c>
      <c r="DB22" s="944">
        <f t="shared" si="18"/>
        <v>0</v>
      </c>
      <c r="DC22" s="944">
        <f t="shared" si="19"/>
        <v>106223.90300000001</v>
      </c>
      <c r="DD22" s="944">
        <f t="shared" si="20"/>
        <v>794910.56599999999</v>
      </c>
      <c r="DH22" s="637" t="s">
        <v>450</v>
      </c>
      <c r="DI22" s="637" t="s">
        <v>142</v>
      </c>
      <c r="DJ22" s="637" t="s">
        <v>447</v>
      </c>
      <c r="DK22" s="637" t="s">
        <v>447</v>
      </c>
      <c r="DL22" s="639">
        <v>9151948000</v>
      </c>
      <c r="DM22" s="639">
        <v>0</v>
      </c>
      <c r="DN22" s="639">
        <v>0</v>
      </c>
      <c r="DO22" s="944">
        <f t="shared" si="21"/>
        <v>9151948</v>
      </c>
      <c r="DP22" s="944">
        <f t="shared" si="22"/>
        <v>0</v>
      </c>
      <c r="DQ22" s="944">
        <f t="shared" si="23"/>
        <v>0</v>
      </c>
      <c r="EI22" s="637" t="s">
        <v>450</v>
      </c>
      <c r="EJ22" s="637" t="s">
        <v>142</v>
      </c>
      <c r="EK22" s="637" t="s">
        <v>447</v>
      </c>
      <c r="EL22" s="637" t="s">
        <v>447</v>
      </c>
      <c r="EM22" s="637" t="s">
        <v>547</v>
      </c>
      <c r="EN22" s="637">
        <v>9151948000</v>
      </c>
      <c r="EO22" s="637">
        <v>0</v>
      </c>
      <c r="EP22" s="637">
        <v>0</v>
      </c>
      <c r="EQ22" s="966">
        <f t="shared" si="27"/>
        <v>9151948</v>
      </c>
      <c r="ER22" s="966">
        <f t="shared" si="28"/>
        <v>0</v>
      </c>
      <c r="ES22" s="966">
        <f t="shared" si="29"/>
        <v>0</v>
      </c>
      <c r="EW22" s="637" t="s">
        <v>667</v>
      </c>
      <c r="EX22" s="637" t="s">
        <v>634</v>
      </c>
      <c r="EY22" s="637" t="s">
        <v>447</v>
      </c>
      <c r="EZ22" s="637" t="s">
        <v>447</v>
      </c>
      <c r="FA22" s="638" t="s">
        <v>547</v>
      </c>
      <c r="FB22" s="966">
        <v>0</v>
      </c>
      <c r="FC22" s="966">
        <v>10141882949</v>
      </c>
      <c r="FD22" s="966">
        <v>28279513155</v>
      </c>
      <c r="FE22" s="966">
        <f t="shared" si="30"/>
        <v>0</v>
      </c>
      <c r="FF22" s="966">
        <f t="shared" si="31"/>
        <v>10141882.948999999</v>
      </c>
      <c r="FG22" s="966">
        <f t="shared" si="32"/>
        <v>28279513.155000001</v>
      </c>
      <c r="FK22" s="637" t="s">
        <v>450</v>
      </c>
      <c r="FL22" s="637" t="s">
        <v>142</v>
      </c>
      <c r="FM22" s="637" t="s">
        <v>447</v>
      </c>
      <c r="FN22" s="637" t="s">
        <v>447</v>
      </c>
      <c r="FO22" s="637" t="s">
        <v>547</v>
      </c>
      <c r="FP22" s="966">
        <v>9151948000</v>
      </c>
      <c r="FQ22" s="966">
        <v>0</v>
      </c>
      <c r="FR22" s="966">
        <v>0</v>
      </c>
      <c r="FS22" s="944">
        <f t="shared" si="33"/>
        <v>9151948</v>
      </c>
      <c r="FT22" s="944">
        <f t="shared" si="34"/>
        <v>0</v>
      </c>
      <c r="FU22" s="944">
        <f t="shared" si="35"/>
        <v>0</v>
      </c>
      <c r="FY22" s="637" t="s">
        <v>666</v>
      </c>
      <c r="FZ22" s="637" t="s">
        <v>529</v>
      </c>
      <c r="GA22" s="637" t="s">
        <v>447</v>
      </c>
      <c r="GB22" s="637" t="s">
        <v>447</v>
      </c>
      <c r="GC22" s="638" t="s">
        <v>547</v>
      </c>
      <c r="GD22" s="639">
        <v>0</v>
      </c>
      <c r="GE22" s="639">
        <v>1712246169</v>
      </c>
      <c r="GF22" s="639">
        <v>572977382</v>
      </c>
      <c r="GG22" s="966">
        <f t="shared" si="36"/>
        <v>0</v>
      </c>
      <c r="GH22" s="966">
        <f t="shared" si="37"/>
        <v>1712246.169</v>
      </c>
      <c r="GI22" s="966">
        <f t="shared" si="38"/>
        <v>572977.38199999998</v>
      </c>
      <c r="GM22" s="967" t="s">
        <v>450</v>
      </c>
      <c r="GN22" s="968" t="s">
        <v>142</v>
      </c>
      <c r="GO22" s="967" t="s">
        <v>447</v>
      </c>
      <c r="GP22" s="967" t="s">
        <v>447</v>
      </c>
      <c r="GQ22" s="968" t="s">
        <v>547</v>
      </c>
      <c r="GR22" s="969">
        <v>9151948000</v>
      </c>
      <c r="GS22" s="969">
        <v>0</v>
      </c>
      <c r="GT22" s="969">
        <v>0</v>
      </c>
      <c r="GU22" s="969">
        <f t="shared" si="39"/>
        <v>9151948</v>
      </c>
      <c r="GV22" s="969">
        <f t="shared" si="40"/>
        <v>0</v>
      </c>
      <c r="GW22" s="969">
        <f t="shared" si="41"/>
        <v>0</v>
      </c>
      <c r="HA22" s="637" t="s">
        <v>668</v>
      </c>
      <c r="HB22" s="637" t="s">
        <v>669</v>
      </c>
      <c r="HC22" s="637" t="s">
        <v>447</v>
      </c>
      <c r="HD22" s="637" t="s">
        <v>447</v>
      </c>
      <c r="HE22" s="638" t="s">
        <v>547</v>
      </c>
      <c r="HF22" s="639">
        <v>0</v>
      </c>
      <c r="HG22" s="639">
        <v>2070000000</v>
      </c>
      <c r="HH22" s="639">
        <v>70000000</v>
      </c>
      <c r="HI22" s="639">
        <f t="shared" si="42"/>
        <v>0</v>
      </c>
      <c r="HJ22" s="639">
        <f t="shared" si="43"/>
        <v>2070000</v>
      </c>
      <c r="HK22" s="639">
        <f t="shared" si="44"/>
        <v>70000</v>
      </c>
      <c r="HO22" s="967" t="s">
        <v>450</v>
      </c>
      <c r="HP22" s="967" t="s">
        <v>142</v>
      </c>
      <c r="HQ22" s="967" t="s">
        <v>447</v>
      </c>
      <c r="HR22" s="967" t="s">
        <v>447</v>
      </c>
      <c r="HS22" s="638" t="s">
        <v>547</v>
      </c>
      <c r="HT22" s="639">
        <v>9151948000</v>
      </c>
      <c r="HU22" s="639">
        <v>0</v>
      </c>
      <c r="HV22" s="639">
        <v>0</v>
      </c>
      <c r="HW22" s="944">
        <f t="shared" si="45"/>
        <v>9151948</v>
      </c>
      <c r="HX22" s="944">
        <f t="shared" si="46"/>
        <v>0</v>
      </c>
      <c r="HY22" s="944">
        <f t="shared" si="47"/>
        <v>0</v>
      </c>
      <c r="IC22" s="637" t="s">
        <v>451</v>
      </c>
      <c r="ID22" s="637" t="s">
        <v>470</v>
      </c>
      <c r="IE22" s="637" t="s">
        <v>447</v>
      </c>
      <c r="IF22" s="637" t="s">
        <v>447</v>
      </c>
      <c r="IG22" s="638" t="s">
        <v>547</v>
      </c>
      <c r="IH22" s="639">
        <v>-881025000</v>
      </c>
      <c r="II22" s="639">
        <v>0</v>
      </c>
      <c r="IJ22" s="639">
        <v>0</v>
      </c>
      <c r="IK22" s="965">
        <f t="shared" si="48"/>
        <v>-881025</v>
      </c>
      <c r="IL22" s="965">
        <f t="shared" si="49"/>
        <v>0</v>
      </c>
      <c r="IM22" s="965">
        <f t="shared" si="50"/>
        <v>0</v>
      </c>
      <c r="IQ22" s="967" t="s">
        <v>544</v>
      </c>
      <c r="IR22" s="967" t="s">
        <v>545</v>
      </c>
      <c r="IS22" s="967" t="s">
        <v>447</v>
      </c>
      <c r="IT22" s="967" t="s">
        <v>447</v>
      </c>
      <c r="IU22" s="968" t="s">
        <v>547</v>
      </c>
      <c r="IV22" s="969">
        <v>0</v>
      </c>
      <c r="IW22" s="969">
        <v>5862708590</v>
      </c>
      <c r="IX22" s="969">
        <v>5862708590</v>
      </c>
      <c r="IY22" s="970">
        <f t="shared" si="51"/>
        <v>0</v>
      </c>
      <c r="IZ22" s="970">
        <f t="shared" si="52"/>
        <v>5862708.5899999999</v>
      </c>
      <c r="JA22" s="970">
        <f t="shared" si="53"/>
        <v>5862708.5899999999</v>
      </c>
      <c r="JE22" s="968" t="s">
        <v>667</v>
      </c>
      <c r="JF22" s="968" t="s">
        <v>634</v>
      </c>
      <c r="JG22" s="968" t="s">
        <v>447</v>
      </c>
      <c r="JH22" s="968" t="s">
        <v>447</v>
      </c>
      <c r="JI22" s="638" t="s">
        <v>547</v>
      </c>
      <c r="JJ22" s="639">
        <v>12276515757</v>
      </c>
      <c r="JK22" s="944">
        <f t="shared" si="54"/>
        <v>12276515.756999999</v>
      </c>
      <c r="JO22" s="966" t="s">
        <v>544</v>
      </c>
      <c r="JP22" s="966" t="s">
        <v>545</v>
      </c>
      <c r="JQ22" s="966" t="s">
        <v>447</v>
      </c>
      <c r="JR22" s="640" t="s">
        <v>447</v>
      </c>
      <c r="JS22" s="640" t="s">
        <v>547</v>
      </c>
      <c r="JT22" s="971">
        <v>0</v>
      </c>
      <c r="JU22" s="971">
        <v>8701790000</v>
      </c>
      <c r="JV22" s="971">
        <v>8701790000</v>
      </c>
      <c r="JW22" s="945">
        <f t="shared" si="55"/>
        <v>0</v>
      </c>
      <c r="JX22" s="945">
        <f t="shared" si="56"/>
        <v>8701790</v>
      </c>
      <c r="JY22" s="945">
        <f t="shared" si="57"/>
        <v>8701790</v>
      </c>
    </row>
    <row r="23" spans="1:285" ht="15" customHeight="1" x14ac:dyDescent="0.3">
      <c r="A23" s="954" t="s">
        <v>451</v>
      </c>
      <c r="B23" s="954" t="s">
        <v>470</v>
      </c>
      <c r="C23" s="954" t="s">
        <v>447</v>
      </c>
      <c r="D23" s="954" t="s">
        <v>447</v>
      </c>
      <c r="E23" s="955">
        <v>8322980000</v>
      </c>
      <c r="F23" s="955">
        <f t="shared" si="7"/>
        <v>8847327.7400000002</v>
      </c>
      <c r="G23" s="955">
        <v>0</v>
      </c>
      <c r="H23" s="955">
        <f t="shared" si="8"/>
        <v>0</v>
      </c>
      <c r="U23" s="956" t="s">
        <v>666</v>
      </c>
      <c r="V23" s="956" t="s">
        <v>529</v>
      </c>
      <c r="W23" s="956" t="s">
        <v>447</v>
      </c>
      <c r="X23" s="956" t="s">
        <v>447</v>
      </c>
      <c r="Y23" s="957">
        <v>9056909000</v>
      </c>
      <c r="Z23" s="957">
        <f t="shared" si="10"/>
        <v>9627494.2669999991</v>
      </c>
      <c r="AM23" s="956" t="s">
        <v>448</v>
      </c>
      <c r="AN23" s="956" t="s">
        <v>469</v>
      </c>
      <c r="AO23" s="956" t="s">
        <v>447</v>
      </c>
      <c r="AP23" s="956" t="s">
        <v>447</v>
      </c>
      <c r="AQ23" s="957">
        <v>15930849000</v>
      </c>
      <c r="AR23" s="957">
        <f t="shared" si="58"/>
        <v>16934492.487</v>
      </c>
      <c r="AS23" s="957">
        <v>0</v>
      </c>
      <c r="AV23" s="944"/>
      <c r="BG23" s="956" t="s">
        <v>448</v>
      </c>
      <c r="BH23" s="956" t="s">
        <v>469</v>
      </c>
      <c r="BI23" s="956" t="s">
        <v>447</v>
      </c>
      <c r="BJ23" s="956" t="s">
        <v>447</v>
      </c>
      <c r="BK23" s="957">
        <v>15930849000</v>
      </c>
      <c r="BL23" s="957">
        <v>0</v>
      </c>
      <c r="BM23" s="957">
        <v>0</v>
      </c>
      <c r="BN23" s="946">
        <f t="shared" si="1"/>
        <v>16934492.487</v>
      </c>
      <c r="BO23" s="946">
        <f t="shared" si="2"/>
        <v>0</v>
      </c>
      <c r="BP23" s="946">
        <f t="shared" si="3"/>
        <v>0</v>
      </c>
      <c r="CH23" s="637" t="s">
        <v>448</v>
      </c>
      <c r="CI23" s="637" t="s">
        <v>469</v>
      </c>
      <c r="CJ23" s="637" t="s">
        <v>447</v>
      </c>
      <c r="CK23" s="637" t="s">
        <v>447</v>
      </c>
      <c r="CL23" s="639">
        <v>15930849000</v>
      </c>
      <c r="CM23" s="639">
        <v>0</v>
      </c>
      <c r="CN23" s="639">
        <v>0</v>
      </c>
      <c r="CO23" s="961">
        <f t="shared" si="15"/>
        <v>15930849</v>
      </c>
      <c r="CP23" s="961">
        <f t="shared" si="16"/>
        <v>0</v>
      </c>
      <c r="CQ23" s="961">
        <f t="shared" si="17"/>
        <v>0</v>
      </c>
      <c r="CU23" s="637" t="s">
        <v>667</v>
      </c>
      <c r="CV23" s="637" t="s">
        <v>634</v>
      </c>
      <c r="CW23" s="637" t="s">
        <v>447</v>
      </c>
      <c r="CX23" s="637" t="s">
        <v>447</v>
      </c>
      <c r="CY23" s="639">
        <v>30857314736</v>
      </c>
      <c r="CZ23" s="639">
        <v>0</v>
      </c>
      <c r="DA23" s="639">
        <v>0</v>
      </c>
      <c r="DB23" s="944">
        <f t="shared" si="18"/>
        <v>30857314.736000001</v>
      </c>
      <c r="DC23" s="944">
        <f t="shared" si="19"/>
        <v>0</v>
      </c>
      <c r="DD23" s="944">
        <f t="shared" si="20"/>
        <v>0</v>
      </c>
      <c r="DH23" s="637" t="s">
        <v>448</v>
      </c>
      <c r="DI23" s="637" t="s">
        <v>469</v>
      </c>
      <c r="DJ23" s="637" t="s">
        <v>447</v>
      </c>
      <c r="DK23" s="637" t="s">
        <v>447</v>
      </c>
      <c r="DL23" s="639">
        <v>15930849000</v>
      </c>
      <c r="DM23" s="639">
        <v>0</v>
      </c>
      <c r="DN23" s="639">
        <v>0</v>
      </c>
      <c r="DO23" s="944">
        <f t="shared" si="21"/>
        <v>15930849</v>
      </c>
      <c r="DP23" s="944">
        <f t="shared" si="22"/>
        <v>0</v>
      </c>
      <c r="DQ23" s="944">
        <f t="shared" si="23"/>
        <v>0</v>
      </c>
      <c r="EI23" s="637" t="s">
        <v>448</v>
      </c>
      <c r="EJ23" s="637" t="s">
        <v>469</v>
      </c>
      <c r="EK23" s="637" t="s">
        <v>447</v>
      </c>
      <c r="EL23" s="637" t="s">
        <v>447</v>
      </c>
      <c r="EM23" s="637" t="s">
        <v>547</v>
      </c>
      <c r="EN23" s="637">
        <v>15930849000</v>
      </c>
      <c r="EO23" s="637">
        <v>0</v>
      </c>
      <c r="EP23" s="637">
        <v>0</v>
      </c>
      <c r="EQ23" s="966">
        <f t="shared" si="27"/>
        <v>15930849</v>
      </c>
      <c r="ER23" s="966">
        <f t="shared" si="28"/>
        <v>0</v>
      </c>
      <c r="ES23" s="966">
        <f t="shared" si="29"/>
        <v>0</v>
      </c>
      <c r="EW23" s="637" t="s">
        <v>668</v>
      </c>
      <c r="EX23" s="637" t="s">
        <v>669</v>
      </c>
      <c r="EY23" s="637" t="s">
        <v>447</v>
      </c>
      <c r="EZ23" s="637" t="s">
        <v>447</v>
      </c>
      <c r="FA23" s="638" t="s">
        <v>547</v>
      </c>
      <c r="FB23" s="966">
        <v>0</v>
      </c>
      <c r="FC23" s="966">
        <v>0</v>
      </c>
      <c r="FD23" s="966">
        <v>0</v>
      </c>
      <c r="FE23" s="966">
        <f t="shared" si="30"/>
        <v>0</v>
      </c>
      <c r="FF23" s="966">
        <f t="shared" si="31"/>
        <v>0</v>
      </c>
      <c r="FG23" s="966">
        <f t="shared" si="32"/>
        <v>0</v>
      </c>
      <c r="FK23" s="637" t="s">
        <v>448</v>
      </c>
      <c r="FL23" s="637" t="s">
        <v>469</v>
      </c>
      <c r="FM23" s="637" t="s">
        <v>447</v>
      </c>
      <c r="FN23" s="637" t="s">
        <v>447</v>
      </c>
      <c r="FO23" s="637" t="s">
        <v>547</v>
      </c>
      <c r="FP23" s="966">
        <v>15930849000</v>
      </c>
      <c r="FQ23" s="966">
        <v>0</v>
      </c>
      <c r="FR23" s="966">
        <v>0</v>
      </c>
      <c r="FS23" s="944">
        <f t="shared" si="33"/>
        <v>15930849</v>
      </c>
      <c r="FT23" s="944">
        <f t="shared" si="34"/>
        <v>0</v>
      </c>
      <c r="FU23" s="944">
        <f t="shared" si="35"/>
        <v>0</v>
      </c>
      <c r="FY23" s="637" t="s">
        <v>667</v>
      </c>
      <c r="FZ23" s="637" t="s">
        <v>634</v>
      </c>
      <c r="GA23" s="637" t="s">
        <v>447</v>
      </c>
      <c r="GB23" s="637" t="s">
        <v>447</v>
      </c>
      <c r="GC23" s="638" t="s">
        <v>547</v>
      </c>
      <c r="GD23" s="639">
        <v>0</v>
      </c>
      <c r="GE23" s="639">
        <v>323679441</v>
      </c>
      <c r="GF23" s="639">
        <v>323679441</v>
      </c>
      <c r="GG23" s="966">
        <f t="shared" si="36"/>
        <v>0</v>
      </c>
      <c r="GH23" s="966">
        <f t="shared" si="37"/>
        <v>323679.44099999999</v>
      </c>
      <c r="GI23" s="966">
        <f t="shared" si="38"/>
        <v>323679.44099999999</v>
      </c>
      <c r="GM23" s="967" t="s">
        <v>448</v>
      </c>
      <c r="GN23" s="968" t="s">
        <v>469</v>
      </c>
      <c r="GO23" s="967" t="s">
        <v>447</v>
      </c>
      <c r="GP23" s="967" t="s">
        <v>447</v>
      </c>
      <c r="GQ23" s="968" t="s">
        <v>547</v>
      </c>
      <c r="GR23" s="969">
        <v>15930849000</v>
      </c>
      <c r="GS23" s="969">
        <v>0</v>
      </c>
      <c r="GT23" s="969">
        <v>0</v>
      </c>
      <c r="GU23" s="969">
        <f t="shared" si="39"/>
        <v>15930849</v>
      </c>
      <c r="GV23" s="969">
        <f t="shared" si="40"/>
        <v>0</v>
      </c>
      <c r="GW23" s="969">
        <f t="shared" si="41"/>
        <v>0</v>
      </c>
      <c r="HK23" s="942">
        <f>SUM(HK3:HK22)</f>
        <v>14920395.665000003</v>
      </c>
      <c r="HO23" s="967" t="s">
        <v>448</v>
      </c>
      <c r="HP23" s="967" t="s">
        <v>469</v>
      </c>
      <c r="HQ23" s="967" t="s">
        <v>447</v>
      </c>
      <c r="HR23" s="967" t="s">
        <v>447</v>
      </c>
      <c r="HS23" s="638" t="s">
        <v>547</v>
      </c>
      <c r="HT23" s="639">
        <v>15930849000</v>
      </c>
      <c r="HU23" s="639">
        <v>0</v>
      </c>
      <c r="HV23" s="639">
        <v>0</v>
      </c>
      <c r="HW23" s="944">
        <f t="shared" si="45"/>
        <v>15930849</v>
      </c>
      <c r="HX23" s="944">
        <f t="shared" si="46"/>
        <v>0</v>
      </c>
      <c r="HY23" s="944">
        <f t="shared" si="47"/>
        <v>0</v>
      </c>
      <c r="IC23" s="637" t="s">
        <v>659</v>
      </c>
      <c r="ID23" s="637" t="s">
        <v>221</v>
      </c>
      <c r="IE23" s="637" t="s">
        <v>447</v>
      </c>
      <c r="IF23" s="637" t="s">
        <v>447</v>
      </c>
      <c r="IG23" s="638" t="s">
        <v>547</v>
      </c>
      <c r="IH23" s="639">
        <v>0</v>
      </c>
      <c r="II23" s="639">
        <v>4276873346</v>
      </c>
      <c r="IJ23" s="639">
        <v>3673917336</v>
      </c>
      <c r="IK23" s="965">
        <f t="shared" si="48"/>
        <v>0</v>
      </c>
      <c r="IL23" s="965">
        <f t="shared" si="49"/>
        <v>4276873.3459999999</v>
      </c>
      <c r="IM23" s="965">
        <f t="shared" si="50"/>
        <v>3673917.3360000001</v>
      </c>
      <c r="IQ23" s="967" t="s">
        <v>656</v>
      </c>
      <c r="IR23" s="967" t="s">
        <v>657</v>
      </c>
      <c r="IS23" s="967" t="s">
        <v>447</v>
      </c>
      <c r="IT23" s="967" t="s">
        <v>447</v>
      </c>
      <c r="IU23" s="968" t="s">
        <v>547</v>
      </c>
      <c r="IV23" s="969">
        <v>0</v>
      </c>
      <c r="IW23" s="969">
        <v>0</v>
      </c>
      <c r="IX23" s="969">
        <v>0</v>
      </c>
      <c r="IY23" s="970">
        <f t="shared" si="51"/>
        <v>0</v>
      </c>
      <c r="IZ23" s="970">
        <f t="shared" si="52"/>
        <v>0</v>
      </c>
      <c r="JA23" s="970">
        <f t="shared" si="53"/>
        <v>0</v>
      </c>
      <c r="JE23" s="968" t="s">
        <v>668</v>
      </c>
      <c r="JF23" s="968" t="s">
        <v>669</v>
      </c>
      <c r="JG23" s="968" t="s">
        <v>447</v>
      </c>
      <c r="JH23" s="968" t="s">
        <v>447</v>
      </c>
      <c r="JI23" s="638" t="s">
        <v>547</v>
      </c>
      <c r="JJ23" s="639">
        <v>8531539632</v>
      </c>
      <c r="JK23" s="944">
        <f t="shared" si="54"/>
        <v>8531539.6319999993</v>
      </c>
      <c r="JO23" s="966" t="s">
        <v>656</v>
      </c>
      <c r="JP23" s="966" t="s">
        <v>657</v>
      </c>
      <c r="JQ23" s="966" t="s">
        <v>447</v>
      </c>
      <c r="JR23" s="640" t="s">
        <v>447</v>
      </c>
      <c r="JS23" s="640" t="s">
        <v>547</v>
      </c>
      <c r="JT23" s="971">
        <v>0</v>
      </c>
      <c r="JU23" s="971">
        <v>0</v>
      </c>
      <c r="JV23" s="971">
        <v>0</v>
      </c>
      <c r="JW23" s="945">
        <f t="shared" si="55"/>
        <v>0</v>
      </c>
      <c r="JX23" s="945">
        <f t="shared" si="56"/>
        <v>0</v>
      </c>
      <c r="JY23" s="945">
        <f t="shared" si="57"/>
        <v>0</v>
      </c>
    </row>
    <row r="24" spans="1:285" ht="15" customHeight="1" x14ac:dyDescent="0.3">
      <c r="A24" s="954" t="s">
        <v>659</v>
      </c>
      <c r="B24" s="954" t="s">
        <v>221</v>
      </c>
      <c r="C24" s="954" t="s">
        <v>447</v>
      </c>
      <c r="D24" s="954" t="s">
        <v>447</v>
      </c>
      <c r="E24" s="955">
        <v>12345937500</v>
      </c>
      <c r="F24" s="955">
        <f t="shared" si="7"/>
        <v>13123731.5625</v>
      </c>
      <c r="G24" s="955">
        <v>0</v>
      </c>
      <c r="H24" s="955">
        <f t="shared" si="8"/>
        <v>0</v>
      </c>
      <c r="U24" s="956" t="s">
        <v>667</v>
      </c>
      <c r="V24" s="956" t="s">
        <v>634</v>
      </c>
      <c r="W24" s="956" t="s">
        <v>447</v>
      </c>
      <c r="X24" s="956" t="s">
        <v>447</v>
      </c>
      <c r="Y24" s="957">
        <v>12647240000</v>
      </c>
      <c r="Z24" s="957">
        <f t="shared" si="10"/>
        <v>13444016.119999999</v>
      </c>
      <c r="AM24" s="956" t="s">
        <v>451</v>
      </c>
      <c r="AN24" s="956" t="s">
        <v>470</v>
      </c>
      <c r="AO24" s="956" t="s">
        <v>447</v>
      </c>
      <c r="AP24" s="956" t="s">
        <v>447</v>
      </c>
      <c r="AQ24" s="957">
        <v>4161496000</v>
      </c>
      <c r="AR24" s="957">
        <f t="shared" si="58"/>
        <v>4423670.2479999997</v>
      </c>
      <c r="AS24" s="957">
        <v>0</v>
      </c>
      <c r="AV24" s="944"/>
      <c r="BG24" s="956" t="s">
        <v>451</v>
      </c>
      <c r="BH24" s="956" t="s">
        <v>470</v>
      </c>
      <c r="BI24" s="956" t="s">
        <v>447</v>
      </c>
      <c r="BJ24" s="956" t="s">
        <v>447</v>
      </c>
      <c r="BK24" s="957">
        <v>4161496000</v>
      </c>
      <c r="BL24" s="957">
        <v>0</v>
      </c>
      <c r="BM24" s="957">
        <v>0</v>
      </c>
      <c r="BN24" s="946">
        <f t="shared" si="1"/>
        <v>4423670.2479999997</v>
      </c>
      <c r="BO24" s="946">
        <f t="shared" si="2"/>
        <v>0</v>
      </c>
      <c r="BP24" s="946">
        <f t="shared" si="3"/>
        <v>0</v>
      </c>
      <c r="CH24" s="637" t="s">
        <v>451</v>
      </c>
      <c r="CI24" s="637" t="s">
        <v>470</v>
      </c>
      <c r="CJ24" s="637" t="s">
        <v>447</v>
      </c>
      <c r="CK24" s="637" t="s">
        <v>447</v>
      </c>
      <c r="CL24" s="639">
        <v>4161496000</v>
      </c>
      <c r="CM24" s="639">
        <v>0</v>
      </c>
      <c r="CN24" s="639">
        <v>0</v>
      </c>
      <c r="CO24" s="961">
        <f t="shared" si="15"/>
        <v>4161496</v>
      </c>
      <c r="CP24" s="961">
        <f t="shared" si="16"/>
        <v>0</v>
      </c>
      <c r="CQ24" s="961">
        <f t="shared" si="17"/>
        <v>0</v>
      </c>
      <c r="CU24" s="637" t="s">
        <v>667</v>
      </c>
      <c r="CV24" s="637" t="s">
        <v>634</v>
      </c>
      <c r="CW24" s="637" t="s">
        <v>447</v>
      </c>
      <c r="CX24" s="637" t="s">
        <v>447</v>
      </c>
      <c r="CY24" s="639">
        <v>0</v>
      </c>
      <c r="CZ24" s="639">
        <v>155024875</v>
      </c>
      <c r="DA24" s="639">
        <v>185102306</v>
      </c>
      <c r="DB24" s="944">
        <f t="shared" si="18"/>
        <v>0</v>
      </c>
      <c r="DC24" s="944">
        <f t="shared" si="19"/>
        <v>155024.875</v>
      </c>
      <c r="DD24" s="944">
        <f t="shared" si="20"/>
        <v>185102.30600000001</v>
      </c>
      <c r="DH24" s="637" t="s">
        <v>451</v>
      </c>
      <c r="DI24" s="637" t="s">
        <v>470</v>
      </c>
      <c r="DJ24" s="637" t="s">
        <v>447</v>
      </c>
      <c r="DK24" s="637" t="s">
        <v>447</v>
      </c>
      <c r="DL24" s="639">
        <v>7700863000</v>
      </c>
      <c r="DM24" s="639">
        <v>0</v>
      </c>
      <c r="DN24" s="639">
        <v>0</v>
      </c>
      <c r="DO24" s="944">
        <f t="shared" si="21"/>
        <v>7700863</v>
      </c>
      <c r="DP24" s="944">
        <f t="shared" si="22"/>
        <v>0</v>
      </c>
      <c r="DQ24" s="944">
        <f t="shared" si="23"/>
        <v>0</v>
      </c>
      <c r="EI24" s="637" t="s">
        <v>448</v>
      </c>
      <c r="EJ24" s="637" t="s">
        <v>469</v>
      </c>
      <c r="EK24" s="637" t="s">
        <v>447</v>
      </c>
      <c r="EL24" s="637" t="s">
        <v>447</v>
      </c>
      <c r="EM24" s="637" t="s">
        <v>547</v>
      </c>
      <c r="EN24" s="637">
        <v>0</v>
      </c>
      <c r="EO24" s="637">
        <v>15930849000</v>
      </c>
      <c r="EP24" s="637">
        <v>4882361192</v>
      </c>
      <c r="EQ24" s="966">
        <f t="shared" si="27"/>
        <v>0</v>
      </c>
      <c r="ER24" s="966">
        <f t="shared" si="28"/>
        <v>15930849</v>
      </c>
      <c r="ES24" s="966">
        <f t="shared" si="29"/>
        <v>4882361.1919999998</v>
      </c>
      <c r="FG24" s="947">
        <f>SUM(FG3:FG23)</f>
        <v>67027571.594000004</v>
      </c>
      <c r="FK24" s="637" t="s">
        <v>448</v>
      </c>
      <c r="FL24" s="637" t="s">
        <v>469</v>
      </c>
      <c r="FM24" s="637" t="s">
        <v>447</v>
      </c>
      <c r="FN24" s="637" t="s">
        <v>447</v>
      </c>
      <c r="FO24" s="637" t="s">
        <v>547</v>
      </c>
      <c r="FP24" s="966">
        <v>0</v>
      </c>
      <c r="FQ24" s="966">
        <v>15930849000</v>
      </c>
      <c r="FR24" s="966">
        <v>9809972598</v>
      </c>
      <c r="FS24" s="944">
        <f t="shared" si="33"/>
        <v>0</v>
      </c>
      <c r="FT24" s="944">
        <f t="shared" si="34"/>
        <v>15930849</v>
      </c>
      <c r="FU24" s="944">
        <f t="shared" si="35"/>
        <v>9809972.5979999993</v>
      </c>
      <c r="FY24" s="637" t="s">
        <v>667</v>
      </c>
      <c r="FZ24" s="637" t="s">
        <v>634</v>
      </c>
      <c r="GA24" s="637" t="s">
        <v>447</v>
      </c>
      <c r="GB24" s="637" t="s">
        <v>447</v>
      </c>
      <c r="GC24" s="638" t="s">
        <v>547</v>
      </c>
      <c r="GD24" s="639">
        <v>-6157969648</v>
      </c>
      <c r="GE24" s="639">
        <v>0</v>
      </c>
      <c r="GF24" s="639">
        <v>0</v>
      </c>
      <c r="GG24" s="966">
        <f t="shared" si="36"/>
        <v>-6157969.648</v>
      </c>
      <c r="GH24" s="966">
        <f t="shared" si="37"/>
        <v>0</v>
      </c>
      <c r="GI24" s="966">
        <f t="shared" si="38"/>
        <v>0</v>
      </c>
      <c r="GM24" s="967" t="s">
        <v>448</v>
      </c>
      <c r="GN24" s="968" t="s">
        <v>469</v>
      </c>
      <c r="GO24" s="967" t="s">
        <v>447</v>
      </c>
      <c r="GP24" s="967" t="s">
        <v>447</v>
      </c>
      <c r="GQ24" s="968" t="s">
        <v>547</v>
      </c>
      <c r="GR24" s="969">
        <v>0</v>
      </c>
      <c r="GS24" s="969">
        <v>15930849000</v>
      </c>
      <c r="GT24" s="969">
        <v>11450125825</v>
      </c>
      <c r="GU24" s="969">
        <f t="shared" si="39"/>
        <v>0</v>
      </c>
      <c r="GV24" s="969">
        <f t="shared" si="40"/>
        <v>15930849</v>
      </c>
      <c r="GW24" s="969">
        <f t="shared" si="41"/>
        <v>11450125.824999999</v>
      </c>
      <c r="HO24" s="967" t="s">
        <v>448</v>
      </c>
      <c r="HP24" s="967" t="s">
        <v>469</v>
      </c>
      <c r="HQ24" s="967" t="s">
        <v>447</v>
      </c>
      <c r="HR24" s="967" t="s">
        <v>447</v>
      </c>
      <c r="HS24" s="638" t="s">
        <v>547</v>
      </c>
      <c r="HT24" s="639">
        <v>0</v>
      </c>
      <c r="HU24" s="639">
        <v>15930849000</v>
      </c>
      <c r="HV24" s="639">
        <v>13520508490</v>
      </c>
      <c r="HW24" s="944">
        <f t="shared" si="45"/>
        <v>0</v>
      </c>
      <c r="HX24" s="944">
        <f t="shared" si="46"/>
        <v>15930849</v>
      </c>
      <c r="HY24" s="944">
        <f t="shared" si="47"/>
        <v>13520508.49</v>
      </c>
      <c r="IC24" s="637" t="s">
        <v>659</v>
      </c>
      <c r="ID24" s="637" t="s">
        <v>221</v>
      </c>
      <c r="IE24" s="637" t="s">
        <v>447</v>
      </c>
      <c r="IF24" s="637" t="s">
        <v>447</v>
      </c>
      <c r="IG24" s="638" t="s">
        <v>547</v>
      </c>
      <c r="IH24" s="639">
        <v>-3000000000</v>
      </c>
      <c r="II24" s="639">
        <v>0</v>
      </c>
      <c r="IJ24" s="639">
        <v>0</v>
      </c>
      <c r="IK24" s="965">
        <f t="shared" si="48"/>
        <v>-3000000</v>
      </c>
      <c r="IL24" s="965">
        <f t="shared" si="49"/>
        <v>0</v>
      </c>
      <c r="IM24" s="965">
        <f t="shared" si="50"/>
        <v>0</v>
      </c>
      <c r="IQ24" s="967" t="s">
        <v>450</v>
      </c>
      <c r="IR24" s="967" t="s">
        <v>142</v>
      </c>
      <c r="IS24" s="967" t="s">
        <v>447</v>
      </c>
      <c r="IT24" s="967" t="s">
        <v>447</v>
      </c>
      <c r="IU24" s="968" t="s">
        <v>547</v>
      </c>
      <c r="IV24" s="969">
        <v>9151948000</v>
      </c>
      <c r="IW24" s="969">
        <v>0</v>
      </c>
      <c r="IX24" s="969">
        <v>0</v>
      </c>
      <c r="IY24" s="970">
        <f t="shared" ref="IY24:IY55" si="59">+IV24/$JB$2*$JC$2</f>
        <v>9151948</v>
      </c>
      <c r="IZ24" s="970">
        <f t="shared" ref="IZ24:IZ55" si="60">+IW24/$JB$2*$JC$2</f>
        <v>0</v>
      </c>
      <c r="JA24" s="970">
        <f t="shared" ref="JA24:JA55" si="61">+IX24/$JB$2*$JC$2</f>
        <v>0</v>
      </c>
      <c r="JE24" s="941"/>
      <c r="JF24" s="941"/>
      <c r="JG24" s="941"/>
      <c r="JH24" s="941"/>
      <c r="JK24" s="947"/>
      <c r="JO24" s="966" t="s">
        <v>450</v>
      </c>
      <c r="JP24" s="966" t="s">
        <v>142</v>
      </c>
      <c r="JQ24" s="966" t="s">
        <v>447</v>
      </c>
      <c r="JR24" s="640" t="s">
        <v>447</v>
      </c>
      <c r="JS24" s="640" t="s">
        <v>547</v>
      </c>
      <c r="JT24" s="971">
        <v>0</v>
      </c>
      <c r="JU24" s="971">
        <v>0</v>
      </c>
      <c r="JV24" s="971">
        <v>0</v>
      </c>
      <c r="JW24" s="945">
        <f t="shared" si="55"/>
        <v>0</v>
      </c>
      <c r="JX24" s="945">
        <f t="shared" si="56"/>
        <v>0</v>
      </c>
      <c r="JY24" s="945">
        <f t="shared" si="57"/>
        <v>0</v>
      </c>
    </row>
    <row r="25" spans="1:285" ht="15" customHeight="1" x14ac:dyDescent="0.3">
      <c r="A25" s="954" t="s">
        <v>660</v>
      </c>
      <c r="B25" s="954" t="s">
        <v>154</v>
      </c>
      <c r="C25" s="954" t="s">
        <v>447</v>
      </c>
      <c r="D25" s="954" t="s">
        <v>447</v>
      </c>
      <c r="E25" s="955">
        <v>20598777500</v>
      </c>
      <c r="F25" s="955">
        <f t="shared" si="7"/>
        <v>21896500.482499998</v>
      </c>
      <c r="G25" s="955">
        <v>0</v>
      </c>
      <c r="H25" s="955">
        <f t="shared" si="8"/>
        <v>0</v>
      </c>
      <c r="U25" s="956" t="s">
        <v>668</v>
      </c>
      <c r="V25" s="956" t="s">
        <v>669</v>
      </c>
      <c r="W25" s="956" t="s">
        <v>447</v>
      </c>
      <c r="X25" s="956" t="s">
        <v>447</v>
      </c>
      <c r="Y25" s="957">
        <v>13787455000</v>
      </c>
      <c r="Z25" s="957">
        <f t="shared" si="10"/>
        <v>14656064.664999999</v>
      </c>
      <c r="AM25" s="956" t="s">
        <v>451</v>
      </c>
      <c r="AN25" s="956" t="s">
        <v>470</v>
      </c>
      <c r="AO25" s="956" t="s">
        <v>447</v>
      </c>
      <c r="AP25" s="956" t="s">
        <v>447</v>
      </c>
      <c r="AQ25" s="957">
        <v>4161484000</v>
      </c>
      <c r="AR25" s="957">
        <f t="shared" si="58"/>
        <v>4423657.4919999996</v>
      </c>
      <c r="AS25" s="957">
        <v>0</v>
      </c>
      <c r="AV25" s="944"/>
      <c r="BG25" s="956" t="s">
        <v>451</v>
      </c>
      <c r="BH25" s="956" t="s">
        <v>470</v>
      </c>
      <c r="BI25" s="956" t="s">
        <v>447</v>
      </c>
      <c r="BJ25" s="956" t="s">
        <v>447</v>
      </c>
      <c r="BK25" s="957">
        <v>4161484000</v>
      </c>
      <c r="BL25" s="957">
        <v>0</v>
      </c>
      <c r="BM25" s="957">
        <v>0</v>
      </c>
      <c r="BN25" s="946">
        <f t="shared" si="1"/>
        <v>4423657.4919999996</v>
      </c>
      <c r="BO25" s="946">
        <f t="shared" si="2"/>
        <v>0</v>
      </c>
      <c r="BP25" s="946">
        <f t="shared" si="3"/>
        <v>0</v>
      </c>
      <c r="CH25" s="637" t="s">
        <v>451</v>
      </c>
      <c r="CI25" s="637" t="s">
        <v>470</v>
      </c>
      <c r="CJ25" s="637" t="s">
        <v>447</v>
      </c>
      <c r="CK25" s="637" t="s">
        <v>447</v>
      </c>
      <c r="CL25" s="639">
        <v>4161484000</v>
      </c>
      <c r="CM25" s="639">
        <v>0</v>
      </c>
      <c r="CN25" s="639">
        <v>0</v>
      </c>
      <c r="CO25" s="961">
        <f t="shared" si="15"/>
        <v>4161484</v>
      </c>
      <c r="CP25" s="961">
        <f t="shared" si="16"/>
        <v>0</v>
      </c>
      <c r="CQ25" s="961">
        <f t="shared" si="17"/>
        <v>0</v>
      </c>
      <c r="CU25" s="637" t="s">
        <v>452</v>
      </c>
      <c r="CV25" s="637" t="s">
        <v>128</v>
      </c>
      <c r="CW25" s="637" t="s">
        <v>447</v>
      </c>
      <c r="CX25" s="637" t="s">
        <v>447</v>
      </c>
      <c r="CY25" s="639">
        <v>467081000</v>
      </c>
      <c r="CZ25" s="639">
        <v>0</v>
      </c>
      <c r="DA25" s="639">
        <v>0</v>
      </c>
      <c r="DB25" s="944">
        <f t="shared" si="18"/>
        <v>467081</v>
      </c>
      <c r="DC25" s="944">
        <f t="shared" si="19"/>
        <v>0</v>
      </c>
      <c r="DD25" s="944">
        <f t="shared" si="20"/>
        <v>0</v>
      </c>
      <c r="DH25" s="637" t="s">
        <v>451</v>
      </c>
      <c r="DI25" s="637" t="s">
        <v>470</v>
      </c>
      <c r="DJ25" s="637" t="s">
        <v>447</v>
      </c>
      <c r="DK25" s="637" t="s">
        <v>447</v>
      </c>
      <c r="DL25" s="639">
        <v>4161484000</v>
      </c>
      <c r="DM25" s="639">
        <v>0</v>
      </c>
      <c r="DN25" s="639">
        <v>0</v>
      </c>
      <c r="DO25" s="944">
        <f t="shared" si="21"/>
        <v>4161484</v>
      </c>
      <c r="DP25" s="944">
        <f t="shared" si="22"/>
        <v>0</v>
      </c>
      <c r="DQ25" s="944">
        <f t="shared" si="23"/>
        <v>0</v>
      </c>
      <c r="EI25" s="637" t="s">
        <v>451</v>
      </c>
      <c r="EJ25" s="637" t="s">
        <v>470</v>
      </c>
      <c r="EK25" s="637" t="s">
        <v>447</v>
      </c>
      <c r="EL25" s="637" t="s">
        <v>447</v>
      </c>
      <c r="EM25" s="637" t="s">
        <v>547</v>
      </c>
      <c r="EN25" s="637">
        <v>7700863000</v>
      </c>
      <c r="EO25" s="637">
        <v>0</v>
      </c>
      <c r="EP25" s="637">
        <v>0</v>
      </c>
      <c r="EQ25" s="966">
        <f t="shared" si="27"/>
        <v>7700863</v>
      </c>
      <c r="ER25" s="966">
        <f t="shared" si="28"/>
        <v>0</v>
      </c>
      <c r="ES25" s="966">
        <f t="shared" si="29"/>
        <v>0</v>
      </c>
      <c r="FK25" s="637" t="s">
        <v>451</v>
      </c>
      <c r="FL25" s="637" t="s">
        <v>470</v>
      </c>
      <c r="FM25" s="637" t="s">
        <v>447</v>
      </c>
      <c r="FN25" s="637" t="s">
        <v>447</v>
      </c>
      <c r="FO25" s="637" t="s">
        <v>547</v>
      </c>
      <c r="FP25" s="966">
        <v>12341654000</v>
      </c>
      <c r="FQ25" s="966">
        <v>0</v>
      </c>
      <c r="FR25" s="966">
        <v>0</v>
      </c>
      <c r="FS25" s="944">
        <f t="shared" si="33"/>
        <v>12341654</v>
      </c>
      <c r="FT25" s="944">
        <f t="shared" si="34"/>
        <v>0</v>
      </c>
      <c r="FU25" s="944">
        <f t="shared" si="35"/>
        <v>0</v>
      </c>
      <c r="GG25" s="944"/>
      <c r="GH25" s="944"/>
      <c r="GI25" s="944"/>
      <c r="GM25" s="967" t="s">
        <v>451</v>
      </c>
      <c r="GN25" s="968" t="s">
        <v>470</v>
      </c>
      <c r="GO25" s="967" t="s">
        <v>447</v>
      </c>
      <c r="GP25" s="967" t="s">
        <v>447</v>
      </c>
      <c r="GQ25" s="968" t="s">
        <v>547</v>
      </c>
      <c r="GR25" s="969">
        <v>12341654000</v>
      </c>
      <c r="GS25" s="969">
        <v>0</v>
      </c>
      <c r="GT25" s="969">
        <v>0</v>
      </c>
      <c r="GU25" s="969">
        <f t="shared" si="39"/>
        <v>12341654</v>
      </c>
      <c r="GV25" s="969">
        <f t="shared" si="40"/>
        <v>0</v>
      </c>
      <c r="GW25" s="969">
        <f t="shared" si="41"/>
        <v>0</v>
      </c>
      <c r="HO25" s="967" t="s">
        <v>451</v>
      </c>
      <c r="HP25" s="967" t="s">
        <v>470</v>
      </c>
      <c r="HQ25" s="967" t="s">
        <v>447</v>
      </c>
      <c r="HR25" s="967" t="s">
        <v>447</v>
      </c>
      <c r="HS25" s="638" t="s">
        <v>547</v>
      </c>
      <c r="HT25" s="639">
        <v>12341654000</v>
      </c>
      <c r="HU25" s="639">
        <v>0</v>
      </c>
      <c r="HV25" s="639">
        <v>0</v>
      </c>
      <c r="HW25" s="944">
        <f t="shared" si="45"/>
        <v>12341654</v>
      </c>
      <c r="HX25" s="944">
        <f t="shared" si="46"/>
        <v>0</v>
      </c>
      <c r="HY25" s="944">
        <f t="shared" si="47"/>
        <v>0</v>
      </c>
      <c r="IC25" s="637" t="s">
        <v>660</v>
      </c>
      <c r="ID25" s="637" t="s">
        <v>154</v>
      </c>
      <c r="IE25" s="637" t="s">
        <v>447</v>
      </c>
      <c r="IF25" s="637" t="s">
        <v>447</v>
      </c>
      <c r="IG25" s="638" t="s">
        <v>547</v>
      </c>
      <c r="IH25" s="639">
        <v>70000000</v>
      </c>
      <c r="II25" s="639">
        <v>0</v>
      </c>
      <c r="IJ25" s="639">
        <v>0</v>
      </c>
      <c r="IK25" s="965">
        <f t="shared" si="48"/>
        <v>70000</v>
      </c>
      <c r="IL25" s="965">
        <f t="shared" si="49"/>
        <v>0</v>
      </c>
      <c r="IM25" s="965">
        <f t="shared" si="50"/>
        <v>0</v>
      </c>
      <c r="IQ25" s="967" t="s">
        <v>506</v>
      </c>
      <c r="IR25" s="967" t="s">
        <v>507</v>
      </c>
      <c r="IS25" s="967" t="s">
        <v>447</v>
      </c>
      <c r="IT25" s="967" t="s">
        <v>447</v>
      </c>
      <c r="IU25" s="968" t="s">
        <v>547</v>
      </c>
      <c r="IV25" s="969">
        <v>881025000</v>
      </c>
      <c r="IW25" s="969">
        <v>0</v>
      </c>
      <c r="IX25" s="969">
        <v>0</v>
      </c>
      <c r="IY25" s="970">
        <f t="shared" si="59"/>
        <v>881025</v>
      </c>
      <c r="IZ25" s="970">
        <f t="shared" si="60"/>
        <v>0</v>
      </c>
      <c r="JA25" s="970">
        <f t="shared" si="61"/>
        <v>0</v>
      </c>
      <c r="JE25" s="941"/>
      <c r="JF25" s="941"/>
      <c r="JG25" s="941"/>
      <c r="JH25" s="941"/>
      <c r="JK25" s="949"/>
      <c r="JO25" s="966" t="s">
        <v>506</v>
      </c>
      <c r="JP25" s="966" t="s">
        <v>507</v>
      </c>
      <c r="JQ25" s="966" t="s">
        <v>447</v>
      </c>
      <c r="JR25" s="640" t="s">
        <v>447</v>
      </c>
      <c r="JS25" s="640" t="s">
        <v>547</v>
      </c>
      <c r="JT25" s="971">
        <v>881025000</v>
      </c>
      <c r="JU25" s="971">
        <v>0</v>
      </c>
      <c r="JV25" s="971">
        <v>0</v>
      </c>
      <c r="JW25" s="945">
        <f t="shared" si="55"/>
        <v>881025</v>
      </c>
      <c r="JX25" s="945">
        <f t="shared" si="56"/>
        <v>0</v>
      </c>
      <c r="JY25" s="945">
        <f t="shared" si="57"/>
        <v>0</v>
      </c>
    </row>
    <row r="26" spans="1:285" ht="15" customHeight="1" x14ac:dyDescent="0.3">
      <c r="A26" s="954" t="s">
        <v>660</v>
      </c>
      <c r="B26" s="954" t="s">
        <v>154</v>
      </c>
      <c r="C26" s="954" t="s">
        <v>447</v>
      </c>
      <c r="D26" s="954" t="s">
        <v>447</v>
      </c>
      <c r="E26" s="955">
        <v>0</v>
      </c>
      <c r="F26" s="955">
        <f t="shared" si="7"/>
        <v>0</v>
      </c>
      <c r="G26" s="955">
        <v>107727136</v>
      </c>
      <c r="H26" s="955">
        <f t="shared" si="8"/>
        <v>114513.945568</v>
      </c>
      <c r="U26" s="956" t="s">
        <v>452</v>
      </c>
      <c r="V26" s="956" t="s">
        <v>128</v>
      </c>
      <c r="W26" s="956" t="s">
        <v>447</v>
      </c>
      <c r="X26" s="956" t="s">
        <v>447</v>
      </c>
      <c r="Y26" s="957">
        <v>10000</v>
      </c>
      <c r="Z26" s="957">
        <f t="shared" si="10"/>
        <v>10.629999999999999</v>
      </c>
      <c r="AM26" s="956" t="s">
        <v>451</v>
      </c>
      <c r="AN26" s="956" t="s">
        <v>470</v>
      </c>
      <c r="AO26" s="956" t="s">
        <v>447</v>
      </c>
      <c r="AP26" s="956" t="s">
        <v>447</v>
      </c>
      <c r="AQ26" s="957">
        <v>0</v>
      </c>
      <c r="AR26" s="957">
        <f t="shared" si="58"/>
        <v>0</v>
      </c>
      <c r="AS26" s="957">
        <v>257386764</v>
      </c>
      <c r="AV26" s="944"/>
      <c r="BG26" s="956" t="s">
        <v>451</v>
      </c>
      <c r="BH26" s="956" t="s">
        <v>470</v>
      </c>
      <c r="BI26" s="956" t="s">
        <v>447</v>
      </c>
      <c r="BJ26" s="956" t="s">
        <v>447</v>
      </c>
      <c r="BK26" s="957">
        <v>0</v>
      </c>
      <c r="BL26" s="957">
        <v>977652242</v>
      </c>
      <c r="BM26" s="957">
        <v>477386764</v>
      </c>
      <c r="BN26" s="946">
        <f t="shared" si="1"/>
        <v>0</v>
      </c>
      <c r="BO26" s="946">
        <f t="shared" si="2"/>
        <v>1039244.3332459999</v>
      </c>
      <c r="BP26" s="946">
        <f t="shared" si="3"/>
        <v>507462.13013200002</v>
      </c>
      <c r="CH26" s="637" t="s">
        <v>451</v>
      </c>
      <c r="CI26" s="637" t="s">
        <v>470</v>
      </c>
      <c r="CJ26" s="637" t="s">
        <v>447</v>
      </c>
      <c r="CK26" s="637" t="s">
        <v>447</v>
      </c>
      <c r="CL26" s="639">
        <v>0</v>
      </c>
      <c r="CM26" s="639">
        <v>1542377072</v>
      </c>
      <c r="CN26" s="639">
        <v>977652242</v>
      </c>
      <c r="CO26" s="961">
        <f t="shared" si="15"/>
        <v>0</v>
      </c>
      <c r="CP26" s="961">
        <f t="shared" si="16"/>
        <v>1542377.0719999999</v>
      </c>
      <c r="CQ26" s="961">
        <f t="shared" si="17"/>
        <v>977652.24199999997</v>
      </c>
      <c r="CU26" s="637" t="s">
        <v>452</v>
      </c>
      <c r="CV26" s="637" t="s">
        <v>128</v>
      </c>
      <c r="CW26" s="637" t="s">
        <v>447</v>
      </c>
      <c r="CX26" s="637" t="s">
        <v>447</v>
      </c>
      <c r="CY26" s="639">
        <v>0</v>
      </c>
      <c r="CZ26" s="639">
        <v>-639443880</v>
      </c>
      <c r="DA26" s="639">
        <v>-639443880</v>
      </c>
      <c r="DB26" s="944">
        <f t="shared" si="18"/>
        <v>0</v>
      </c>
      <c r="DC26" s="944">
        <f t="shared" si="19"/>
        <v>-639443.88</v>
      </c>
      <c r="DD26" s="944">
        <f>+DA26/$DE$2*$DF$2</f>
        <v>-639443.88</v>
      </c>
      <c r="DH26" s="637" t="s">
        <v>451</v>
      </c>
      <c r="DI26" s="637" t="s">
        <v>470</v>
      </c>
      <c r="DJ26" s="637" t="s">
        <v>447</v>
      </c>
      <c r="DK26" s="637" t="s">
        <v>447</v>
      </c>
      <c r="DL26" s="639">
        <v>0</v>
      </c>
      <c r="DM26" s="639">
        <v>1817444911</v>
      </c>
      <c r="DN26" s="639">
        <v>1542377072</v>
      </c>
      <c r="DO26" s="944">
        <f t="shared" si="21"/>
        <v>0</v>
      </c>
      <c r="DP26" s="944">
        <f t="shared" si="22"/>
        <v>1817444.9110000001</v>
      </c>
      <c r="DQ26" s="944">
        <f t="shared" si="23"/>
        <v>1542377.0719999999</v>
      </c>
      <c r="EI26" s="637" t="s">
        <v>451</v>
      </c>
      <c r="EJ26" s="637" t="s">
        <v>470</v>
      </c>
      <c r="EK26" s="637" t="s">
        <v>447</v>
      </c>
      <c r="EL26" s="637" t="s">
        <v>447</v>
      </c>
      <c r="EM26" s="637" t="s">
        <v>547</v>
      </c>
      <c r="EN26" s="637">
        <v>4161484000</v>
      </c>
      <c r="EO26" s="637">
        <v>0</v>
      </c>
      <c r="EP26" s="637">
        <v>0</v>
      </c>
      <c r="EQ26" s="966">
        <f t="shared" si="27"/>
        <v>4161484</v>
      </c>
      <c r="ER26" s="966">
        <f t="shared" si="28"/>
        <v>0</v>
      </c>
      <c r="ES26" s="966">
        <f t="shared" si="29"/>
        <v>0</v>
      </c>
      <c r="FK26" s="637" t="s">
        <v>451</v>
      </c>
      <c r="FL26" s="637" t="s">
        <v>470</v>
      </c>
      <c r="FM26" s="637" t="s">
        <v>447</v>
      </c>
      <c r="FN26" s="637" t="s">
        <v>447</v>
      </c>
      <c r="FO26" s="637" t="s">
        <v>547</v>
      </c>
      <c r="FP26" s="966">
        <v>4161484000</v>
      </c>
      <c r="FQ26" s="966">
        <v>0</v>
      </c>
      <c r="FR26" s="966">
        <v>0</v>
      </c>
      <c r="FS26" s="944">
        <f t="shared" si="33"/>
        <v>4161484</v>
      </c>
      <c r="FT26" s="944">
        <f t="shared" si="34"/>
        <v>0</v>
      </c>
      <c r="FU26" s="944">
        <f t="shared" si="35"/>
        <v>0</v>
      </c>
      <c r="GM26" s="967" t="s">
        <v>451</v>
      </c>
      <c r="GN26" s="968" t="s">
        <v>470</v>
      </c>
      <c r="GO26" s="967" t="s">
        <v>447</v>
      </c>
      <c r="GP26" s="967" t="s">
        <v>447</v>
      </c>
      <c r="GQ26" s="968" t="s">
        <v>547</v>
      </c>
      <c r="GR26" s="969">
        <v>4161484000</v>
      </c>
      <c r="GS26" s="969">
        <v>0</v>
      </c>
      <c r="GT26" s="969">
        <v>0</v>
      </c>
      <c r="GU26" s="969">
        <f t="shared" si="39"/>
        <v>4161484</v>
      </c>
      <c r="GV26" s="969">
        <f t="shared" si="40"/>
        <v>0</v>
      </c>
      <c r="GW26" s="969">
        <f t="shared" si="41"/>
        <v>0</v>
      </c>
      <c r="HO26" s="967" t="s">
        <v>451</v>
      </c>
      <c r="HP26" s="967" t="s">
        <v>470</v>
      </c>
      <c r="HQ26" s="967" t="s">
        <v>447</v>
      </c>
      <c r="HR26" s="967" t="s">
        <v>447</v>
      </c>
      <c r="HS26" s="638" t="s">
        <v>547</v>
      </c>
      <c r="HT26" s="639">
        <v>4161484000</v>
      </c>
      <c r="HU26" s="639">
        <v>0</v>
      </c>
      <c r="HV26" s="639">
        <v>0</v>
      </c>
      <c r="HW26" s="944">
        <f t="shared" si="45"/>
        <v>4161484</v>
      </c>
      <c r="HX26" s="944">
        <f t="shared" si="46"/>
        <v>0</v>
      </c>
      <c r="HY26" s="944">
        <f t="shared" si="47"/>
        <v>0</v>
      </c>
      <c r="IC26" s="637" t="s">
        <v>660</v>
      </c>
      <c r="ID26" s="637" t="s">
        <v>154</v>
      </c>
      <c r="IE26" s="637" t="s">
        <v>447</v>
      </c>
      <c r="IF26" s="637" t="s">
        <v>447</v>
      </c>
      <c r="IG26" s="638" t="s">
        <v>547</v>
      </c>
      <c r="IH26" s="639">
        <v>0</v>
      </c>
      <c r="II26" s="639">
        <v>17825294112</v>
      </c>
      <c r="IJ26" s="639">
        <v>17459232348</v>
      </c>
      <c r="IK26" s="965">
        <f t="shared" si="48"/>
        <v>0</v>
      </c>
      <c r="IL26" s="965">
        <f t="shared" si="49"/>
        <v>17825294.112</v>
      </c>
      <c r="IM26" s="965">
        <f t="shared" si="50"/>
        <v>17459232.348000001</v>
      </c>
      <c r="IQ26" s="967" t="s">
        <v>448</v>
      </c>
      <c r="IR26" s="967" t="s">
        <v>469</v>
      </c>
      <c r="IS26" s="967" t="s">
        <v>447</v>
      </c>
      <c r="IT26" s="967" t="s">
        <v>447</v>
      </c>
      <c r="IU26" s="968" t="s">
        <v>547</v>
      </c>
      <c r="IV26" s="969">
        <v>15930849000</v>
      </c>
      <c r="IW26" s="969">
        <v>0</v>
      </c>
      <c r="IX26" s="969">
        <v>0</v>
      </c>
      <c r="IY26" s="970">
        <f t="shared" si="59"/>
        <v>15930849</v>
      </c>
      <c r="IZ26" s="970">
        <f t="shared" si="60"/>
        <v>0</v>
      </c>
      <c r="JA26" s="970">
        <f t="shared" si="61"/>
        <v>0</v>
      </c>
      <c r="JE26" s="941"/>
      <c r="JF26" s="941"/>
      <c r="JG26" s="941"/>
      <c r="JH26" s="941"/>
      <c r="JO26" s="966" t="s">
        <v>506</v>
      </c>
      <c r="JP26" s="966" t="s">
        <v>507</v>
      </c>
      <c r="JQ26" s="966" t="s">
        <v>447</v>
      </c>
      <c r="JR26" s="640" t="s">
        <v>447</v>
      </c>
      <c r="JS26" s="640" t="s">
        <v>547</v>
      </c>
      <c r="JT26" s="971">
        <v>0</v>
      </c>
      <c r="JU26" s="971">
        <v>881025000</v>
      </c>
      <c r="JV26" s="971">
        <v>881025000</v>
      </c>
      <c r="JW26" s="945">
        <f t="shared" si="55"/>
        <v>0</v>
      </c>
      <c r="JX26" s="945">
        <f t="shared" si="56"/>
        <v>881025</v>
      </c>
      <c r="JY26" s="945">
        <f t="shared" si="57"/>
        <v>881025</v>
      </c>
    </row>
    <row r="27" spans="1:285" ht="15" customHeight="1" x14ac:dyDescent="0.3">
      <c r="A27" s="954" t="s">
        <v>661</v>
      </c>
      <c r="B27" s="954" t="s">
        <v>305</v>
      </c>
      <c r="C27" s="954" t="s">
        <v>447</v>
      </c>
      <c r="D27" s="954" t="s">
        <v>447</v>
      </c>
      <c r="E27" s="955">
        <v>15656882000</v>
      </c>
      <c r="F27" s="955">
        <f t="shared" si="7"/>
        <v>16643265.566</v>
      </c>
      <c r="G27" s="955">
        <v>0</v>
      </c>
      <c r="H27" s="955">
        <f t="shared" si="8"/>
        <v>0</v>
      </c>
      <c r="AM27" s="956" t="s">
        <v>659</v>
      </c>
      <c r="AN27" s="956" t="s">
        <v>221</v>
      </c>
      <c r="AO27" s="956" t="s">
        <v>447</v>
      </c>
      <c r="AP27" s="956" t="s">
        <v>447</v>
      </c>
      <c r="AQ27" s="957">
        <v>12345937500</v>
      </c>
      <c r="AR27" s="957">
        <f t="shared" si="58"/>
        <v>13123731.5625</v>
      </c>
      <c r="AS27" s="957">
        <v>0</v>
      </c>
      <c r="AV27" s="944"/>
      <c r="BG27" s="956" t="s">
        <v>659</v>
      </c>
      <c r="BH27" s="956" t="s">
        <v>221</v>
      </c>
      <c r="BI27" s="956" t="s">
        <v>447</v>
      </c>
      <c r="BJ27" s="956" t="s">
        <v>447</v>
      </c>
      <c r="BK27" s="957">
        <v>12345937500</v>
      </c>
      <c r="BL27" s="957">
        <v>0</v>
      </c>
      <c r="BM27" s="957">
        <v>0</v>
      </c>
      <c r="BN27" s="946">
        <f t="shared" si="1"/>
        <v>13123731.5625</v>
      </c>
      <c r="BO27" s="946">
        <f t="shared" si="2"/>
        <v>0</v>
      </c>
      <c r="BP27" s="946">
        <f t="shared" si="3"/>
        <v>0</v>
      </c>
      <c r="CH27" s="637" t="s">
        <v>659</v>
      </c>
      <c r="CI27" s="637" t="s">
        <v>221</v>
      </c>
      <c r="CJ27" s="637" t="s">
        <v>447</v>
      </c>
      <c r="CK27" s="637" t="s">
        <v>447</v>
      </c>
      <c r="CL27" s="639">
        <v>12345937500</v>
      </c>
      <c r="CM27" s="639">
        <v>0</v>
      </c>
      <c r="CN27" s="639">
        <v>0</v>
      </c>
      <c r="CO27" s="961">
        <f t="shared" si="15"/>
        <v>12345937.5</v>
      </c>
      <c r="CP27" s="961">
        <f t="shared" si="16"/>
        <v>0</v>
      </c>
      <c r="CQ27" s="961">
        <f t="shared" si="17"/>
        <v>0</v>
      </c>
      <c r="DH27" s="637" t="s">
        <v>659</v>
      </c>
      <c r="DI27" s="637" t="s">
        <v>221</v>
      </c>
      <c r="DJ27" s="637" t="s">
        <v>447</v>
      </c>
      <c r="DK27" s="637" t="s">
        <v>447</v>
      </c>
      <c r="DL27" s="639">
        <v>12345937500</v>
      </c>
      <c r="DM27" s="639">
        <v>0</v>
      </c>
      <c r="DN27" s="639">
        <v>0</v>
      </c>
      <c r="DO27" s="944">
        <f t="shared" si="21"/>
        <v>12345937.5</v>
      </c>
      <c r="DP27" s="944">
        <f t="shared" si="22"/>
        <v>0</v>
      </c>
      <c r="DQ27" s="944">
        <f t="shared" si="23"/>
        <v>0</v>
      </c>
      <c r="EI27" s="637" t="s">
        <v>451</v>
      </c>
      <c r="EJ27" s="637" t="s">
        <v>470</v>
      </c>
      <c r="EK27" s="637" t="s">
        <v>447</v>
      </c>
      <c r="EL27" s="637" t="s">
        <v>447</v>
      </c>
      <c r="EM27" s="637" t="s">
        <v>547</v>
      </c>
      <c r="EN27" s="637">
        <v>0</v>
      </c>
      <c r="EO27" s="637">
        <v>1817444911</v>
      </c>
      <c r="EP27" s="637">
        <v>1817444911</v>
      </c>
      <c r="EQ27" s="966">
        <f t="shared" si="27"/>
        <v>0</v>
      </c>
      <c r="ER27" s="966">
        <f t="shared" si="28"/>
        <v>1817444.9110000001</v>
      </c>
      <c r="ES27" s="966">
        <f t="shared" si="29"/>
        <v>1817444.9110000001</v>
      </c>
      <c r="FK27" s="637" t="s">
        <v>451</v>
      </c>
      <c r="FL27" s="637" t="s">
        <v>470</v>
      </c>
      <c r="FM27" s="637" t="s">
        <v>447</v>
      </c>
      <c r="FN27" s="637" t="s">
        <v>447</v>
      </c>
      <c r="FO27" s="637" t="s">
        <v>547</v>
      </c>
      <c r="FP27" s="966">
        <v>0</v>
      </c>
      <c r="FQ27" s="966">
        <v>3502055850</v>
      </c>
      <c r="FR27" s="966">
        <v>3488215614</v>
      </c>
      <c r="FS27" s="944">
        <f t="shared" si="33"/>
        <v>0</v>
      </c>
      <c r="FT27" s="944">
        <f t="shared" si="34"/>
        <v>3502055.85</v>
      </c>
      <c r="FU27" s="944">
        <f t="shared" si="35"/>
        <v>3488215.6140000001</v>
      </c>
      <c r="GM27" s="967" t="s">
        <v>451</v>
      </c>
      <c r="GN27" s="968" t="s">
        <v>470</v>
      </c>
      <c r="GO27" s="967" t="s">
        <v>447</v>
      </c>
      <c r="GP27" s="967" t="s">
        <v>447</v>
      </c>
      <c r="GQ27" s="968" t="s">
        <v>547</v>
      </c>
      <c r="GR27" s="969">
        <v>0</v>
      </c>
      <c r="GS27" s="969">
        <v>3538135825</v>
      </c>
      <c r="GT27" s="969">
        <v>3538135825</v>
      </c>
      <c r="GU27" s="969">
        <f t="shared" si="39"/>
        <v>0</v>
      </c>
      <c r="GV27" s="969">
        <f t="shared" si="40"/>
        <v>3538135.8250000002</v>
      </c>
      <c r="GW27" s="969">
        <f t="shared" si="41"/>
        <v>3538135.8250000002</v>
      </c>
      <c r="HO27" s="967" t="s">
        <v>451</v>
      </c>
      <c r="HP27" s="967" t="s">
        <v>470</v>
      </c>
      <c r="HQ27" s="967" t="s">
        <v>447</v>
      </c>
      <c r="HR27" s="967" t="s">
        <v>447</v>
      </c>
      <c r="HS27" s="638" t="s">
        <v>547</v>
      </c>
      <c r="HT27" s="639">
        <v>0</v>
      </c>
      <c r="HU27" s="639">
        <v>2794099709</v>
      </c>
      <c r="HV27" s="639">
        <v>2708590315</v>
      </c>
      <c r="HW27" s="944">
        <f t="shared" si="45"/>
        <v>0</v>
      </c>
      <c r="HX27" s="944">
        <f t="shared" si="46"/>
        <v>2794099.7089999998</v>
      </c>
      <c r="HY27" s="944">
        <f t="shared" si="47"/>
        <v>2708590.3149999999</v>
      </c>
      <c r="IC27" s="637" t="s">
        <v>661</v>
      </c>
      <c r="ID27" s="637" t="s">
        <v>305</v>
      </c>
      <c r="IE27" s="637" t="s">
        <v>447</v>
      </c>
      <c r="IF27" s="637" t="s">
        <v>447</v>
      </c>
      <c r="IG27" s="638" t="s">
        <v>547</v>
      </c>
      <c r="IH27" s="639">
        <v>0</v>
      </c>
      <c r="II27" s="639">
        <v>0</v>
      </c>
      <c r="IJ27" s="639">
        <v>701779527</v>
      </c>
      <c r="IK27" s="965">
        <f t="shared" si="48"/>
        <v>0</v>
      </c>
      <c r="IL27" s="965">
        <f t="shared" si="49"/>
        <v>0</v>
      </c>
      <c r="IM27" s="965">
        <f t="shared" si="50"/>
        <v>701779.527</v>
      </c>
      <c r="IQ27" s="967" t="s">
        <v>448</v>
      </c>
      <c r="IR27" s="967" t="s">
        <v>469</v>
      </c>
      <c r="IS27" s="967" t="s">
        <v>447</v>
      </c>
      <c r="IT27" s="967" t="s">
        <v>447</v>
      </c>
      <c r="IU27" s="968" t="s">
        <v>547</v>
      </c>
      <c r="IV27" s="969">
        <v>0</v>
      </c>
      <c r="IW27" s="969">
        <v>15930849000</v>
      </c>
      <c r="IX27" s="969">
        <v>15490673265</v>
      </c>
      <c r="IY27" s="970">
        <f t="shared" si="59"/>
        <v>0</v>
      </c>
      <c r="IZ27" s="970">
        <f t="shared" si="60"/>
        <v>15930849</v>
      </c>
      <c r="JA27" s="970">
        <f t="shared" si="61"/>
        <v>15490673.265000001</v>
      </c>
      <c r="JE27" s="941"/>
      <c r="JF27" s="941"/>
      <c r="JG27" s="941"/>
      <c r="JH27" s="941"/>
      <c r="JO27" s="966" t="s">
        <v>448</v>
      </c>
      <c r="JP27" s="966" t="s">
        <v>469</v>
      </c>
      <c r="JQ27" s="966" t="s">
        <v>447</v>
      </c>
      <c r="JR27" s="640" t="s">
        <v>447</v>
      </c>
      <c r="JS27" s="640" t="s">
        <v>547</v>
      </c>
      <c r="JT27" s="971">
        <v>15930849000</v>
      </c>
      <c r="JU27" s="971">
        <v>0</v>
      </c>
      <c r="JV27" s="971">
        <v>0</v>
      </c>
      <c r="JW27" s="945">
        <f t="shared" si="55"/>
        <v>15930849</v>
      </c>
      <c r="JX27" s="945">
        <f t="shared" si="56"/>
        <v>0</v>
      </c>
      <c r="JY27" s="945">
        <f t="shared" si="57"/>
        <v>0</v>
      </c>
    </row>
    <row r="28" spans="1:285" ht="15" customHeight="1" x14ac:dyDescent="0.3">
      <c r="A28" s="954" t="s">
        <v>661</v>
      </c>
      <c r="B28" s="954" t="s">
        <v>305</v>
      </c>
      <c r="C28" s="954" t="s">
        <v>447</v>
      </c>
      <c r="D28" s="954" t="s">
        <v>447</v>
      </c>
      <c r="E28" s="955">
        <v>0</v>
      </c>
      <c r="F28" s="955">
        <f t="shared" si="7"/>
        <v>0</v>
      </c>
      <c r="G28" s="955">
        <v>4097973137</v>
      </c>
      <c r="H28" s="955">
        <f t="shared" si="8"/>
        <v>4356145.444631</v>
      </c>
      <c r="AM28" s="956" t="s">
        <v>659</v>
      </c>
      <c r="AN28" s="956" t="s">
        <v>221</v>
      </c>
      <c r="AO28" s="956" t="s">
        <v>447</v>
      </c>
      <c r="AP28" s="956" t="s">
        <v>447</v>
      </c>
      <c r="AQ28" s="957">
        <v>0</v>
      </c>
      <c r="AR28" s="957">
        <f t="shared" si="58"/>
        <v>0</v>
      </c>
      <c r="AS28" s="957">
        <v>0</v>
      </c>
      <c r="AV28" s="944"/>
      <c r="BG28" s="956" t="s">
        <v>659</v>
      </c>
      <c r="BH28" s="956" t="s">
        <v>221</v>
      </c>
      <c r="BI28" s="956" t="s">
        <v>447</v>
      </c>
      <c r="BJ28" s="956" t="s">
        <v>447</v>
      </c>
      <c r="BK28" s="957">
        <v>0</v>
      </c>
      <c r="BL28" s="957">
        <v>0</v>
      </c>
      <c r="BM28" s="957">
        <v>0</v>
      </c>
      <c r="BN28" s="946">
        <f t="shared" si="1"/>
        <v>0</v>
      </c>
      <c r="BO28" s="946">
        <f t="shared" si="2"/>
        <v>0</v>
      </c>
      <c r="BP28" s="946">
        <f t="shared" si="3"/>
        <v>0</v>
      </c>
      <c r="CH28" s="637" t="s">
        <v>659</v>
      </c>
      <c r="CI28" s="637" t="s">
        <v>221</v>
      </c>
      <c r="CJ28" s="637" t="s">
        <v>447</v>
      </c>
      <c r="CK28" s="637" t="s">
        <v>447</v>
      </c>
      <c r="CL28" s="639">
        <v>0</v>
      </c>
      <c r="CM28" s="639">
        <v>207145992</v>
      </c>
      <c r="CN28" s="639">
        <v>77268932</v>
      </c>
      <c r="CO28" s="961">
        <f t="shared" si="15"/>
        <v>0</v>
      </c>
      <c r="CP28" s="961">
        <f t="shared" si="16"/>
        <v>207145.992</v>
      </c>
      <c r="CQ28" s="961">
        <f t="shared" si="17"/>
        <v>77268.932000000001</v>
      </c>
      <c r="DH28" s="637" t="s">
        <v>659</v>
      </c>
      <c r="DI28" s="637" t="s">
        <v>221</v>
      </c>
      <c r="DJ28" s="637" t="s">
        <v>447</v>
      </c>
      <c r="DK28" s="637" t="s">
        <v>447</v>
      </c>
      <c r="DL28" s="639">
        <v>0</v>
      </c>
      <c r="DM28" s="639">
        <v>521999491</v>
      </c>
      <c r="DN28" s="639">
        <v>386995565</v>
      </c>
      <c r="DO28" s="944">
        <f t="shared" si="21"/>
        <v>0</v>
      </c>
      <c r="DP28" s="944">
        <f t="shared" si="22"/>
        <v>521999.49099999998</v>
      </c>
      <c r="DQ28" s="944">
        <f t="shared" si="23"/>
        <v>386995.565</v>
      </c>
      <c r="EI28" s="637" t="s">
        <v>659</v>
      </c>
      <c r="EJ28" s="637" t="s">
        <v>221</v>
      </c>
      <c r="EK28" s="637" t="s">
        <v>447</v>
      </c>
      <c r="EL28" s="637" t="s">
        <v>447</v>
      </c>
      <c r="EM28" s="637" t="s">
        <v>547</v>
      </c>
      <c r="EN28" s="637">
        <v>12345937500</v>
      </c>
      <c r="EO28" s="637">
        <v>0</v>
      </c>
      <c r="EP28" s="637">
        <v>0</v>
      </c>
      <c r="EQ28" s="966">
        <f t="shared" si="27"/>
        <v>12345937.5</v>
      </c>
      <c r="ER28" s="966">
        <f t="shared" si="28"/>
        <v>0</v>
      </c>
      <c r="ES28" s="966">
        <f t="shared" si="29"/>
        <v>0</v>
      </c>
      <c r="FK28" s="637" t="s">
        <v>451</v>
      </c>
      <c r="FL28" s="637" t="s">
        <v>470</v>
      </c>
      <c r="FM28" s="637" t="s">
        <v>447</v>
      </c>
      <c r="FN28" s="637" t="s">
        <v>447</v>
      </c>
      <c r="FO28" s="637" t="s">
        <v>547</v>
      </c>
      <c r="FP28" s="966">
        <v>0</v>
      </c>
      <c r="FQ28" s="966">
        <v>1971883462</v>
      </c>
      <c r="FR28" s="966">
        <v>1956814305</v>
      </c>
      <c r="FS28" s="944">
        <f t="shared" si="33"/>
        <v>0</v>
      </c>
      <c r="FT28" s="944">
        <f t="shared" si="34"/>
        <v>1971883.4620000001</v>
      </c>
      <c r="FU28" s="944">
        <f t="shared" si="35"/>
        <v>1956814.3049999999</v>
      </c>
      <c r="GM28" s="967" t="s">
        <v>451</v>
      </c>
      <c r="GN28" s="968" t="s">
        <v>470</v>
      </c>
      <c r="GO28" s="967" t="s">
        <v>447</v>
      </c>
      <c r="GP28" s="967" t="s">
        <v>447</v>
      </c>
      <c r="GQ28" s="968" t="s">
        <v>547</v>
      </c>
      <c r="GR28" s="969">
        <v>0</v>
      </c>
      <c r="GS28" s="969">
        <v>2499500056</v>
      </c>
      <c r="GT28" s="969">
        <v>2161974339</v>
      </c>
      <c r="GU28" s="969">
        <f t="shared" si="39"/>
        <v>0</v>
      </c>
      <c r="GV28" s="969">
        <f t="shared" si="40"/>
        <v>2499500.0559999999</v>
      </c>
      <c r="GW28" s="969">
        <f t="shared" si="41"/>
        <v>2161974.3390000002</v>
      </c>
      <c r="HO28" s="967" t="s">
        <v>451</v>
      </c>
      <c r="HP28" s="967" t="s">
        <v>470</v>
      </c>
      <c r="HQ28" s="967" t="s">
        <v>447</v>
      </c>
      <c r="HR28" s="967" t="s">
        <v>447</v>
      </c>
      <c r="HS28" s="638" t="s">
        <v>547</v>
      </c>
      <c r="HT28" s="639">
        <v>0</v>
      </c>
      <c r="HU28" s="639">
        <v>7533993895</v>
      </c>
      <c r="HV28" s="639">
        <v>7533993895</v>
      </c>
      <c r="HW28" s="944">
        <f t="shared" si="45"/>
        <v>0</v>
      </c>
      <c r="HX28" s="944">
        <f t="shared" si="46"/>
        <v>7533993.8949999996</v>
      </c>
      <c r="HY28" s="944">
        <f t="shared" si="47"/>
        <v>7533993.8949999996</v>
      </c>
      <c r="IC28" s="637" t="s">
        <v>661</v>
      </c>
      <c r="ID28" s="637" t="s">
        <v>305</v>
      </c>
      <c r="IE28" s="637" t="s">
        <v>447</v>
      </c>
      <c r="IF28" s="637" t="s">
        <v>447</v>
      </c>
      <c r="IG28" s="638" t="s">
        <v>547</v>
      </c>
      <c r="IH28" s="639">
        <v>-70000000</v>
      </c>
      <c r="II28" s="639">
        <v>0</v>
      </c>
      <c r="IJ28" s="639">
        <v>0</v>
      </c>
      <c r="IK28" s="965">
        <f t="shared" si="48"/>
        <v>-70000</v>
      </c>
      <c r="IL28" s="965">
        <f t="shared" si="49"/>
        <v>0</v>
      </c>
      <c r="IM28" s="965">
        <f t="shared" si="50"/>
        <v>0</v>
      </c>
      <c r="IQ28" s="967" t="s">
        <v>451</v>
      </c>
      <c r="IR28" s="967" t="s">
        <v>470</v>
      </c>
      <c r="IS28" s="967" t="s">
        <v>447</v>
      </c>
      <c r="IT28" s="967" t="s">
        <v>447</v>
      </c>
      <c r="IU28" s="968" t="s">
        <v>547</v>
      </c>
      <c r="IV28" s="969">
        <v>11460629000</v>
      </c>
      <c r="IW28" s="969">
        <v>0</v>
      </c>
      <c r="IX28" s="969">
        <v>0</v>
      </c>
      <c r="IY28" s="970">
        <f t="shared" si="59"/>
        <v>11460629</v>
      </c>
      <c r="IZ28" s="970">
        <f t="shared" si="60"/>
        <v>0</v>
      </c>
      <c r="JA28" s="970">
        <f t="shared" si="61"/>
        <v>0</v>
      </c>
      <c r="JE28" s="941"/>
      <c r="JF28" s="941"/>
      <c r="JG28" s="941"/>
      <c r="JH28" s="941"/>
      <c r="JO28" s="966" t="s">
        <v>448</v>
      </c>
      <c r="JP28" s="966" t="s">
        <v>469</v>
      </c>
      <c r="JQ28" s="966" t="s">
        <v>447</v>
      </c>
      <c r="JR28" s="640" t="s">
        <v>447</v>
      </c>
      <c r="JS28" s="640" t="s">
        <v>547</v>
      </c>
      <c r="JT28" s="971">
        <v>0</v>
      </c>
      <c r="JU28" s="971">
        <v>15930849000</v>
      </c>
      <c r="JV28" s="971">
        <v>15930849000</v>
      </c>
      <c r="JW28" s="945">
        <f t="shared" si="55"/>
        <v>0</v>
      </c>
      <c r="JX28" s="945">
        <f t="shared" si="56"/>
        <v>15930849</v>
      </c>
      <c r="JY28" s="945">
        <f t="shared" si="57"/>
        <v>15930849</v>
      </c>
    </row>
    <row r="29" spans="1:285" ht="15" customHeight="1" x14ac:dyDescent="0.3">
      <c r="A29" s="954" t="s">
        <v>662</v>
      </c>
      <c r="B29" s="954" t="s">
        <v>308</v>
      </c>
      <c r="C29" s="954" t="s">
        <v>447</v>
      </c>
      <c r="D29" s="954" t="s">
        <v>447</v>
      </c>
      <c r="E29" s="955">
        <v>3794172000</v>
      </c>
      <c r="F29" s="955">
        <f t="shared" si="7"/>
        <v>4033204.8359999997</v>
      </c>
      <c r="G29" s="955">
        <v>0</v>
      </c>
      <c r="H29" s="955">
        <f t="shared" si="8"/>
        <v>0</v>
      </c>
      <c r="AM29" s="956" t="s">
        <v>660</v>
      </c>
      <c r="AN29" s="956" t="s">
        <v>154</v>
      </c>
      <c r="AO29" s="956" t="s">
        <v>447</v>
      </c>
      <c r="AP29" s="956" t="s">
        <v>447</v>
      </c>
      <c r="AQ29" s="957">
        <v>19245949160</v>
      </c>
      <c r="AR29" s="957">
        <f t="shared" si="58"/>
        <v>20458443.957079999</v>
      </c>
      <c r="AS29" s="957">
        <v>0</v>
      </c>
      <c r="AV29" s="944"/>
      <c r="BG29" s="956" t="s">
        <v>660</v>
      </c>
      <c r="BH29" s="956" t="s">
        <v>154</v>
      </c>
      <c r="BI29" s="956" t="s">
        <v>447</v>
      </c>
      <c r="BJ29" s="956" t="s">
        <v>447</v>
      </c>
      <c r="BK29" s="957">
        <v>19245949160</v>
      </c>
      <c r="BL29" s="957">
        <v>0</v>
      </c>
      <c r="BM29" s="957">
        <v>0</v>
      </c>
      <c r="BN29" s="946">
        <f t="shared" si="1"/>
        <v>20458443.957079999</v>
      </c>
      <c r="BO29" s="946">
        <f t="shared" si="2"/>
        <v>0</v>
      </c>
      <c r="BP29" s="946">
        <f t="shared" si="3"/>
        <v>0</v>
      </c>
      <c r="CH29" s="637" t="s">
        <v>660</v>
      </c>
      <c r="CI29" s="637" t="s">
        <v>154</v>
      </c>
      <c r="CJ29" s="637" t="s">
        <v>447</v>
      </c>
      <c r="CK29" s="637" t="s">
        <v>447</v>
      </c>
      <c r="CL29" s="639">
        <v>19245949160</v>
      </c>
      <c r="CM29" s="639">
        <v>0</v>
      </c>
      <c r="CN29" s="639">
        <v>0</v>
      </c>
      <c r="CO29" s="961">
        <f t="shared" si="15"/>
        <v>19245949.16</v>
      </c>
      <c r="CP29" s="961">
        <f t="shared" si="16"/>
        <v>0</v>
      </c>
      <c r="CQ29" s="961">
        <f t="shared" si="17"/>
        <v>0</v>
      </c>
      <c r="DH29" s="637" t="s">
        <v>660</v>
      </c>
      <c r="DI29" s="637" t="s">
        <v>154</v>
      </c>
      <c r="DJ29" s="637" t="s">
        <v>447</v>
      </c>
      <c r="DK29" s="637" t="s">
        <v>447</v>
      </c>
      <c r="DL29" s="639">
        <v>46228663400</v>
      </c>
      <c r="DM29" s="639">
        <v>0</v>
      </c>
      <c r="DN29" s="639">
        <v>0</v>
      </c>
      <c r="DO29" s="944">
        <f t="shared" si="21"/>
        <v>46228663.399999999</v>
      </c>
      <c r="DP29" s="944">
        <f t="shared" si="22"/>
        <v>0</v>
      </c>
      <c r="DQ29" s="944">
        <f t="shared" si="23"/>
        <v>0</v>
      </c>
      <c r="EI29" s="637" t="s">
        <v>659</v>
      </c>
      <c r="EJ29" s="637" t="s">
        <v>221</v>
      </c>
      <c r="EK29" s="637" t="s">
        <v>447</v>
      </c>
      <c r="EL29" s="637" t="s">
        <v>447</v>
      </c>
      <c r="EM29" s="637" t="s">
        <v>547</v>
      </c>
      <c r="EN29" s="637">
        <v>0</v>
      </c>
      <c r="EO29" s="637">
        <v>2007932452</v>
      </c>
      <c r="EP29" s="637">
        <v>1388555993</v>
      </c>
      <c r="EQ29" s="966">
        <f t="shared" si="27"/>
        <v>0</v>
      </c>
      <c r="ER29" s="966">
        <f t="shared" si="28"/>
        <v>2007932.452</v>
      </c>
      <c r="ES29" s="966">
        <f t="shared" si="29"/>
        <v>1388555.993</v>
      </c>
      <c r="FK29" s="637" t="s">
        <v>659</v>
      </c>
      <c r="FL29" s="637" t="s">
        <v>221</v>
      </c>
      <c r="FM29" s="637" t="s">
        <v>447</v>
      </c>
      <c r="FN29" s="637" t="s">
        <v>447</v>
      </c>
      <c r="FO29" s="637" t="s">
        <v>547</v>
      </c>
      <c r="FP29" s="966">
        <v>12345937500</v>
      </c>
      <c r="FQ29" s="966">
        <v>0</v>
      </c>
      <c r="FR29" s="966">
        <v>0</v>
      </c>
      <c r="FS29" s="944">
        <f t="shared" si="33"/>
        <v>12345937.5</v>
      </c>
      <c r="FT29" s="944">
        <f t="shared" si="34"/>
        <v>0</v>
      </c>
      <c r="FU29" s="944">
        <f t="shared" si="35"/>
        <v>0</v>
      </c>
      <c r="GM29" s="967" t="s">
        <v>659</v>
      </c>
      <c r="GN29" s="968" t="s">
        <v>221</v>
      </c>
      <c r="GO29" s="967" t="s">
        <v>447</v>
      </c>
      <c r="GP29" s="967" t="s">
        <v>447</v>
      </c>
      <c r="GQ29" s="968" t="s">
        <v>547</v>
      </c>
      <c r="GR29" s="969">
        <v>12345937500</v>
      </c>
      <c r="GS29" s="969">
        <v>0</v>
      </c>
      <c r="GT29" s="969">
        <v>0</v>
      </c>
      <c r="GU29" s="969">
        <f t="shared" si="39"/>
        <v>12345937.5</v>
      </c>
      <c r="GV29" s="969">
        <f t="shared" si="40"/>
        <v>0</v>
      </c>
      <c r="GW29" s="969">
        <f t="shared" si="41"/>
        <v>0</v>
      </c>
      <c r="HO29" s="967" t="s">
        <v>659</v>
      </c>
      <c r="HP29" s="967" t="s">
        <v>221</v>
      </c>
      <c r="HQ29" s="967" t="s">
        <v>447</v>
      </c>
      <c r="HR29" s="967" t="s">
        <v>447</v>
      </c>
      <c r="HS29" s="638" t="s">
        <v>547</v>
      </c>
      <c r="HT29" s="639">
        <v>12345937500</v>
      </c>
      <c r="HU29" s="639">
        <v>0</v>
      </c>
      <c r="HV29" s="639">
        <v>0</v>
      </c>
      <c r="HW29" s="944">
        <f t="shared" si="45"/>
        <v>12345937.5</v>
      </c>
      <c r="HX29" s="944">
        <f t="shared" si="46"/>
        <v>0</v>
      </c>
      <c r="HY29" s="944">
        <f t="shared" si="47"/>
        <v>0</v>
      </c>
      <c r="IC29" s="637" t="s">
        <v>901</v>
      </c>
      <c r="ID29" s="637" t="s">
        <v>902</v>
      </c>
      <c r="IE29" s="637" t="s">
        <v>447</v>
      </c>
      <c r="IF29" s="637" t="s">
        <v>447</v>
      </c>
      <c r="IG29" s="638" t="s">
        <v>547</v>
      </c>
      <c r="IH29" s="639">
        <v>3000000000</v>
      </c>
      <c r="II29" s="639">
        <v>0</v>
      </c>
      <c r="IJ29" s="639">
        <v>0</v>
      </c>
      <c r="IK29" s="965">
        <f t="shared" si="48"/>
        <v>3000000</v>
      </c>
      <c r="IL29" s="965">
        <f t="shared" si="49"/>
        <v>0</v>
      </c>
      <c r="IM29" s="965">
        <f t="shared" si="50"/>
        <v>0</v>
      </c>
      <c r="IQ29" s="967" t="s">
        <v>451</v>
      </c>
      <c r="IR29" s="967" t="s">
        <v>470</v>
      </c>
      <c r="IS29" s="967" t="s">
        <v>447</v>
      </c>
      <c r="IT29" s="967" t="s">
        <v>447</v>
      </c>
      <c r="IU29" s="968" t="s">
        <v>547</v>
      </c>
      <c r="IV29" s="969">
        <v>4161484000</v>
      </c>
      <c r="IW29" s="969">
        <v>0</v>
      </c>
      <c r="IX29" s="969">
        <v>0</v>
      </c>
      <c r="IY29" s="970">
        <f t="shared" si="59"/>
        <v>4161484</v>
      </c>
      <c r="IZ29" s="970">
        <f t="shared" si="60"/>
        <v>0</v>
      </c>
      <c r="JA29" s="970">
        <f t="shared" si="61"/>
        <v>0</v>
      </c>
      <c r="JE29" s="941"/>
      <c r="JF29" s="941"/>
      <c r="JG29" s="941"/>
      <c r="JH29" s="941"/>
      <c r="JO29" s="966" t="s">
        <v>451</v>
      </c>
      <c r="JP29" s="966" t="s">
        <v>470</v>
      </c>
      <c r="JQ29" s="966" t="s">
        <v>447</v>
      </c>
      <c r="JR29" s="640" t="s">
        <v>447</v>
      </c>
      <c r="JS29" s="640" t="s">
        <v>547</v>
      </c>
      <c r="JT29" s="971">
        <v>11998966894</v>
      </c>
      <c r="JU29" s="971">
        <v>0</v>
      </c>
      <c r="JV29" s="971">
        <v>0</v>
      </c>
      <c r="JW29" s="945">
        <f t="shared" si="55"/>
        <v>11998966.893999999</v>
      </c>
      <c r="JX29" s="945">
        <f t="shared" si="56"/>
        <v>0</v>
      </c>
      <c r="JY29" s="945">
        <f t="shared" si="57"/>
        <v>0</v>
      </c>
    </row>
    <row r="30" spans="1:285" ht="15" customHeight="1" x14ac:dyDescent="0.3">
      <c r="A30" s="954" t="s">
        <v>662</v>
      </c>
      <c r="B30" s="954" t="s">
        <v>308</v>
      </c>
      <c r="C30" s="954" t="s">
        <v>447</v>
      </c>
      <c r="D30" s="954" t="s">
        <v>447</v>
      </c>
      <c r="E30" s="955">
        <v>0</v>
      </c>
      <c r="F30" s="955">
        <f t="shared" si="7"/>
        <v>0</v>
      </c>
      <c r="G30" s="955">
        <v>198638025</v>
      </c>
      <c r="H30" s="955">
        <f t="shared" si="8"/>
        <v>211152.22057499998</v>
      </c>
      <c r="AM30" s="956" t="s">
        <v>660</v>
      </c>
      <c r="AN30" s="956" t="s">
        <v>154</v>
      </c>
      <c r="AO30" s="956" t="s">
        <v>447</v>
      </c>
      <c r="AP30" s="956" t="s">
        <v>447</v>
      </c>
      <c r="AQ30" s="957">
        <v>0</v>
      </c>
      <c r="AR30" s="957">
        <f t="shared" si="58"/>
        <v>0</v>
      </c>
      <c r="AS30" s="957">
        <v>4319575750</v>
      </c>
      <c r="AV30" s="944"/>
      <c r="BG30" s="956" t="s">
        <v>660</v>
      </c>
      <c r="BH30" s="956" t="s">
        <v>154</v>
      </c>
      <c r="BI30" s="956" t="s">
        <v>447</v>
      </c>
      <c r="BJ30" s="956" t="s">
        <v>447</v>
      </c>
      <c r="BK30" s="957">
        <v>0</v>
      </c>
      <c r="BL30" s="957">
        <v>4635337747</v>
      </c>
      <c r="BM30" s="957">
        <v>4560337748</v>
      </c>
      <c r="BN30" s="946">
        <f t="shared" si="1"/>
        <v>0</v>
      </c>
      <c r="BO30" s="946">
        <f t="shared" si="2"/>
        <v>4927364.0250610001</v>
      </c>
      <c r="BP30" s="946">
        <f t="shared" si="3"/>
        <v>4847639.0261239996</v>
      </c>
      <c r="CH30" s="637" t="s">
        <v>660</v>
      </c>
      <c r="CI30" s="637" t="s">
        <v>154</v>
      </c>
      <c r="CJ30" s="637" t="s">
        <v>447</v>
      </c>
      <c r="CK30" s="637" t="s">
        <v>447</v>
      </c>
      <c r="CL30" s="639">
        <v>0</v>
      </c>
      <c r="CM30" s="639">
        <v>4897774975</v>
      </c>
      <c r="CN30" s="639">
        <v>4897774975</v>
      </c>
      <c r="CO30" s="961">
        <f t="shared" si="15"/>
        <v>0</v>
      </c>
      <c r="CP30" s="961">
        <f t="shared" si="16"/>
        <v>4897774.9749999996</v>
      </c>
      <c r="CQ30" s="961">
        <f t="shared" si="17"/>
        <v>4897774.9749999996</v>
      </c>
      <c r="DH30" s="637" t="s">
        <v>660</v>
      </c>
      <c r="DI30" s="637" t="s">
        <v>154</v>
      </c>
      <c r="DJ30" s="637" t="s">
        <v>447</v>
      </c>
      <c r="DK30" s="637" t="s">
        <v>447</v>
      </c>
      <c r="DL30" s="639">
        <v>0</v>
      </c>
      <c r="DM30" s="639">
        <v>5288703494</v>
      </c>
      <c r="DN30" s="639">
        <v>5250685229</v>
      </c>
      <c r="DO30" s="944">
        <f t="shared" si="21"/>
        <v>0</v>
      </c>
      <c r="DP30" s="944">
        <f t="shared" si="22"/>
        <v>5288703.4939999999</v>
      </c>
      <c r="DQ30" s="944">
        <f t="shared" si="23"/>
        <v>5250685.2290000003</v>
      </c>
      <c r="EI30" s="637" t="s">
        <v>660</v>
      </c>
      <c r="EJ30" s="637" t="s">
        <v>154</v>
      </c>
      <c r="EK30" s="637" t="s">
        <v>447</v>
      </c>
      <c r="EL30" s="637" t="s">
        <v>447</v>
      </c>
      <c r="EM30" s="637" t="s">
        <v>547</v>
      </c>
      <c r="EN30" s="637">
        <v>46228663400</v>
      </c>
      <c r="EO30" s="637">
        <v>0</v>
      </c>
      <c r="EP30" s="637">
        <v>0</v>
      </c>
      <c r="EQ30" s="966">
        <f t="shared" si="27"/>
        <v>46228663.399999999</v>
      </c>
      <c r="ER30" s="966">
        <f t="shared" si="28"/>
        <v>0</v>
      </c>
      <c r="ES30" s="966">
        <f t="shared" si="29"/>
        <v>0</v>
      </c>
      <c r="FK30" s="637" t="s">
        <v>659</v>
      </c>
      <c r="FL30" s="637" t="s">
        <v>221</v>
      </c>
      <c r="FM30" s="637" t="s">
        <v>447</v>
      </c>
      <c r="FN30" s="637" t="s">
        <v>447</v>
      </c>
      <c r="FO30" s="637" t="s">
        <v>547</v>
      </c>
      <c r="FP30" s="966">
        <v>0</v>
      </c>
      <c r="FQ30" s="966">
        <v>2805575974</v>
      </c>
      <c r="FR30" s="966">
        <v>2075994214</v>
      </c>
      <c r="FS30" s="944">
        <f t="shared" si="33"/>
        <v>0</v>
      </c>
      <c r="FT30" s="944">
        <f t="shared" si="34"/>
        <v>2805575.9739999999</v>
      </c>
      <c r="FU30" s="944">
        <f t="shared" si="35"/>
        <v>2075994.2139999999</v>
      </c>
      <c r="GM30" s="967" t="s">
        <v>659</v>
      </c>
      <c r="GN30" s="968" t="s">
        <v>221</v>
      </c>
      <c r="GO30" s="967" t="s">
        <v>447</v>
      </c>
      <c r="GP30" s="967" t="s">
        <v>447</v>
      </c>
      <c r="GQ30" s="968" t="s">
        <v>547</v>
      </c>
      <c r="GR30" s="969">
        <v>0</v>
      </c>
      <c r="GS30" s="969">
        <v>3290902633</v>
      </c>
      <c r="GT30" s="969">
        <v>2707077407</v>
      </c>
      <c r="GU30" s="969">
        <f t="shared" si="39"/>
        <v>0</v>
      </c>
      <c r="GV30" s="969">
        <f t="shared" si="40"/>
        <v>3290902.6329999999</v>
      </c>
      <c r="GW30" s="969">
        <f t="shared" si="41"/>
        <v>2707077.4070000001</v>
      </c>
      <c r="HO30" s="967" t="s">
        <v>659</v>
      </c>
      <c r="HP30" s="967" t="s">
        <v>221</v>
      </c>
      <c r="HQ30" s="967" t="s">
        <v>447</v>
      </c>
      <c r="HR30" s="967" t="s">
        <v>447</v>
      </c>
      <c r="HS30" s="638" t="s">
        <v>547</v>
      </c>
      <c r="HT30" s="639">
        <v>0</v>
      </c>
      <c r="HU30" s="639">
        <v>4076853221</v>
      </c>
      <c r="HV30" s="639">
        <v>3265977408</v>
      </c>
      <c r="HW30" s="944">
        <f t="shared" si="45"/>
        <v>0</v>
      </c>
      <c r="HX30" s="944">
        <f t="shared" si="46"/>
        <v>4076853.2209999999</v>
      </c>
      <c r="HY30" s="944">
        <f t="shared" si="47"/>
        <v>3265977.4079999998</v>
      </c>
      <c r="IC30" s="637" t="s">
        <v>901</v>
      </c>
      <c r="ID30" s="637" t="s">
        <v>902</v>
      </c>
      <c r="IE30" s="637" t="s">
        <v>447</v>
      </c>
      <c r="IF30" s="637" t="s">
        <v>447</v>
      </c>
      <c r="IG30" s="638" t="s">
        <v>547</v>
      </c>
      <c r="IH30" s="639">
        <v>0</v>
      </c>
      <c r="II30" s="639">
        <v>4482957662</v>
      </c>
      <c r="IJ30" s="639">
        <v>2470419206</v>
      </c>
      <c r="IK30" s="965">
        <f t="shared" si="48"/>
        <v>0</v>
      </c>
      <c r="IL30" s="965">
        <f t="shared" si="49"/>
        <v>4482957.6619999995</v>
      </c>
      <c r="IM30" s="965">
        <f t="shared" si="50"/>
        <v>2470419.2059999998</v>
      </c>
      <c r="IQ30" s="967" t="s">
        <v>451</v>
      </c>
      <c r="IR30" s="967" t="s">
        <v>470</v>
      </c>
      <c r="IS30" s="967" t="s">
        <v>447</v>
      </c>
      <c r="IT30" s="967" t="s">
        <v>447</v>
      </c>
      <c r="IU30" s="968" t="s">
        <v>547</v>
      </c>
      <c r="IV30" s="969">
        <v>0</v>
      </c>
      <c r="IW30" s="969">
        <v>3801872839</v>
      </c>
      <c r="IX30" s="969">
        <v>3790438810</v>
      </c>
      <c r="IY30" s="970">
        <f t="shared" si="59"/>
        <v>0</v>
      </c>
      <c r="IZ30" s="970">
        <f t="shared" si="60"/>
        <v>3801872.8390000002</v>
      </c>
      <c r="JA30" s="970">
        <f t="shared" si="61"/>
        <v>3790438.81</v>
      </c>
      <c r="JE30" s="941"/>
      <c r="JF30" s="941"/>
      <c r="JG30" s="941"/>
      <c r="JH30" s="941"/>
      <c r="JO30" s="966" t="s">
        <v>451</v>
      </c>
      <c r="JP30" s="966" t="s">
        <v>470</v>
      </c>
      <c r="JQ30" s="966" t="s">
        <v>447</v>
      </c>
      <c r="JR30" s="640" t="s">
        <v>447</v>
      </c>
      <c r="JS30" s="640" t="s">
        <v>547</v>
      </c>
      <c r="JT30" s="971">
        <v>5222934106</v>
      </c>
      <c r="JU30" s="971">
        <v>0</v>
      </c>
      <c r="JV30" s="971">
        <v>0</v>
      </c>
      <c r="JW30" s="945">
        <f t="shared" si="55"/>
        <v>5222934.1059999997</v>
      </c>
      <c r="JX30" s="945">
        <f t="shared" si="56"/>
        <v>0</v>
      </c>
      <c r="JY30" s="945">
        <f t="shared" si="57"/>
        <v>0</v>
      </c>
    </row>
    <row r="31" spans="1:285" ht="15" customHeight="1" x14ac:dyDescent="0.3">
      <c r="A31" s="954" t="s">
        <v>663</v>
      </c>
      <c r="B31" s="954" t="s">
        <v>266</v>
      </c>
      <c r="C31" s="954" t="s">
        <v>447</v>
      </c>
      <c r="D31" s="954" t="s">
        <v>447</v>
      </c>
      <c r="E31" s="955">
        <v>3161810000</v>
      </c>
      <c r="F31" s="955">
        <f t="shared" si="7"/>
        <v>3361004.03</v>
      </c>
      <c r="G31" s="955">
        <v>0</v>
      </c>
      <c r="H31" s="955">
        <f t="shared" si="8"/>
        <v>0</v>
      </c>
      <c r="AM31" s="956" t="s">
        <v>661</v>
      </c>
      <c r="AN31" s="956" t="s">
        <v>305</v>
      </c>
      <c r="AO31" s="956" t="s">
        <v>447</v>
      </c>
      <c r="AP31" s="956" t="s">
        <v>447</v>
      </c>
      <c r="AQ31" s="957">
        <v>17009710340</v>
      </c>
      <c r="AR31" s="957">
        <f t="shared" si="58"/>
        <v>18081322.091419999</v>
      </c>
      <c r="AS31" s="957">
        <v>0</v>
      </c>
      <c r="AV31" s="944"/>
      <c r="BG31" s="956" t="s">
        <v>661</v>
      </c>
      <c r="BH31" s="956" t="s">
        <v>305</v>
      </c>
      <c r="BI31" s="956" t="s">
        <v>447</v>
      </c>
      <c r="BJ31" s="956" t="s">
        <v>447</v>
      </c>
      <c r="BK31" s="957">
        <v>17009710340</v>
      </c>
      <c r="BL31" s="957">
        <v>0</v>
      </c>
      <c r="BM31" s="957">
        <v>0</v>
      </c>
      <c r="BN31" s="946">
        <f t="shared" si="1"/>
        <v>18081322.091419999</v>
      </c>
      <c r="BO31" s="946">
        <f t="shared" si="2"/>
        <v>0</v>
      </c>
      <c r="BP31" s="946">
        <f t="shared" si="3"/>
        <v>0</v>
      </c>
      <c r="CH31" s="637" t="s">
        <v>661</v>
      </c>
      <c r="CI31" s="637" t="s">
        <v>305</v>
      </c>
      <c r="CJ31" s="637" t="s">
        <v>447</v>
      </c>
      <c r="CK31" s="637" t="s">
        <v>447</v>
      </c>
      <c r="CL31" s="639">
        <v>17009710340</v>
      </c>
      <c r="CM31" s="639">
        <v>0</v>
      </c>
      <c r="CN31" s="639">
        <v>0</v>
      </c>
      <c r="CO31" s="961">
        <f t="shared" si="15"/>
        <v>17009710.34</v>
      </c>
      <c r="CP31" s="961">
        <f t="shared" si="16"/>
        <v>0</v>
      </c>
      <c r="CQ31" s="961">
        <f t="shared" si="17"/>
        <v>0</v>
      </c>
      <c r="DH31" s="637" t="s">
        <v>661</v>
      </c>
      <c r="DI31" s="637" t="s">
        <v>305</v>
      </c>
      <c r="DJ31" s="637" t="s">
        <v>447</v>
      </c>
      <c r="DK31" s="637" t="s">
        <v>447</v>
      </c>
      <c r="DL31" s="639">
        <v>17885599340</v>
      </c>
      <c r="DM31" s="639">
        <v>0</v>
      </c>
      <c r="DN31" s="639">
        <v>0</v>
      </c>
      <c r="DO31" s="944">
        <f t="shared" si="21"/>
        <v>17885599.34</v>
      </c>
      <c r="DP31" s="944">
        <f t="shared" si="22"/>
        <v>0</v>
      </c>
      <c r="DQ31" s="944">
        <f t="shared" si="23"/>
        <v>0</v>
      </c>
      <c r="EI31" s="637" t="s">
        <v>660</v>
      </c>
      <c r="EJ31" s="637" t="s">
        <v>154</v>
      </c>
      <c r="EK31" s="637" t="s">
        <v>447</v>
      </c>
      <c r="EL31" s="637" t="s">
        <v>447</v>
      </c>
      <c r="EM31" s="637" t="s">
        <v>547</v>
      </c>
      <c r="EN31" s="637">
        <v>0</v>
      </c>
      <c r="EO31" s="637">
        <v>19272253726</v>
      </c>
      <c r="EP31" s="637">
        <v>6471211920</v>
      </c>
      <c r="EQ31" s="966">
        <f t="shared" si="27"/>
        <v>0</v>
      </c>
      <c r="ER31" s="966">
        <f t="shared" si="28"/>
        <v>19272253.726</v>
      </c>
      <c r="ES31" s="966">
        <f t="shared" si="29"/>
        <v>6471211.9199999999</v>
      </c>
      <c r="FK31" s="637" t="s">
        <v>660</v>
      </c>
      <c r="FL31" s="637" t="s">
        <v>154</v>
      </c>
      <c r="FM31" s="637" t="s">
        <v>447</v>
      </c>
      <c r="FN31" s="637" t="s">
        <v>447</v>
      </c>
      <c r="FO31" s="637" t="s">
        <v>547</v>
      </c>
      <c r="FP31" s="966">
        <v>60228663400</v>
      </c>
      <c r="FQ31" s="966">
        <v>0</v>
      </c>
      <c r="FR31" s="966">
        <v>0</v>
      </c>
      <c r="FS31" s="944">
        <f t="shared" si="33"/>
        <v>60228663.399999999</v>
      </c>
      <c r="FT31" s="944">
        <f t="shared" si="34"/>
        <v>0</v>
      </c>
      <c r="FU31" s="944">
        <f t="shared" si="35"/>
        <v>0</v>
      </c>
      <c r="GM31" s="967" t="s">
        <v>660</v>
      </c>
      <c r="GN31" s="968" t="s">
        <v>154</v>
      </c>
      <c r="GO31" s="967" t="s">
        <v>447</v>
      </c>
      <c r="GP31" s="967" t="s">
        <v>447</v>
      </c>
      <c r="GQ31" s="968" t="s">
        <v>547</v>
      </c>
      <c r="GR31" s="969">
        <v>60228663400</v>
      </c>
      <c r="GS31" s="969">
        <v>0</v>
      </c>
      <c r="GT31" s="969">
        <v>0</v>
      </c>
      <c r="GU31" s="969">
        <f t="shared" si="39"/>
        <v>60228663.399999999</v>
      </c>
      <c r="GV31" s="969">
        <f t="shared" si="40"/>
        <v>0</v>
      </c>
      <c r="GW31" s="969">
        <f t="shared" si="41"/>
        <v>0</v>
      </c>
      <c r="HO31" s="967" t="s">
        <v>660</v>
      </c>
      <c r="HP31" s="967" t="s">
        <v>154</v>
      </c>
      <c r="HQ31" s="967" t="s">
        <v>447</v>
      </c>
      <c r="HR31" s="967" t="s">
        <v>447</v>
      </c>
      <c r="HS31" s="638" t="s">
        <v>547</v>
      </c>
      <c r="HT31" s="639">
        <v>58228663400</v>
      </c>
      <c r="HU31" s="639">
        <v>0</v>
      </c>
      <c r="HV31" s="639">
        <v>0</v>
      </c>
      <c r="HW31" s="944">
        <f t="shared" si="45"/>
        <v>58228663.399999999</v>
      </c>
      <c r="HX31" s="944">
        <f t="shared" si="46"/>
        <v>0</v>
      </c>
      <c r="HY31" s="944">
        <f t="shared" si="47"/>
        <v>0</v>
      </c>
      <c r="IC31" s="637" t="s">
        <v>662</v>
      </c>
      <c r="ID31" s="637" t="s">
        <v>308</v>
      </c>
      <c r="IE31" s="637" t="s">
        <v>447</v>
      </c>
      <c r="IF31" s="637" t="s">
        <v>447</v>
      </c>
      <c r="IG31" s="638" t="s">
        <v>547</v>
      </c>
      <c r="IH31" s="639">
        <v>0</v>
      </c>
      <c r="II31" s="639">
        <v>413909181</v>
      </c>
      <c r="IJ31" s="639">
        <v>1259359920</v>
      </c>
      <c r="IK31" s="965">
        <f t="shared" si="48"/>
        <v>0</v>
      </c>
      <c r="IL31" s="965">
        <f t="shared" si="49"/>
        <v>413909.18099999998</v>
      </c>
      <c r="IM31" s="965">
        <f t="shared" si="50"/>
        <v>1259359.92</v>
      </c>
      <c r="IQ31" s="967" t="s">
        <v>451</v>
      </c>
      <c r="IR31" s="967" t="s">
        <v>470</v>
      </c>
      <c r="IS31" s="967" t="s">
        <v>447</v>
      </c>
      <c r="IT31" s="967" t="s">
        <v>447</v>
      </c>
      <c r="IU31" s="968" t="s">
        <v>547</v>
      </c>
      <c r="IV31" s="969">
        <v>0</v>
      </c>
      <c r="IW31" s="969">
        <v>11292890397</v>
      </c>
      <c r="IX31" s="969">
        <v>11226208281</v>
      </c>
      <c r="IY31" s="970">
        <f t="shared" si="59"/>
        <v>0</v>
      </c>
      <c r="IZ31" s="970">
        <f t="shared" si="60"/>
        <v>11292890.397</v>
      </c>
      <c r="JA31" s="970">
        <f t="shared" si="61"/>
        <v>11226208.280999999</v>
      </c>
      <c r="JE31" s="941"/>
      <c r="JF31" s="941"/>
      <c r="JG31" s="941"/>
      <c r="JH31" s="941"/>
      <c r="JO31" s="966" t="s">
        <v>451</v>
      </c>
      <c r="JP31" s="966" t="s">
        <v>470</v>
      </c>
      <c r="JQ31" s="966" t="s">
        <v>447</v>
      </c>
      <c r="JR31" s="640" t="s">
        <v>447</v>
      </c>
      <c r="JS31" s="640" t="s">
        <v>547</v>
      </c>
      <c r="JT31" s="971">
        <v>0</v>
      </c>
      <c r="JU31" s="971">
        <v>11998966894</v>
      </c>
      <c r="JV31" s="971">
        <v>11998966894</v>
      </c>
      <c r="JW31" s="945">
        <f t="shared" si="55"/>
        <v>0</v>
      </c>
      <c r="JX31" s="945">
        <f t="shared" si="56"/>
        <v>11998966.893999999</v>
      </c>
      <c r="JY31" s="945">
        <f t="shared" si="57"/>
        <v>11998966.893999999</v>
      </c>
    </row>
    <row r="32" spans="1:285" ht="15" customHeight="1" x14ac:dyDescent="0.3">
      <c r="A32" s="954" t="s">
        <v>663</v>
      </c>
      <c r="B32" s="954" t="s">
        <v>266</v>
      </c>
      <c r="C32" s="954" t="s">
        <v>447</v>
      </c>
      <c r="D32" s="954" t="s">
        <v>447</v>
      </c>
      <c r="E32" s="955">
        <v>0</v>
      </c>
      <c r="F32" s="955">
        <f t="shared" si="7"/>
        <v>0</v>
      </c>
      <c r="G32" s="955">
        <v>0</v>
      </c>
      <c r="H32" s="955">
        <f t="shared" si="8"/>
        <v>0</v>
      </c>
      <c r="AM32" s="956" t="s">
        <v>661</v>
      </c>
      <c r="AN32" s="956" t="s">
        <v>305</v>
      </c>
      <c r="AO32" s="956" t="s">
        <v>447</v>
      </c>
      <c r="AP32" s="956" t="s">
        <v>447</v>
      </c>
      <c r="AQ32" s="957">
        <v>0</v>
      </c>
      <c r="AR32" s="957">
        <f t="shared" si="58"/>
        <v>0</v>
      </c>
      <c r="AS32" s="957">
        <v>4282043448</v>
      </c>
      <c r="AV32" s="944"/>
      <c r="BG32" s="956" t="s">
        <v>661</v>
      </c>
      <c r="BH32" s="956" t="s">
        <v>305</v>
      </c>
      <c r="BI32" s="956" t="s">
        <v>447</v>
      </c>
      <c r="BJ32" s="956" t="s">
        <v>447</v>
      </c>
      <c r="BK32" s="957">
        <v>0</v>
      </c>
      <c r="BL32" s="957">
        <v>8846911670</v>
      </c>
      <c r="BM32" s="957">
        <v>8652019656</v>
      </c>
      <c r="BN32" s="946">
        <f t="shared" si="1"/>
        <v>0</v>
      </c>
      <c r="BO32" s="946">
        <f t="shared" si="2"/>
        <v>9404267.1052099988</v>
      </c>
      <c r="BP32" s="946">
        <f t="shared" si="3"/>
        <v>9197096.8943279982</v>
      </c>
      <c r="CH32" s="637" t="s">
        <v>661</v>
      </c>
      <c r="CI32" s="637" t="s">
        <v>305</v>
      </c>
      <c r="CJ32" s="637" t="s">
        <v>447</v>
      </c>
      <c r="CK32" s="637" t="s">
        <v>447</v>
      </c>
      <c r="CL32" s="639">
        <v>0</v>
      </c>
      <c r="CM32" s="639">
        <v>8846911670</v>
      </c>
      <c r="CN32" s="639">
        <v>8652019656</v>
      </c>
      <c r="CO32" s="961">
        <f t="shared" si="15"/>
        <v>0</v>
      </c>
      <c r="CP32" s="961">
        <f t="shared" si="16"/>
        <v>8846911.6699999999</v>
      </c>
      <c r="CQ32" s="961">
        <f t="shared" si="17"/>
        <v>8652019.6559999995</v>
      </c>
      <c r="DH32" s="637" t="s">
        <v>661</v>
      </c>
      <c r="DI32" s="637" t="s">
        <v>305</v>
      </c>
      <c r="DJ32" s="637" t="s">
        <v>447</v>
      </c>
      <c r="DK32" s="637" t="s">
        <v>447</v>
      </c>
      <c r="DL32" s="639">
        <v>0</v>
      </c>
      <c r="DM32" s="639">
        <v>8949202163</v>
      </c>
      <c r="DN32" s="639">
        <v>8921809832</v>
      </c>
      <c r="DO32" s="944">
        <f t="shared" si="21"/>
        <v>0</v>
      </c>
      <c r="DP32" s="944">
        <f t="shared" si="22"/>
        <v>8949202.1630000006</v>
      </c>
      <c r="DQ32" s="944">
        <f t="shared" si="23"/>
        <v>8921809.8320000004</v>
      </c>
      <c r="EI32" s="637" t="s">
        <v>661</v>
      </c>
      <c r="EJ32" s="637" t="s">
        <v>305</v>
      </c>
      <c r="EK32" s="637" t="s">
        <v>447</v>
      </c>
      <c r="EL32" s="637" t="s">
        <v>447</v>
      </c>
      <c r="EM32" s="637" t="s">
        <v>547</v>
      </c>
      <c r="EN32" s="637">
        <v>17885599340</v>
      </c>
      <c r="EO32" s="637">
        <v>0</v>
      </c>
      <c r="EP32" s="637">
        <v>0</v>
      </c>
      <c r="EQ32" s="966">
        <f t="shared" si="27"/>
        <v>17885599.34</v>
      </c>
      <c r="ER32" s="966">
        <f t="shared" si="28"/>
        <v>0</v>
      </c>
      <c r="ES32" s="966">
        <f t="shared" si="29"/>
        <v>0</v>
      </c>
      <c r="FK32" s="637" t="s">
        <v>660</v>
      </c>
      <c r="FL32" s="637" t="s">
        <v>154</v>
      </c>
      <c r="FM32" s="637" t="s">
        <v>447</v>
      </c>
      <c r="FN32" s="637" t="s">
        <v>447</v>
      </c>
      <c r="FO32" s="637" t="s">
        <v>547</v>
      </c>
      <c r="FP32" s="966">
        <v>0</v>
      </c>
      <c r="FQ32" s="966">
        <v>33622000485</v>
      </c>
      <c r="FR32" s="966">
        <v>33489677511</v>
      </c>
      <c r="FS32" s="944">
        <f t="shared" si="33"/>
        <v>0</v>
      </c>
      <c r="FT32" s="944">
        <f t="shared" si="34"/>
        <v>33622000.484999999</v>
      </c>
      <c r="FU32" s="944">
        <f t="shared" si="35"/>
        <v>33489677.511</v>
      </c>
      <c r="GM32" s="967" t="s">
        <v>660</v>
      </c>
      <c r="GN32" s="968" t="s">
        <v>154</v>
      </c>
      <c r="GO32" s="967" t="s">
        <v>447</v>
      </c>
      <c r="GP32" s="967" t="s">
        <v>447</v>
      </c>
      <c r="GQ32" s="968" t="s">
        <v>547</v>
      </c>
      <c r="GR32" s="969">
        <v>0</v>
      </c>
      <c r="GS32" s="969">
        <v>37632239533</v>
      </c>
      <c r="GT32" s="969">
        <v>36762631218</v>
      </c>
      <c r="GU32" s="969">
        <f t="shared" si="39"/>
        <v>0</v>
      </c>
      <c r="GV32" s="969">
        <f t="shared" si="40"/>
        <v>37632239.533</v>
      </c>
      <c r="GW32" s="969">
        <f t="shared" si="41"/>
        <v>36762631.218000002</v>
      </c>
      <c r="HO32" s="967" t="s">
        <v>660</v>
      </c>
      <c r="HP32" s="967" t="s">
        <v>154</v>
      </c>
      <c r="HQ32" s="967" t="s">
        <v>447</v>
      </c>
      <c r="HR32" s="967" t="s">
        <v>447</v>
      </c>
      <c r="HS32" s="638" t="s">
        <v>547</v>
      </c>
      <c r="HT32" s="639">
        <v>0</v>
      </c>
      <c r="HU32" s="639">
        <v>40471835479</v>
      </c>
      <c r="HV32" s="639">
        <v>39001201314</v>
      </c>
      <c r="HW32" s="944">
        <f t="shared" si="45"/>
        <v>0</v>
      </c>
      <c r="HX32" s="944">
        <f t="shared" si="46"/>
        <v>40471835.479000002</v>
      </c>
      <c r="HY32" s="944">
        <f t="shared" si="47"/>
        <v>39001201.314000003</v>
      </c>
      <c r="IC32" s="637" t="s">
        <v>662</v>
      </c>
      <c r="ID32" s="637" t="s">
        <v>308</v>
      </c>
      <c r="IE32" s="637" t="s">
        <v>447</v>
      </c>
      <c r="IF32" s="637" t="s">
        <v>447</v>
      </c>
      <c r="IG32" s="638" t="s">
        <v>547</v>
      </c>
      <c r="IH32" s="639">
        <v>-534777315</v>
      </c>
      <c r="II32" s="639">
        <v>0</v>
      </c>
      <c r="IJ32" s="639">
        <v>0</v>
      </c>
      <c r="IK32" s="965">
        <f t="shared" si="48"/>
        <v>-534777.31499999994</v>
      </c>
      <c r="IL32" s="965">
        <f t="shared" si="49"/>
        <v>0</v>
      </c>
      <c r="IM32" s="965">
        <f t="shared" si="50"/>
        <v>0</v>
      </c>
      <c r="IQ32" s="967" t="s">
        <v>659</v>
      </c>
      <c r="IR32" s="967" t="s">
        <v>221</v>
      </c>
      <c r="IS32" s="967" t="s">
        <v>447</v>
      </c>
      <c r="IT32" s="967" t="s">
        <v>447</v>
      </c>
      <c r="IU32" s="968" t="s">
        <v>547</v>
      </c>
      <c r="IV32" s="969">
        <v>9345937500</v>
      </c>
      <c r="IW32" s="969">
        <v>0</v>
      </c>
      <c r="IX32" s="969">
        <v>0</v>
      </c>
      <c r="IY32" s="970">
        <f t="shared" si="59"/>
        <v>9345937.5</v>
      </c>
      <c r="IZ32" s="970">
        <f t="shared" si="60"/>
        <v>0</v>
      </c>
      <c r="JA32" s="970">
        <f t="shared" si="61"/>
        <v>0</v>
      </c>
      <c r="JE32" s="941"/>
      <c r="JF32" s="941"/>
      <c r="JG32" s="941"/>
      <c r="JH32" s="941"/>
      <c r="JO32" s="966" t="s">
        <v>451</v>
      </c>
      <c r="JP32" s="966" t="s">
        <v>470</v>
      </c>
      <c r="JQ32" s="966" t="s">
        <v>447</v>
      </c>
      <c r="JR32" s="640" t="s">
        <v>447</v>
      </c>
      <c r="JS32" s="640" t="s">
        <v>547</v>
      </c>
      <c r="JT32" s="971">
        <v>0</v>
      </c>
      <c r="JU32" s="971">
        <v>5222934106</v>
      </c>
      <c r="JV32" s="971">
        <v>5222934106</v>
      </c>
      <c r="JW32" s="945">
        <f t="shared" si="55"/>
        <v>0</v>
      </c>
      <c r="JX32" s="945">
        <f t="shared" si="56"/>
        <v>5222934.1059999997</v>
      </c>
      <c r="JY32" s="945">
        <f t="shared" si="57"/>
        <v>5222934.1059999997</v>
      </c>
    </row>
    <row r="33" spans="1:285" ht="15" customHeight="1" x14ac:dyDescent="0.3">
      <c r="A33" s="954" t="s">
        <v>664</v>
      </c>
      <c r="B33" s="954" t="s">
        <v>267</v>
      </c>
      <c r="C33" s="954" t="s">
        <v>447</v>
      </c>
      <c r="D33" s="954" t="s">
        <v>447</v>
      </c>
      <c r="E33" s="955">
        <v>948543000</v>
      </c>
      <c r="F33" s="955">
        <f t="shared" si="7"/>
        <v>1008301.2089999999</v>
      </c>
      <c r="G33" s="955">
        <v>0</v>
      </c>
      <c r="H33" s="955">
        <f t="shared" si="8"/>
        <v>0</v>
      </c>
      <c r="AM33" s="956" t="s">
        <v>662</v>
      </c>
      <c r="AN33" s="956" t="s">
        <v>308</v>
      </c>
      <c r="AO33" s="956" t="s">
        <v>447</v>
      </c>
      <c r="AP33" s="956" t="s">
        <v>447</v>
      </c>
      <c r="AQ33" s="957">
        <v>6668896304</v>
      </c>
      <c r="AR33" s="957">
        <f t="shared" si="58"/>
        <v>7089036.771151999</v>
      </c>
      <c r="AS33" s="957">
        <v>0</v>
      </c>
      <c r="AV33" s="944"/>
      <c r="BG33" s="956" t="s">
        <v>662</v>
      </c>
      <c r="BH33" s="956" t="s">
        <v>308</v>
      </c>
      <c r="BI33" s="956" t="s">
        <v>447</v>
      </c>
      <c r="BJ33" s="956" t="s">
        <v>447</v>
      </c>
      <c r="BK33" s="957">
        <v>6668896304</v>
      </c>
      <c r="BL33" s="957">
        <v>0</v>
      </c>
      <c r="BM33" s="957">
        <v>0</v>
      </c>
      <c r="BN33" s="946">
        <f t="shared" si="1"/>
        <v>7089036.771151999</v>
      </c>
      <c r="BO33" s="946">
        <f t="shared" si="2"/>
        <v>0</v>
      </c>
      <c r="BP33" s="946">
        <f t="shared" si="3"/>
        <v>0</v>
      </c>
      <c r="CH33" s="637" t="s">
        <v>662</v>
      </c>
      <c r="CI33" s="637" t="s">
        <v>308</v>
      </c>
      <c r="CJ33" s="637" t="s">
        <v>447</v>
      </c>
      <c r="CK33" s="637" t="s">
        <v>447</v>
      </c>
      <c r="CL33" s="639">
        <v>6668896304</v>
      </c>
      <c r="CM33" s="639">
        <v>0</v>
      </c>
      <c r="CN33" s="639">
        <v>0</v>
      </c>
      <c r="CO33" s="961">
        <f t="shared" si="15"/>
        <v>6668896.3039999995</v>
      </c>
      <c r="CP33" s="961">
        <f t="shared" si="16"/>
        <v>0</v>
      </c>
      <c r="CQ33" s="961">
        <f t="shared" si="17"/>
        <v>0</v>
      </c>
      <c r="DH33" s="637" t="s">
        <v>662</v>
      </c>
      <c r="DI33" s="637" t="s">
        <v>308</v>
      </c>
      <c r="DJ33" s="637" t="s">
        <v>447</v>
      </c>
      <c r="DK33" s="637" t="s">
        <v>447</v>
      </c>
      <c r="DL33" s="639">
        <v>6668896304</v>
      </c>
      <c r="DM33" s="639">
        <v>0</v>
      </c>
      <c r="DN33" s="639">
        <v>0</v>
      </c>
      <c r="DO33" s="944">
        <f t="shared" si="21"/>
        <v>6668896.3039999995</v>
      </c>
      <c r="DP33" s="944">
        <f t="shared" si="22"/>
        <v>0</v>
      </c>
      <c r="DQ33" s="944">
        <f t="shared" si="23"/>
        <v>0</v>
      </c>
      <c r="EI33" s="637" t="s">
        <v>661</v>
      </c>
      <c r="EJ33" s="637" t="s">
        <v>305</v>
      </c>
      <c r="EK33" s="637" t="s">
        <v>447</v>
      </c>
      <c r="EL33" s="637" t="s">
        <v>447</v>
      </c>
      <c r="EM33" s="637" t="s">
        <v>547</v>
      </c>
      <c r="EN33" s="637">
        <v>0</v>
      </c>
      <c r="EO33" s="637">
        <v>17803099113</v>
      </c>
      <c r="EP33" s="637">
        <v>13332325089</v>
      </c>
      <c r="EQ33" s="966">
        <f t="shared" si="27"/>
        <v>0</v>
      </c>
      <c r="ER33" s="966">
        <f t="shared" si="28"/>
        <v>17803099.113000002</v>
      </c>
      <c r="ES33" s="966">
        <f t="shared" si="29"/>
        <v>13332325.089</v>
      </c>
      <c r="FK33" s="637" t="s">
        <v>661</v>
      </c>
      <c r="FL33" s="637" t="s">
        <v>305</v>
      </c>
      <c r="FM33" s="637" t="s">
        <v>447</v>
      </c>
      <c r="FN33" s="637" t="s">
        <v>447</v>
      </c>
      <c r="FO33" s="637" t="s">
        <v>547</v>
      </c>
      <c r="FP33" s="966">
        <v>17885599340</v>
      </c>
      <c r="FQ33" s="966">
        <v>0</v>
      </c>
      <c r="FR33" s="966">
        <v>0</v>
      </c>
      <c r="FS33" s="944">
        <f t="shared" si="33"/>
        <v>17885599.34</v>
      </c>
      <c r="FT33" s="944">
        <f t="shared" si="34"/>
        <v>0</v>
      </c>
      <c r="FU33" s="944">
        <f t="shared" si="35"/>
        <v>0</v>
      </c>
      <c r="GM33" s="967" t="s">
        <v>661</v>
      </c>
      <c r="GN33" s="968" t="s">
        <v>305</v>
      </c>
      <c r="GO33" s="967" t="s">
        <v>447</v>
      </c>
      <c r="GP33" s="967" t="s">
        <v>447</v>
      </c>
      <c r="GQ33" s="968" t="s">
        <v>547</v>
      </c>
      <c r="GR33" s="969">
        <v>17885599340</v>
      </c>
      <c r="GS33" s="969">
        <v>0</v>
      </c>
      <c r="GT33" s="969">
        <v>0</v>
      </c>
      <c r="GU33" s="969">
        <f t="shared" si="39"/>
        <v>17885599.34</v>
      </c>
      <c r="GV33" s="969">
        <f t="shared" si="40"/>
        <v>0</v>
      </c>
      <c r="GW33" s="969">
        <f t="shared" si="41"/>
        <v>0</v>
      </c>
      <c r="HO33" s="967" t="s">
        <v>661</v>
      </c>
      <c r="HP33" s="967" t="s">
        <v>305</v>
      </c>
      <c r="HQ33" s="967" t="s">
        <v>447</v>
      </c>
      <c r="HR33" s="967" t="s">
        <v>447</v>
      </c>
      <c r="HS33" s="638" t="s">
        <v>547</v>
      </c>
      <c r="HT33" s="639">
        <v>17885599340</v>
      </c>
      <c r="HU33" s="639">
        <v>0</v>
      </c>
      <c r="HV33" s="639">
        <v>0</v>
      </c>
      <c r="HW33" s="944">
        <f t="shared" si="45"/>
        <v>17885599.34</v>
      </c>
      <c r="HX33" s="944">
        <f t="shared" si="46"/>
        <v>0</v>
      </c>
      <c r="HY33" s="944">
        <f t="shared" si="47"/>
        <v>0</v>
      </c>
      <c r="IC33" s="637" t="s">
        <v>663</v>
      </c>
      <c r="ID33" s="637" t="s">
        <v>266</v>
      </c>
      <c r="IE33" s="637" t="s">
        <v>447</v>
      </c>
      <c r="IF33" s="637" t="s">
        <v>447</v>
      </c>
      <c r="IG33" s="638" t="s">
        <v>547</v>
      </c>
      <c r="IH33" s="639">
        <v>534777315</v>
      </c>
      <c r="II33" s="639">
        <v>0</v>
      </c>
      <c r="IJ33" s="639">
        <v>0</v>
      </c>
      <c r="IK33" s="965">
        <f t="shared" si="48"/>
        <v>534777.31499999994</v>
      </c>
      <c r="IL33" s="965">
        <f t="shared" si="49"/>
        <v>0</v>
      </c>
      <c r="IM33" s="965">
        <f t="shared" si="50"/>
        <v>0</v>
      </c>
      <c r="IQ33" s="967" t="s">
        <v>659</v>
      </c>
      <c r="IR33" s="967" t="s">
        <v>221</v>
      </c>
      <c r="IS33" s="967" t="s">
        <v>447</v>
      </c>
      <c r="IT33" s="967" t="s">
        <v>447</v>
      </c>
      <c r="IU33" s="968" t="s">
        <v>547</v>
      </c>
      <c r="IV33" s="969">
        <v>0</v>
      </c>
      <c r="IW33" s="969">
        <v>8353726567</v>
      </c>
      <c r="IX33" s="969">
        <v>6939894744</v>
      </c>
      <c r="IY33" s="970">
        <f t="shared" si="59"/>
        <v>0</v>
      </c>
      <c r="IZ33" s="970">
        <f t="shared" si="60"/>
        <v>8353726.5669999998</v>
      </c>
      <c r="JA33" s="970">
        <f t="shared" si="61"/>
        <v>6939894.7439999999</v>
      </c>
      <c r="JE33" s="941"/>
      <c r="JF33" s="941"/>
      <c r="JG33" s="941"/>
      <c r="JH33" s="941"/>
      <c r="JO33" s="966" t="s">
        <v>659</v>
      </c>
      <c r="JP33" s="966" t="s">
        <v>221</v>
      </c>
      <c r="JQ33" s="966" t="s">
        <v>447</v>
      </c>
      <c r="JR33" s="640" t="s">
        <v>447</v>
      </c>
      <c r="JS33" s="640" t="s">
        <v>547</v>
      </c>
      <c r="JT33" s="971">
        <v>9806029548</v>
      </c>
      <c r="JU33" s="971">
        <v>0</v>
      </c>
      <c r="JV33" s="971">
        <v>0</v>
      </c>
      <c r="JW33" s="945">
        <f t="shared" si="55"/>
        <v>9806029.5480000004</v>
      </c>
      <c r="JX33" s="945">
        <f t="shared" si="56"/>
        <v>0</v>
      </c>
      <c r="JY33" s="945">
        <f t="shared" si="57"/>
        <v>0</v>
      </c>
    </row>
    <row r="34" spans="1:285" ht="15" customHeight="1" x14ac:dyDescent="0.3">
      <c r="A34" s="954" t="s">
        <v>664</v>
      </c>
      <c r="B34" s="954" t="s">
        <v>267</v>
      </c>
      <c r="C34" s="954" t="s">
        <v>447</v>
      </c>
      <c r="D34" s="954" t="s">
        <v>447</v>
      </c>
      <c r="E34" s="955">
        <v>0</v>
      </c>
      <c r="F34" s="955">
        <f t="shared" si="7"/>
        <v>0</v>
      </c>
      <c r="G34" s="955">
        <v>21100000</v>
      </c>
      <c r="H34" s="955">
        <f t="shared" si="8"/>
        <v>22429.3</v>
      </c>
      <c r="AM34" s="956" t="s">
        <v>662</v>
      </c>
      <c r="AN34" s="956" t="s">
        <v>308</v>
      </c>
      <c r="AO34" s="956" t="s">
        <v>447</v>
      </c>
      <c r="AP34" s="956" t="s">
        <v>447</v>
      </c>
      <c r="AQ34" s="957">
        <v>0</v>
      </c>
      <c r="AR34" s="957">
        <f t="shared" si="58"/>
        <v>0</v>
      </c>
      <c r="AS34" s="957">
        <v>3197615392</v>
      </c>
      <c r="AV34" s="944"/>
      <c r="BG34" s="956" t="s">
        <v>662</v>
      </c>
      <c r="BH34" s="956" t="s">
        <v>308</v>
      </c>
      <c r="BI34" s="956" t="s">
        <v>447</v>
      </c>
      <c r="BJ34" s="956" t="s">
        <v>447</v>
      </c>
      <c r="BK34" s="957">
        <v>0</v>
      </c>
      <c r="BL34" s="957">
        <v>4286570442</v>
      </c>
      <c r="BM34" s="957">
        <v>3800576351</v>
      </c>
      <c r="BN34" s="946">
        <f t="shared" si="1"/>
        <v>0</v>
      </c>
      <c r="BO34" s="946">
        <f t="shared" si="2"/>
        <v>4556624.3798459992</v>
      </c>
      <c r="BP34" s="946">
        <f t="shared" si="3"/>
        <v>4040012.6611129995</v>
      </c>
      <c r="CH34" s="637" t="s">
        <v>662</v>
      </c>
      <c r="CI34" s="637" t="s">
        <v>308</v>
      </c>
      <c r="CJ34" s="637" t="s">
        <v>447</v>
      </c>
      <c r="CK34" s="637" t="s">
        <v>447</v>
      </c>
      <c r="CL34" s="639">
        <v>0</v>
      </c>
      <c r="CM34" s="639">
        <v>4849803362</v>
      </c>
      <c r="CN34" s="639">
        <v>4363406616</v>
      </c>
      <c r="CO34" s="961">
        <f t="shared" si="15"/>
        <v>0</v>
      </c>
      <c r="CP34" s="961">
        <f t="shared" si="16"/>
        <v>4849803.3619999997</v>
      </c>
      <c r="CQ34" s="961">
        <f t="shared" si="17"/>
        <v>4363406.6160000004</v>
      </c>
      <c r="DH34" s="637" t="s">
        <v>662</v>
      </c>
      <c r="DI34" s="637" t="s">
        <v>308</v>
      </c>
      <c r="DJ34" s="637" t="s">
        <v>447</v>
      </c>
      <c r="DK34" s="637" t="s">
        <v>447</v>
      </c>
      <c r="DL34" s="639">
        <v>0</v>
      </c>
      <c r="DM34" s="639">
        <v>5042440772</v>
      </c>
      <c r="DN34" s="639">
        <v>4599670681</v>
      </c>
      <c r="DO34" s="944">
        <f t="shared" si="21"/>
        <v>0</v>
      </c>
      <c r="DP34" s="944">
        <f t="shared" si="22"/>
        <v>5042440.7719999999</v>
      </c>
      <c r="DQ34" s="944">
        <f t="shared" si="23"/>
        <v>4599670.6809999999</v>
      </c>
      <c r="EI34" s="637" t="s">
        <v>662</v>
      </c>
      <c r="EJ34" s="637" t="s">
        <v>308</v>
      </c>
      <c r="EK34" s="637" t="s">
        <v>447</v>
      </c>
      <c r="EL34" s="637" t="s">
        <v>447</v>
      </c>
      <c r="EM34" s="637" t="s">
        <v>547</v>
      </c>
      <c r="EN34" s="637">
        <v>6668896304</v>
      </c>
      <c r="EO34" s="637">
        <v>0</v>
      </c>
      <c r="EP34" s="637">
        <v>0</v>
      </c>
      <c r="EQ34" s="966">
        <f t="shared" si="27"/>
        <v>6668896.3039999995</v>
      </c>
      <c r="ER34" s="966">
        <f t="shared" si="28"/>
        <v>0</v>
      </c>
      <c r="ES34" s="966">
        <f t="shared" si="29"/>
        <v>0</v>
      </c>
      <c r="FK34" s="637" t="s">
        <v>661</v>
      </c>
      <c r="FL34" s="637" t="s">
        <v>305</v>
      </c>
      <c r="FM34" s="637" t="s">
        <v>447</v>
      </c>
      <c r="FN34" s="637" t="s">
        <v>447</v>
      </c>
      <c r="FO34" s="637" t="s">
        <v>547</v>
      </c>
      <c r="FP34" s="966">
        <v>0</v>
      </c>
      <c r="FQ34" s="966">
        <v>17803099113</v>
      </c>
      <c r="FR34" s="966">
        <v>13390965174</v>
      </c>
      <c r="FS34" s="944">
        <f t="shared" si="33"/>
        <v>0</v>
      </c>
      <c r="FT34" s="944">
        <f t="shared" si="34"/>
        <v>17803099.113000002</v>
      </c>
      <c r="FU34" s="944">
        <f t="shared" si="35"/>
        <v>13390965.174000001</v>
      </c>
      <c r="GM34" s="967" t="s">
        <v>661</v>
      </c>
      <c r="GN34" s="968" t="s">
        <v>305</v>
      </c>
      <c r="GO34" s="967" t="s">
        <v>447</v>
      </c>
      <c r="GP34" s="967" t="s">
        <v>447</v>
      </c>
      <c r="GQ34" s="968" t="s">
        <v>547</v>
      </c>
      <c r="GR34" s="969">
        <v>0</v>
      </c>
      <c r="GS34" s="969">
        <v>17803099113</v>
      </c>
      <c r="GT34" s="969">
        <v>13390965174</v>
      </c>
      <c r="GU34" s="969">
        <f t="shared" si="39"/>
        <v>0</v>
      </c>
      <c r="GV34" s="969">
        <f t="shared" si="40"/>
        <v>17803099.113000002</v>
      </c>
      <c r="GW34" s="969">
        <f t="shared" si="41"/>
        <v>13390965.174000001</v>
      </c>
      <c r="HO34" s="967" t="s">
        <v>661</v>
      </c>
      <c r="HP34" s="967" t="s">
        <v>305</v>
      </c>
      <c r="HQ34" s="967" t="s">
        <v>447</v>
      </c>
      <c r="HR34" s="967" t="s">
        <v>447</v>
      </c>
      <c r="HS34" s="638" t="s">
        <v>547</v>
      </c>
      <c r="HT34" s="639">
        <v>0</v>
      </c>
      <c r="HU34" s="639">
        <v>17803099113</v>
      </c>
      <c r="HV34" s="639">
        <v>15337163484</v>
      </c>
      <c r="HW34" s="944">
        <f t="shared" si="45"/>
        <v>0</v>
      </c>
      <c r="HX34" s="944">
        <f t="shared" si="46"/>
        <v>17803099.113000002</v>
      </c>
      <c r="HY34" s="944">
        <f t="shared" si="47"/>
        <v>15337163.483999999</v>
      </c>
      <c r="IC34" s="637" t="s">
        <v>663</v>
      </c>
      <c r="ID34" s="637" t="s">
        <v>266</v>
      </c>
      <c r="IE34" s="637" t="s">
        <v>447</v>
      </c>
      <c r="IF34" s="637" t="s">
        <v>447</v>
      </c>
      <c r="IG34" s="638" t="s">
        <v>547</v>
      </c>
      <c r="IH34" s="639">
        <v>0</v>
      </c>
      <c r="II34" s="639">
        <v>0</v>
      </c>
      <c r="IJ34" s="639">
        <v>1447202024</v>
      </c>
      <c r="IK34" s="965">
        <f t="shared" si="48"/>
        <v>0</v>
      </c>
      <c r="IL34" s="965">
        <f t="shared" si="49"/>
        <v>0</v>
      </c>
      <c r="IM34" s="965">
        <f t="shared" si="50"/>
        <v>1447202.024</v>
      </c>
      <c r="IQ34" s="967" t="s">
        <v>660</v>
      </c>
      <c r="IR34" s="967" t="s">
        <v>154</v>
      </c>
      <c r="IS34" s="967" t="s">
        <v>447</v>
      </c>
      <c r="IT34" s="967" t="s">
        <v>447</v>
      </c>
      <c r="IU34" s="968" t="s">
        <v>547</v>
      </c>
      <c r="IV34" s="969">
        <v>58298663400</v>
      </c>
      <c r="IW34" s="969">
        <v>0</v>
      </c>
      <c r="IX34" s="969">
        <v>0</v>
      </c>
      <c r="IY34" s="970">
        <f t="shared" si="59"/>
        <v>58298663.399999999</v>
      </c>
      <c r="IZ34" s="970">
        <f t="shared" si="60"/>
        <v>0</v>
      </c>
      <c r="JA34" s="970">
        <f t="shared" si="61"/>
        <v>0</v>
      </c>
      <c r="JE34" s="941"/>
      <c r="JF34" s="941"/>
      <c r="JG34" s="941"/>
      <c r="JH34" s="941"/>
      <c r="JO34" s="966" t="s">
        <v>659</v>
      </c>
      <c r="JP34" s="966" t="s">
        <v>221</v>
      </c>
      <c r="JQ34" s="966" t="s">
        <v>447</v>
      </c>
      <c r="JR34" s="640" t="s">
        <v>447</v>
      </c>
      <c r="JS34" s="640" t="s">
        <v>547</v>
      </c>
      <c r="JT34" s="971">
        <v>0</v>
      </c>
      <c r="JU34" s="971">
        <v>9805943378</v>
      </c>
      <c r="JV34" s="971">
        <v>9805943378</v>
      </c>
      <c r="JW34" s="945">
        <f t="shared" si="55"/>
        <v>0</v>
      </c>
      <c r="JX34" s="945">
        <f t="shared" si="56"/>
        <v>9805943.3780000005</v>
      </c>
      <c r="JY34" s="945">
        <f t="shared" si="57"/>
        <v>9805943.3780000005</v>
      </c>
    </row>
    <row r="35" spans="1:285" ht="15" customHeight="1" x14ac:dyDescent="0.3">
      <c r="A35" s="954" t="s">
        <v>665</v>
      </c>
      <c r="B35" s="954" t="s">
        <v>342</v>
      </c>
      <c r="C35" s="954" t="s">
        <v>447</v>
      </c>
      <c r="D35" s="954" t="s">
        <v>447</v>
      </c>
      <c r="E35" s="955">
        <v>2009426000</v>
      </c>
      <c r="F35" s="955">
        <f t="shared" si="7"/>
        <v>2136019.838</v>
      </c>
      <c r="G35" s="955">
        <v>0</v>
      </c>
      <c r="H35" s="955">
        <f t="shared" si="8"/>
        <v>0</v>
      </c>
      <c r="AM35" s="956" t="s">
        <v>663</v>
      </c>
      <c r="AN35" s="956" t="s">
        <v>266</v>
      </c>
      <c r="AO35" s="956" t="s">
        <v>447</v>
      </c>
      <c r="AP35" s="956" t="s">
        <v>447</v>
      </c>
      <c r="AQ35" s="957">
        <v>876109000</v>
      </c>
      <c r="AR35" s="957">
        <f t="shared" si="58"/>
        <v>931303.86699999997</v>
      </c>
      <c r="AS35" s="957">
        <v>0</v>
      </c>
      <c r="AV35" s="944"/>
      <c r="BG35" s="956" t="s">
        <v>663</v>
      </c>
      <c r="BH35" s="956" t="s">
        <v>266</v>
      </c>
      <c r="BI35" s="956" t="s">
        <v>447</v>
      </c>
      <c r="BJ35" s="956" t="s">
        <v>447</v>
      </c>
      <c r="BK35" s="957">
        <v>876109000</v>
      </c>
      <c r="BL35" s="957">
        <v>0</v>
      </c>
      <c r="BM35" s="957">
        <v>0</v>
      </c>
      <c r="BN35" s="946">
        <f t="shared" si="1"/>
        <v>931303.86699999997</v>
      </c>
      <c r="BO35" s="946">
        <f t="shared" si="2"/>
        <v>0</v>
      </c>
      <c r="BP35" s="946">
        <f t="shared" si="3"/>
        <v>0</v>
      </c>
      <c r="CH35" s="637" t="s">
        <v>663</v>
      </c>
      <c r="CI35" s="637" t="s">
        <v>266</v>
      </c>
      <c r="CJ35" s="637" t="s">
        <v>447</v>
      </c>
      <c r="CK35" s="637" t="s">
        <v>447</v>
      </c>
      <c r="CL35" s="639">
        <v>876109000</v>
      </c>
      <c r="CM35" s="639">
        <v>0</v>
      </c>
      <c r="CN35" s="639">
        <v>0</v>
      </c>
      <c r="CO35" s="961">
        <f t="shared" si="15"/>
        <v>876109</v>
      </c>
      <c r="CP35" s="961">
        <f t="shared" si="16"/>
        <v>0</v>
      </c>
      <c r="CQ35" s="961">
        <f t="shared" si="17"/>
        <v>0</v>
      </c>
      <c r="DH35" s="637" t="s">
        <v>663</v>
      </c>
      <c r="DI35" s="637" t="s">
        <v>266</v>
      </c>
      <c r="DJ35" s="637" t="s">
        <v>447</v>
      </c>
      <c r="DK35" s="637" t="s">
        <v>447</v>
      </c>
      <c r="DL35" s="639">
        <v>3374020024</v>
      </c>
      <c r="DM35" s="639">
        <v>0</v>
      </c>
      <c r="DN35" s="639">
        <v>0</v>
      </c>
      <c r="DO35" s="944">
        <f t="shared" si="21"/>
        <v>3374020.0240000002</v>
      </c>
      <c r="DP35" s="944">
        <f t="shared" si="22"/>
        <v>0</v>
      </c>
      <c r="DQ35" s="944">
        <f t="shared" si="23"/>
        <v>0</v>
      </c>
      <c r="EI35" s="637" t="s">
        <v>662</v>
      </c>
      <c r="EJ35" s="637" t="s">
        <v>308</v>
      </c>
      <c r="EK35" s="637" t="s">
        <v>447</v>
      </c>
      <c r="EL35" s="637" t="s">
        <v>447</v>
      </c>
      <c r="EM35" s="637" t="s">
        <v>547</v>
      </c>
      <c r="EN35" s="637">
        <v>0</v>
      </c>
      <c r="EO35" s="637">
        <v>5134941920</v>
      </c>
      <c r="EP35" s="637">
        <v>4695663829</v>
      </c>
      <c r="EQ35" s="966">
        <f t="shared" si="27"/>
        <v>0</v>
      </c>
      <c r="ER35" s="966">
        <f t="shared" si="28"/>
        <v>5134941.92</v>
      </c>
      <c r="ES35" s="966">
        <f t="shared" si="29"/>
        <v>4695663.8289999999</v>
      </c>
      <c r="FK35" s="637" t="s">
        <v>662</v>
      </c>
      <c r="FL35" s="637" t="s">
        <v>308</v>
      </c>
      <c r="FM35" s="637" t="s">
        <v>447</v>
      </c>
      <c r="FN35" s="637" t="s">
        <v>447</v>
      </c>
      <c r="FO35" s="637" t="s">
        <v>547</v>
      </c>
      <c r="FP35" s="966">
        <v>6668896304</v>
      </c>
      <c r="FQ35" s="966">
        <v>0</v>
      </c>
      <c r="FR35" s="966">
        <v>0</v>
      </c>
      <c r="FS35" s="944">
        <f t="shared" si="33"/>
        <v>6668896.3039999995</v>
      </c>
      <c r="FT35" s="944">
        <f t="shared" si="34"/>
        <v>0</v>
      </c>
      <c r="FU35" s="944">
        <f t="shared" si="35"/>
        <v>0</v>
      </c>
      <c r="GM35" s="967" t="s">
        <v>662</v>
      </c>
      <c r="GN35" s="968" t="s">
        <v>308</v>
      </c>
      <c r="GO35" s="967" t="s">
        <v>447</v>
      </c>
      <c r="GP35" s="967" t="s">
        <v>447</v>
      </c>
      <c r="GQ35" s="968" t="s">
        <v>547</v>
      </c>
      <c r="GR35" s="969">
        <v>9911158850</v>
      </c>
      <c r="GS35" s="969">
        <v>0</v>
      </c>
      <c r="GT35" s="969">
        <v>0</v>
      </c>
      <c r="GU35" s="969">
        <f t="shared" si="39"/>
        <v>9911158.8499999996</v>
      </c>
      <c r="GV35" s="969">
        <f t="shared" si="40"/>
        <v>0</v>
      </c>
      <c r="GW35" s="969">
        <f t="shared" si="41"/>
        <v>0</v>
      </c>
      <c r="HO35" s="967" t="s">
        <v>901</v>
      </c>
      <c r="HP35" s="967" t="s">
        <v>902</v>
      </c>
      <c r="HQ35" s="967" t="s">
        <v>447</v>
      </c>
      <c r="HR35" s="967" t="s">
        <v>447</v>
      </c>
      <c r="HS35" s="638" t="s">
        <v>547</v>
      </c>
      <c r="HT35" s="639">
        <v>2000000000</v>
      </c>
      <c r="HU35" s="639">
        <v>0</v>
      </c>
      <c r="HV35" s="639">
        <v>0</v>
      </c>
      <c r="HW35" s="944">
        <f t="shared" si="45"/>
        <v>2000000</v>
      </c>
      <c r="HX35" s="944">
        <f t="shared" si="46"/>
        <v>0</v>
      </c>
      <c r="HY35" s="944">
        <f t="shared" si="47"/>
        <v>0</v>
      </c>
      <c r="IC35" s="637" t="s">
        <v>664</v>
      </c>
      <c r="ID35" s="637" t="s">
        <v>267</v>
      </c>
      <c r="IE35" s="637" t="s">
        <v>447</v>
      </c>
      <c r="IF35" s="637" t="s">
        <v>447</v>
      </c>
      <c r="IG35" s="638" t="s">
        <v>547</v>
      </c>
      <c r="IH35" s="639">
        <v>472614021</v>
      </c>
      <c r="II35" s="639">
        <v>0</v>
      </c>
      <c r="IJ35" s="639">
        <v>0</v>
      </c>
      <c r="IK35" s="965">
        <f t="shared" si="48"/>
        <v>472614.02100000001</v>
      </c>
      <c r="IL35" s="965">
        <f t="shared" si="49"/>
        <v>0</v>
      </c>
      <c r="IM35" s="965">
        <f t="shared" si="50"/>
        <v>0</v>
      </c>
      <c r="IQ35" s="967" t="s">
        <v>660</v>
      </c>
      <c r="IR35" s="967" t="s">
        <v>154</v>
      </c>
      <c r="IS35" s="967" t="s">
        <v>447</v>
      </c>
      <c r="IT35" s="967" t="s">
        <v>447</v>
      </c>
      <c r="IU35" s="968" t="s">
        <v>547</v>
      </c>
      <c r="IV35" s="969">
        <v>0</v>
      </c>
      <c r="IW35" s="969">
        <v>58297129591</v>
      </c>
      <c r="IX35" s="969">
        <v>56460433662</v>
      </c>
      <c r="IY35" s="970">
        <f t="shared" si="59"/>
        <v>0</v>
      </c>
      <c r="IZ35" s="970">
        <f t="shared" si="60"/>
        <v>58297129.590999998</v>
      </c>
      <c r="JA35" s="970">
        <f t="shared" si="61"/>
        <v>56460433.662</v>
      </c>
      <c r="JE35" s="941"/>
      <c r="JF35" s="941"/>
      <c r="JG35" s="941"/>
      <c r="JH35" s="941"/>
      <c r="JO35" s="966" t="s">
        <v>660</v>
      </c>
      <c r="JP35" s="966" t="s">
        <v>154</v>
      </c>
      <c r="JQ35" s="966" t="s">
        <v>447</v>
      </c>
      <c r="JR35" s="640" t="s">
        <v>447</v>
      </c>
      <c r="JS35" s="640" t="s">
        <v>547</v>
      </c>
      <c r="JT35" s="971">
        <v>59012039700</v>
      </c>
      <c r="JU35" s="971">
        <v>0</v>
      </c>
      <c r="JV35" s="971">
        <v>0</v>
      </c>
      <c r="JW35" s="945">
        <f t="shared" si="55"/>
        <v>59012039.700000003</v>
      </c>
      <c r="JX35" s="945">
        <f t="shared" si="56"/>
        <v>0</v>
      </c>
      <c r="JY35" s="945">
        <f t="shared" si="57"/>
        <v>0</v>
      </c>
    </row>
    <row r="36" spans="1:285" ht="15" customHeight="1" x14ac:dyDescent="0.3">
      <c r="A36" s="954" t="s">
        <v>665</v>
      </c>
      <c r="B36" s="954" t="s">
        <v>342</v>
      </c>
      <c r="C36" s="954" t="s">
        <v>447</v>
      </c>
      <c r="D36" s="954" t="s">
        <v>447</v>
      </c>
      <c r="E36" s="955">
        <v>0</v>
      </c>
      <c r="F36" s="955">
        <f t="shared" si="7"/>
        <v>0</v>
      </c>
      <c r="G36" s="955">
        <v>0</v>
      </c>
      <c r="H36" s="955">
        <f t="shared" si="8"/>
        <v>0</v>
      </c>
      <c r="AM36" s="956" t="s">
        <v>663</v>
      </c>
      <c r="AN36" s="956" t="s">
        <v>266</v>
      </c>
      <c r="AO36" s="956" t="s">
        <v>447</v>
      </c>
      <c r="AP36" s="956" t="s">
        <v>447</v>
      </c>
      <c r="AQ36" s="957">
        <v>0</v>
      </c>
      <c r="AR36" s="957">
        <f t="shared" si="58"/>
        <v>0</v>
      </c>
      <c r="AS36" s="957">
        <v>125400000</v>
      </c>
      <c r="AV36" s="944"/>
      <c r="BG36" s="956" t="s">
        <v>663</v>
      </c>
      <c r="BH36" s="956" t="s">
        <v>266</v>
      </c>
      <c r="BI36" s="956" t="s">
        <v>447</v>
      </c>
      <c r="BJ36" s="956" t="s">
        <v>447</v>
      </c>
      <c r="BK36" s="957">
        <v>0</v>
      </c>
      <c r="BL36" s="957">
        <v>576109000</v>
      </c>
      <c r="BM36" s="957">
        <v>576109000</v>
      </c>
      <c r="BN36" s="946">
        <f t="shared" si="1"/>
        <v>0</v>
      </c>
      <c r="BO36" s="946">
        <f t="shared" si="2"/>
        <v>612403.86699999997</v>
      </c>
      <c r="BP36" s="946">
        <f t="shared" si="3"/>
        <v>612403.86699999997</v>
      </c>
      <c r="CH36" s="637" t="s">
        <v>663</v>
      </c>
      <c r="CI36" s="637" t="s">
        <v>266</v>
      </c>
      <c r="CJ36" s="637" t="s">
        <v>447</v>
      </c>
      <c r="CK36" s="637" t="s">
        <v>447</v>
      </c>
      <c r="CL36" s="639">
        <v>0</v>
      </c>
      <c r="CM36" s="639">
        <v>576109000</v>
      </c>
      <c r="CN36" s="639">
        <v>576109000</v>
      </c>
      <c r="CO36" s="961">
        <f t="shared" si="15"/>
        <v>0</v>
      </c>
      <c r="CP36" s="961">
        <f t="shared" si="16"/>
        <v>576109</v>
      </c>
      <c r="CQ36" s="961">
        <f t="shared" si="17"/>
        <v>576109</v>
      </c>
      <c r="DH36" s="637" t="s">
        <v>663</v>
      </c>
      <c r="DI36" s="637" t="s">
        <v>266</v>
      </c>
      <c r="DJ36" s="637" t="s">
        <v>447</v>
      </c>
      <c r="DK36" s="637" t="s">
        <v>447</v>
      </c>
      <c r="DL36" s="639">
        <v>0</v>
      </c>
      <c r="DM36" s="639">
        <v>1443186315</v>
      </c>
      <c r="DN36" s="639">
        <v>1443186315</v>
      </c>
      <c r="DO36" s="944">
        <f t="shared" si="21"/>
        <v>0</v>
      </c>
      <c r="DP36" s="944">
        <f t="shared" si="22"/>
        <v>1443186.3149999999</v>
      </c>
      <c r="DQ36" s="944">
        <f t="shared" si="23"/>
        <v>1443186.3149999999</v>
      </c>
      <c r="EI36" s="637" t="s">
        <v>663</v>
      </c>
      <c r="EJ36" s="637" t="s">
        <v>266</v>
      </c>
      <c r="EK36" s="637" t="s">
        <v>447</v>
      </c>
      <c r="EL36" s="637" t="s">
        <v>447</v>
      </c>
      <c r="EM36" s="637" t="s">
        <v>547</v>
      </c>
      <c r="EN36" s="637">
        <v>3374020024</v>
      </c>
      <c r="EO36" s="637">
        <v>0</v>
      </c>
      <c r="EP36" s="637">
        <v>0</v>
      </c>
      <c r="EQ36" s="966">
        <f t="shared" si="27"/>
        <v>3374020.0240000002</v>
      </c>
      <c r="ER36" s="966">
        <f t="shared" si="28"/>
        <v>0</v>
      </c>
      <c r="ES36" s="966">
        <f t="shared" si="29"/>
        <v>0</v>
      </c>
      <c r="FK36" s="637" t="s">
        <v>662</v>
      </c>
      <c r="FL36" s="637" t="s">
        <v>308</v>
      </c>
      <c r="FM36" s="637" t="s">
        <v>447</v>
      </c>
      <c r="FN36" s="637" t="s">
        <v>447</v>
      </c>
      <c r="FO36" s="637" t="s">
        <v>547</v>
      </c>
      <c r="FP36" s="966">
        <v>0</v>
      </c>
      <c r="FQ36" s="966">
        <v>5346802919</v>
      </c>
      <c r="FR36" s="966">
        <v>4958803562</v>
      </c>
      <c r="FS36" s="944">
        <f t="shared" si="33"/>
        <v>0</v>
      </c>
      <c r="FT36" s="944">
        <f t="shared" si="34"/>
        <v>5346802.9189999998</v>
      </c>
      <c r="FU36" s="944">
        <f t="shared" si="35"/>
        <v>4958803.5619999999</v>
      </c>
      <c r="GM36" s="967" t="s">
        <v>662</v>
      </c>
      <c r="GN36" s="968" t="s">
        <v>308</v>
      </c>
      <c r="GO36" s="967" t="s">
        <v>447</v>
      </c>
      <c r="GP36" s="967" t="s">
        <v>447</v>
      </c>
      <c r="GQ36" s="968" t="s">
        <v>547</v>
      </c>
      <c r="GR36" s="969">
        <v>0</v>
      </c>
      <c r="GS36" s="969">
        <v>5496154919</v>
      </c>
      <c r="GT36" s="969">
        <v>5131435562</v>
      </c>
      <c r="GU36" s="969">
        <f t="shared" si="39"/>
        <v>0</v>
      </c>
      <c r="GV36" s="969">
        <f t="shared" si="40"/>
        <v>5496154.9189999998</v>
      </c>
      <c r="GW36" s="969">
        <f t="shared" si="41"/>
        <v>5131435.5619999999</v>
      </c>
      <c r="HO36" s="967" t="s">
        <v>662</v>
      </c>
      <c r="HP36" s="967" t="s">
        <v>308</v>
      </c>
      <c r="HQ36" s="967" t="s">
        <v>447</v>
      </c>
      <c r="HR36" s="967" t="s">
        <v>447</v>
      </c>
      <c r="HS36" s="638" t="s">
        <v>547</v>
      </c>
      <c r="HT36" s="639">
        <v>9911158850</v>
      </c>
      <c r="HU36" s="639">
        <v>0</v>
      </c>
      <c r="HV36" s="639">
        <v>0</v>
      </c>
      <c r="HW36" s="944">
        <f t="shared" si="45"/>
        <v>9911158.8499999996</v>
      </c>
      <c r="HX36" s="944">
        <f t="shared" si="46"/>
        <v>0</v>
      </c>
      <c r="HY36" s="944">
        <f t="shared" si="47"/>
        <v>0</v>
      </c>
      <c r="IC36" s="637" t="s">
        <v>664</v>
      </c>
      <c r="ID36" s="637" t="s">
        <v>267</v>
      </c>
      <c r="IE36" s="637" t="s">
        <v>447</v>
      </c>
      <c r="IF36" s="637" t="s">
        <v>447</v>
      </c>
      <c r="IG36" s="638" t="s">
        <v>547</v>
      </c>
      <c r="IH36" s="639">
        <v>0</v>
      </c>
      <c r="II36" s="639">
        <v>493098510</v>
      </c>
      <c r="IJ36" s="639">
        <v>1700736510</v>
      </c>
      <c r="IK36" s="965">
        <f t="shared" si="48"/>
        <v>0</v>
      </c>
      <c r="IL36" s="965">
        <f t="shared" si="49"/>
        <v>493098.51</v>
      </c>
      <c r="IM36" s="965">
        <f t="shared" si="50"/>
        <v>1700736.51</v>
      </c>
      <c r="IQ36" s="967" t="s">
        <v>661</v>
      </c>
      <c r="IR36" s="967" t="s">
        <v>305</v>
      </c>
      <c r="IS36" s="967" t="s">
        <v>447</v>
      </c>
      <c r="IT36" s="967" t="s">
        <v>447</v>
      </c>
      <c r="IU36" s="968" t="s">
        <v>547</v>
      </c>
      <c r="IV36" s="969">
        <v>17815599340</v>
      </c>
      <c r="IW36" s="969">
        <v>0</v>
      </c>
      <c r="IX36" s="969">
        <v>0</v>
      </c>
      <c r="IY36" s="970">
        <f t="shared" si="59"/>
        <v>17815599.34</v>
      </c>
      <c r="IZ36" s="970">
        <f t="shared" si="60"/>
        <v>0</v>
      </c>
      <c r="JA36" s="970">
        <f t="shared" si="61"/>
        <v>0</v>
      </c>
      <c r="JE36" s="941"/>
      <c r="JF36" s="941"/>
      <c r="JG36" s="941"/>
      <c r="JH36" s="941"/>
      <c r="JO36" s="966" t="s">
        <v>660</v>
      </c>
      <c r="JP36" s="966" t="s">
        <v>154</v>
      </c>
      <c r="JQ36" s="966" t="s">
        <v>447</v>
      </c>
      <c r="JR36" s="640" t="s">
        <v>447</v>
      </c>
      <c r="JS36" s="640" t="s">
        <v>547</v>
      </c>
      <c r="JT36" s="971">
        <v>0</v>
      </c>
      <c r="JU36" s="971">
        <v>58991391357</v>
      </c>
      <c r="JV36" s="971">
        <v>58055332928</v>
      </c>
      <c r="JW36" s="945">
        <f t="shared" si="55"/>
        <v>0</v>
      </c>
      <c r="JX36" s="945">
        <f t="shared" si="56"/>
        <v>58991391.357000001</v>
      </c>
      <c r="JY36" s="945">
        <f t="shared" si="57"/>
        <v>58055332.928000003</v>
      </c>
    </row>
    <row r="37" spans="1:285" ht="15" customHeight="1" x14ac:dyDescent="0.3">
      <c r="A37" s="954" t="s">
        <v>666</v>
      </c>
      <c r="B37" s="954" t="s">
        <v>529</v>
      </c>
      <c r="C37" s="954" t="s">
        <v>447</v>
      </c>
      <c r="D37" s="954" t="s">
        <v>447</v>
      </c>
      <c r="E37" s="955">
        <v>9056909000</v>
      </c>
      <c r="F37" s="955">
        <f t="shared" si="7"/>
        <v>9627494.2669999991</v>
      </c>
      <c r="G37" s="955">
        <v>0</v>
      </c>
      <c r="H37" s="955">
        <f t="shared" si="8"/>
        <v>0</v>
      </c>
      <c r="AM37" s="956" t="s">
        <v>664</v>
      </c>
      <c r="AN37" s="956" t="s">
        <v>267</v>
      </c>
      <c r="AO37" s="956" t="s">
        <v>447</v>
      </c>
      <c r="AP37" s="956" t="s">
        <v>447</v>
      </c>
      <c r="AQ37" s="957">
        <v>2103486236</v>
      </c>
      <c r="AR37" s="957">
        <f t="shared" si="58"/>
        <v>2236005.8688679999</v>
      </c>
      <c r="AS37" s="957">
        <v>0</v>
      </c>
      <c r="AV37" s="944"/>
      <c r="BG37" s="956" t="s">
        <v>664</v>
      </c>
      <c r="BH37" s="956" t="s">
        <v>267</v>
      </c>
      <c r="BI37" s="956" t="s">
        <v>447</v>
      </c>
      <c r="BJ37" s="956" t="s">
        <v>447</v>
      </c>
      <c r="BK37" s="957">
        <v>2103486236</v>
      </c>
      <c r="BL37" s="957">
        <v>0</v>
      </c>
      <c r="BM37" s="957">
        <v>0</v>
      </c>
      <c r="BN37" s="946">
        <f t="shared" si="1"/>
        <v>2236005.8688679999</v>
      </c>
      <c r="BO37" s="946">
        <f t="shared" si="2"/>
        <v>0</v>
      </c>
      <c r="BP37" s="946">
        <f t="shared" si="3"/>
        <v>0</v>
      </c>
      <c r="CH37" s="637" t="s">
        <v>664</v>
      </c>
      <c r="CI37" s="637" t="s">
        <v>267</v>
      </c>
      <c r="CJ37" s="637" t="s">
        <v>447</v>
      </c>
      <c r="CK37" s="637" t="s">
        <v>447</v>
      </c>
      <c r="CL37" s="639">
        <v>2103486236</v>
      </c>
      <c r="CM37" s="639">
        <v>0</v>
      </c>
      <c r="CN37" s="639">
        <v>0</v>
      </c>
      <c r="CO37" s="961">
        <f t="shared" si="15"/>
        <v>2103486.236</v>
      </c>
      <c r="CP37" s="961">
        <f t="shared" si="16"/>
        <v>0</v>
      </c>
      <c r="CQ37" s="961">
        <f t="shared" si="17"/>
        <v>0</v>
      </c>
      <c r="DH37" s="637" t="s">
        <v>664</v>
      </c>
      <c r="DI37" s="637" t="s">
        <v>267</v>
      </c>
      <c r="DJ37" s="637" t="s">
        <v>447</v>
      </c>
      <c r="DK37" s="637" t="s">
        <v>447</v>
      </c>
      <c r="DL37" s="639">
        <v>2103486236</v>
      </c>
      <c r="DM37" s="639">
        <v>0</v>
      </c>
      <c r="DN37" s="639">
        <v>0</v>
      </c>
      <c r="DO37" s="944">
        <f t="shared" si="21"/>
        <v>2103486.236</v>
      </c>
      <c r="DP37" s="944">
        <f t="shared" si="22"/>
        <v>0</v>
      </c>
      <c r="DQ37" s="944">
        <f t="shared" si="23"/>
        <v>0</v>
      </c>
      <c r="EI37" s="637" t="s">
        <v>663</v>
      </c>
      <c r="EJ37" s="637" t="s">
        <v>266</v>
      </c>
      <c r="EK37" s="637" t="s">
        <v>447</v>
      </c>
      <c r="EL37" s="637" t="s">
        <v>447</v>
      </c>
      <c r="EM37" s="637" t="s">
        <v>547</v>
      </c>
      <c r="EN37" s="637">
        <v>0</v>
      </c>
      <c r="EO37" s="637">
        <v>1443186315</v>
      </c>
      <c r="EP37" s="637">
        <v>1443186315</v>
      </c>
      <c r="EQ37" s="966">
        <f t="shared" si="27"/>
        <v>0</v>
      </c>
      <c r="ER37" s="966">
        <f t="shared" si="28"/>
        <v>1443186.3149999999</v>
      </c>
      <c r="ES37" s="966">
        <f t="shared" si="29"/>
        <v>1443186.3149999999</v>
      </c>
      <c r="FK37" s="637" t="s">
        <v>663</v>
      </c>
      <c r="FL37" s="637" t="s">
        <v>266</v>
      </c>
      <c r="FM37" s="637" t="s">
        <v>447</v>
      </c>
      <c r="FN37" s="637" t="s">
        <v>447</v>
      </c>
      <c r="FO37" s="637" t="s">
        <v>547</v>
      </c>
      <c r="FP37" s="966">
        <v>3374020024</v>
      </c>
      <c r="FQ37" s="966">
        <v>0</v>
      </c>
      <c r="FR37" s="966">
        <v>0</v>
      </c>
      <c r="FS37" s="944">
        <f t="shared" si="33"/>
        <v>3374020.0240000002</v>
      </c>
      <c r="FT37" s="944">
        <f t="shared" si="34"/>
        <v>0</v>
      </c>
      <c r="FU37" s="944">
        <f t="shared" si="35"/>
        <v>0</v>
      </c>
      <c r="GM37" s="967" t="s">
        <v>663</v>
      </c>
      <c r="GN37" s="968" t="s">
        <v>266</v>
      </c>
      <c r="GO37" s="967" t="s">
        <v>447</v>
      </c>
      <c r="GP37" s="967" t="s">
        <v>447</v>
      </c>
      <c r="GQ37" s="968" t="s">
        <v>547</v>
      </c>
      <c r="GR37" s="969">
        <v>3374020024</v>
      </c>
      <c r="GS37" s="969">
        <v>0</v>
      </c>
      <c r="GT37" s="969">
        <v>0</v>
      </c>
      <c r="GU37" s="969">
        <f t="shared" si="39"/>
        <v>3374020.0240000002</v>
      </c>
      <c r="GV37" s="969">
        <f t="shared" si="40"/>
        <v>0</v>
      </c>
      <c r="GW37" s="969">
        <f t="shared" si="41"/>
        <v>0</v>
      </c>
      <c r="HO37" s="967" t="s">
        <v>662</v>
      </c>
      <c r="HP37" s="967" t="s">
        <v>308</v>
      </c>
      <c r="HQ37" s="967" t="s">
        <v>447</v>
      </c>
      <c r="HR37" s="967" t="s">
        <v>447</v>
      </c>
      <c r="HS37" s="638" t="s">
        <v>547</v>
      </c>
      <c r="HT37" s="639">
        <v>0</v>
      </c>
      <c r="HU37" s="639">
        <v>6708172909</v>
      </c>
      <c r="HV37" s="639">
        <v>5437023667</v>
      </c>
      <c r="HW37" s="944">
        <f t="shared" si="45"/>
        <v>0</v>
      </c>
      <c r="HX37" s="944">
        <f t="shared" si="46"/>
        <v>6708172.909</v>
      </c>
      <c r="HY37" s="944">
        <f t="shared" si="47"/>
        <v>5437023.6670000004</v>
      </c>
      <c r="IC37" s="637" t="s">
        <v>665</v>
      </c>
      <c r="ID37" s="637" t="s">
        <v>342</v>
      </c>
      <c r="IE37" s="637" t="s">
        <v>447</v>
      </c>
      <c r="IF37" s="637" t="s">
        <v>447</v>
      </c>
      <c r="IG37" s="638" t="s">
        <v>547</v>
      </c>
      <c r="IH37" s="639">
        <v>0</v>
      </c>
      <c r="II37" s="639">
        <v>426122677</v>
      </c>
      <c r="IJ37" s="639">
        <v>914049520</v>
      </c>
      <c r="IK37" s="965">
        <f t="shared" si="48"/>
        <v>0</v>
      </c>
      <c r="IL37" s="965">
        <f t="shared" si="49"/>
        <v>426122.67700000003</v>
      </c>
      <c r="IM37" s="965">
        <f t="shared" si="50"/>
        <v>914049.52</v>
      </c>
      <c r="IQ37" s="967" t="s">
        <v>661</v>
      </c>
      <c r="IR37" s="967" t="s">
        <v>305</v>
      </c>
      <c r="IS37" s="967" t="s">
        <v>447</v>
      </c>
      <c r="IT37" s="967" t="s">
        <v>447</v>
      </c>
      <c r="IU37" s="968" t="s">
        <v>547</v>
      </c>
      <c r="IV37" s="969">
        <v>0</v>
      </c>
      <c r="IW37" s="969">
        <v>17803099113</v>
      </c>
      <c r="IX37" s="969">
        <v>16038943011</v>
      </c>
      <c r="IY37" s="970">
        <f t="shared" si="59"/>
        <v>0</v>
      </c>
      <c r="IZ37" s="970">
        <f t="shared" si="60"/>
        <v>17803099.113000002</v>
      </c>
      <c r="JA37" s="970">
        <f t="shared" si="61"/>
        <v>16038943.011</v>
      </c>
      <c r="JE37" s="941"/>
      <c r="JF37" s="941"/>
      <c r="JG37" s="941"/>
      <c r="JH37" s="941"/>
      <c r="JO37" s="966" t="s">
        <v>661</v>
      </c>
      <c r="JP37" s="966" t="s">
        <v>305</v>
      </c>
      <c r="JQ37" s="966" t="s">
        <v>447</v>
      </c>
      <c r="JR37" s="640" t="s">
        <v>447</v>
      </c>
      <c r="JS37" s="640" t="s">
        <v>547</v>
      </c>
      <c r="JT37" s="971">
        <v>17813245023</v>
      </c>
      <c r="JU37" s="971">
        <v>0</v>
      </c>
      <c r="JV37" s="971">
        <v>0</v>
      </c>
      <c r="JW37" s="945">
        <f t="shared" si="55"/>
        <v>17813245.022999998</v>
      </c>
      <c r="JX37" s="945">
        <f t="shared" si="56"/>
        <v>0</v>
      </c>
      <c r="JY37" s="945">
        <f t="shared" si="57"/>
        <v>0</v>
      </c>
    </row>
    <row r="38" spans="1:285" ht="15" customHeight="1" x14ac:dyDescent="0.3">
      <c r="A38" s="954" t="s">
        <v>667</v>
      </c>
      <c r="B38" s="954" t="s">
        <v>634</v>
      </c>
      <c r="C38" s="954" t="s">
        <v>447</v>
      </c>
      <c r="D38" s="954" t="s">
        <v>447</v>
      </c>
      <c r="E38" s="955">
        <v>12647240000</v>
      </c>
      <c r="F38" s="955">
        <f t="shared" si="7"/>
        <v>13444016.119999999</v>
      </c>
      <c r="G38" s="955">
        <v>0</v>
      </c>
      <c r="H38" s="955">
        <f t="shared" si="8"/>
        <v>0</v>
      </c>
      <c r="AM38" s="956" t="s">
        <v>664</v>
      </c>
      <c r="AN38" s="956" t="s">
        <v>267</v>
      </c>
      <c r="AO38" s="956" t="s">
        <v>447</v>
      </c>
      <c r="AP38" s="956" t="s">
        <v>447</v>
      </c>
      <c r="AQ38" s="957">
        <v>0</v>
      </c>
      <c r="AR38" s="957">
        <f t="shared" si="58"/>
        <v>0</v>
      </c>
      <c r="AS38" s="957">
        <v>574667500</v>
      </c>
      <c r="AV38" s="944"/>
      <c r="BG38" s="956" t="s">
        <v>664</v>
      </c>
      <c r="BH38" s="956" t="s">
        <v>267</v>
      </c>
      <c r="BI38" s="956" t="s">
        <v>447</v>
      </c>
      <c r="BJ38" s="956" t="s">
        <v>447</v>
      </c>
      <c r="BK38" s="957">
        <v>0</v>
      </c>
      <c r="BL38" s="957">
        <v>1020942833</v>
      </c>
      <c r="BM38" s="957">
        <v>771402833</v>
      </c>
      <c r="BN38" s="946">
        <f t="shared" si="1"/>
        <v>0</v>
      </c>
      <c r="BO38" s="946">
        <f t="shared" si="2"/>
        <v>1085262.2314789998</v>
      </c>
      <c r="BP38" s="946">
        <f t="shared" si="3"/>
        <v>820001.21147899993</v>
      </c>
      <c r="CH38" s="637" t="s">
        <v>664</v>
      </c>
      <c r="CI38" s="637" t="s">
        <v>267</v>
      </c>
      <c r="CJ38" s="637" t="s">
        <v>447</v>
      </c>
      <c r="CK38" s="637" t="s">
        <v>447</v>
      </c>
      <c r="CL38" s="639">
        <v>0</v>
      </c>
      <c r="CM38" s="639">
        <v>1250981185</v>
      </c>
      <c r="CN38" s="639">
        <v>1035041185</v>
      </c>
      <c r="CO38" s="961">
        <f t="shared" si="15"/>
        <v>0</v>
      </c>
      <c r="CP38" s="961">
        <f t="shared" si="16"/>
        <v>1250981.1850000001</v>
      </c>
      <c r="CQ38" s="961">
        <f t="shared" si="17"/>
        <v>1035041.1850000001</v>
      </c>
      <c r="DH38" s="637" t="s">
        <v>664</v>
      </c>
      <c r="DI38" s="637" t="s">
        <v>267</v>
      </c>
      <c r="DJ38" s="637" t="s">
        <v>447</v>
      </c>
      <c r="DK38" s="637" t="s">
        <v>447</v>
      </c>
      <c r="DL38" s="639">
        <v>0</v>
      </c>
      <c r="DM38" s="639">
        <v>1295090412</v>
      </c>
      <c r="DN38" s="639">
        <v>1087310412</v>
      </c>
      <c r="DO38" s="944">
        <f t="shared" si="21"/>
        <v>0</v>
      </c>
      <c r="DP38" s="944">
        <f t="shared" si="22"/>
        <v>1295090.412</v>
      </c>
      <c r="DQ38" s="944">
        <f t="shared" si="23"/>
        <v>1087310.412</v>
      </c>
      <c r="EI38" s="637" t="s">
        <v>664</v>
      </c>
      <c r="EJ38" s="637" t="s">
        <v>267</v>
      </c>
      <c r="EK38" s="637" t="s">
        <v>447</v>
      </c>
      <c r="EL38" s="637" t="s">
        <v>447</v>
      </c>
      <c r="EM38" s="637" t="s">
        <v>547</v>
      </c>
      <c r="EN38" s="637">
        <v>2103486236</v>
      </c>
      <c r="EO38" s="637">
        <v>0</v>
      </c>
      <c r="EP38" s="637">
        <v>0</v>
      </c>
      <c r="EQ38" s="966">
        <f t="shared" si="27"/>
        <v>2103486.236</v>
      </c>
      <c r="ER38" s="966">
        <f t="shared" si="28"/>
        <v>0</v>
      </c>
      <c r="ES38" s="966">
        <f t="shared" si="29"/>
        <v>0</v>
      </c>
      <c r="FK38" s="637" t="s">
        <v>663</v>
      </c>
      <c r="FL38" s="637" t="s">
        <v>266</v>
      </c>
      <c r="FM38" s="637" t="s">
        <v>447</v>
      </c>
      <c r="FN38" s="637" t="s">
        <v>447</v>
      </c>
      <c r="FO38" s="637" t="s">
        <v>547</v>
      </c>
      <c r="FP38" s="966">
        <v>0</v>
      </c>
      <c r="FQ38" s="966">
        <v>3341097339</v>
      </c>
      <c r="FR38" s="966">
        <v>1893895315</v>
      </c>
      <c r="FS38" s="944">
        <f t="shared" si="33"/>
        <v>0</v>
      </c>
      <c r="FT38" s="944">
        <f t="shared" si="34"/>
        <v>3341097.3390000002</v>
      </c>
      <c r="FU38" s="944">
        <f t="shared" si="35"/>
        <v>1893895.3149999999</v>
      </c>
      <c r="GM38" s="967" t="s">
        <v>663</v>
      </c>
      <c r="GN38" s="968" t="s">
        <v>266</v>
      </c>
      <c r="GO38" s="967" t="s">
        <v>447</v>
      </c>
      <c r="GP38" s="967" t="s">
        <v>447</v>
      </c>
      <c r="GQ38" s="968" t="s">
        <v>547</v>
      </c>
      <c r="GR38" s="969">
        <v>0</v>
      </c>
      <c r="GS38" s="969">
        <v>3341097339</v>
      </c>
      <c r="GT38" s="969">
        <v>1893895315</v>
      </c>
      <c r="GU38" s="969">
        <f t="shared" si="39"/>
        <v>0</v>
      </c>
      <c r="GV38" s="969">
        <f t="shared" si="40"/>
        <v>3341097.3390000002</v>
      </c>
      <c r="GW38" s="969">
        <f t="shared" si="41"/>
        <v>1893895.3149999999</v>
      </c>
      <c r="HO38" s="967" t="s">
        <v>663</v>
      </c>
      <c r="HP38" s="967" t="s">
        <v>266</v>
      </c>
      <c r="HQ38" s="967" t="s">
        <v>447</v>
      </c>
      <c r="HR38" s="967" t="s">
        <v>447</v>
      </c>
      <c r="HS38" s="638" t="s">
        <v>547</v>
      </c>
      <c r="HT38" s="639">
        <v>3374020024</v>
      </c>
      <c r="HU38" s="639">
        <v>0</v>
      </c>
      <c r="HV38" s="639">
        <v>0</v>
      </c>
      <c r="HW38" s="944">
        <f t="shared" si="45"/>
        <v>3374020.0240000002</v>
      </c>
      <c r="HX38" s="944">
        <f t="shared" si="46"/>
        <v>0</v>
      </c>
      <c r="HY38" s="944">
        <f t="shared" si="47"/>
        <v>0</v>
      </c>
      <c r="IC38" s="637" t="s">
        <v>665</v>
      </c>
      <c r="ID38" s="637" t="s">
        <v>342</v>
      </c>
      <c r="IE38" s="637" t="s">
        <v>447</v>
      </c>
      <c r="IF38" s="637" t="s">
        <v>447</v>
      </c>
      <c r="IG38" s="638" t="s">
        <v>547</v>
      </c>
      <c r="IH38" s="639">
        <v>-472614021</v>
      </c>
      <c r="II38" s="639">
        <v>0</v>
      </c>
      <c r="IJ38" s="639">
        <v>0</v>
      </c>
      <c r="IK38" s="965">
        <f t="shared" si="48"/>
        <v>-472614.02100000001</v>
      </c>
      <c r="IL38" s="965">
        <f t="shared" si="49"/>
        <v>0</v>
      </c>
      <c r="IM38" s="965">
        <f t="shared" si="50"/>
        <v>0</v>
      </c>
      <c r="IQ38" s="967" t="s">
        <v>901</v>
      </c>
      <c r="IR38" s="967" t="s">
        <v>902</v>
      </c>
      <c r="IS38" s="967" t="s">
        <v>447</v>
      </c>
      <c r="IT38" s="967" t="s">
        <v>447</v>
      </c>
      <c r="IU38" s="968" t="s">
        <v>547</v>
      </c>
      <c r="IV38" s="969">
        <v>5000000000</v>
      </c>
      <c r="IW38" s="969">
        <v>0</v>
      </c>
      <c r="IX38" s="969">
        <v>0</v>
      </c>
      <c r="IY38" s="970">
        <f t="shared" si="59"/>
        <v>5000000</v>
      </c>
      <c r="IZ38" s="970">
        <f t="shared" si="60"/>
        <v>0</v>
      </c>
      <c r="JA38" s="970">
        <f t="shared" si="61"/>
        <v>0</v>
      </c>
      <c r="JE38" s="941"/>
      <c r="JF38" s="941"/>
      <c r="JG38" s="941"/>
      <c r="JH38" s="941"/>
      <c r="JO38" s="966" t="s">
        <v>661</v>
      </c>
      <c r="JP38" s="966" t="s">
        <v>305</v>
      </c>
      <c r="JQ38" s="966" t="s">
        <v>447</v>
      </c>
      <c r="JR38" s="640" t="s">
        <v>447</v>
      </c>
      <c r="JS38" s="640" t="s">
        <v>547</v>
      </c>
      <c r="JT38" s="971">
        <v>0</v>
      </c>
      <c r="JU38" s="971">
        <v>17813245023</v>
      </c>
      <c r="JV38" s="971">
        <v>17783710226</v>
      </c>
      <c r="JW38" s="945">
        <f t="shared" si="55"/>
        <v>0</v>
      </c>
      <c r="JX38" s="945">
        <f t="shared" si="56"/>
        <v>17813245.022999998</v>
      </c>
      <c r="JY38" s="945">
        <f t="shared" si="57"/>
        <v>17783710.226</v>
      </c>
    </row>
    <row r="39" spans="1:285" ht="15" customHeight="1" x14ac:dyDescent="0.3">
      <c r="A39" s="954" t="s">
        <v>667</v>
      </c>
      <c r="B39" s="954" t="s">
        <v>634</v>
      </c>
      <c r="C39" s="954" t="s">
        <v>447</v>
      </c>
      <c r="D39" s="954" t="s">
        <v>447</v>
      </c>
      <c r="E39" s="955">
        <v>0</v>
      </c>
      <c r="F39" s="955">
        <f t="shared" si="7"/>
        <v>0</v>
      </c>
      <c r="G39" s="955">
        <v>246635741</v>
      </c>
      <c r="H39" s="955">
        <f t="shared" si="8"/>
        <v>262173.79268299998</v>
      </c>
      <c r="AM39" s="956" t="s">
        <v>665</v>
      </c>
      <c r="AN39" s="956" t="s">
        <v>342</v>
      </c>
      <c r="AO39" s="956" t="s">
        <v>447</v>
      </c>
      <c r="AP39" s="956" t="s">
        <v>447</v>
      </c>
      <c r="AQ39" s="957">
        <v>1870210431</v>
      </c>
      <c r="AR39" s="957">
        <f t="shared" si="58"/>
        <v>1988033.6881530001</v>
      </c>
      <c r="AS39" s="957">
        <v>0</v>
      </c>
      <c r="AV39" s="944"/>
      <c r="BG39" s="956" t="s">
        <v>665</v>
      </c>
      <c r="BH39" s="956" t="s">
        <v>342</v>
      </c>
      <c r="BI39" s="956" t="s">
        <v>447</v>
      </c>
      <c r="BJ39" s="956" t="s">
        <v>447</v>
      </c>
      <c r="BK39" s="957">
        <v>1870210431</v>
      </c>
      <c r="BL39" s="957">
        <v>0</v>
      </c>
      <c r="BM39" s="957">
        <v>0</v>
      </c>
      <c r="BN39" s="946">
        <f t="shared" si="1"/>
        <v>1988033.6881530001</v>
      </c>
      <c r="BO39" s="946">
        <f t="shared" si="2"/>
        <v>0</v>
      </c>
      <c r="BP39" s="946">
        <f t="shared" si="3"/>
        <v>0</v>
      </c>
      <c r="CH39" s="637" t="s">
        <v>665</v>
      </c>
      <c r="CI39" s="637" t="s">
        <v>342</v>
      </c>
      <c r="CJ39" s="637" t="s">
        <v>447</v>
      </c>
      <c r="CK39" s="637" t="s">
        <v>447</v>
      </c>
      <c r="CL39" s="639">
        <v>1870210431</v>
      </c>
      <c r="CM39" s="639">
        <v>0</v>
      </c>
      <c r="CN39" s="639">
        <v>0</v>
      </c>
      <c r="CO39" s="961">
        <f t="shared" si="15"/>
        <v>1870210.4310000001</v>
      </c>
      <c r="CP39" s="961">
        <f t="shared" si="16"/>
        <v>0</v>
      </c>
      <c r="CQ39" s="961">
        <f t="shared" si="17"/>
        <v>0</v>
      </c>
      <c r="DH39" s="637" t="s">
        <v>665</v>
      </c>
      <c r="DI39" s="637" t="s">
        <v>342</v>
      </c>
      <c r="DJ39" s="637" t="s">
        <v>447</v>
      </c>
      <c r="DK39" s="637" t="s">
        <v>447</v>
      </c>
      <c r="DL39" s="639">
        <v>1870210431</v>
      </c>
      <c r="DM39" s="639">
        <v>0</v>
      </c>
      <c r="DN39" s="639">
        <v>0</v>
      </c>
      <c r="DO39" s="944">
        <f t="shared" si="21"/>
        <v>1870210.4310000001</v>
      </c>
      <c r="DP39" s="944">
        <f t="shared" si="22"/>
        <v>0</v>
      </c>
      <c r="DQ39" s="944">
        <f t="shared" si="23"/>
        <v>0</v>
      </c>
      <c r="EI39" s="637" t="s">
        <v>664</v>
      </c>
      <c r="EJ39" s="637" t="s">
        <v>267</v>
      </c>
      <c r="EK39" s="637" t="s">
        <v>447</v>
      </c>
      <c r="EL39" s="637" t="s">
        <v>447</v>
      </c>
      <c r="EM39" s="637" t="s">
        <v>547</v>
      </c>
      <c r="EN39" s="637">
        <v>0</v>
      </c>
      <c r="EO39" s="637">
        <v>1361820119</v>
      </c>
      <c r="EP39" s="637">
        <v>1179240119</v>
      </c>
      <c r="EQ39" s="966">
        <f t="shared" si="27"/>
        <v>0</v>
      </c>
      <c r="ER39" s="966">
        <f t="shared" si="28"/>
        <v>1361820.1189999999</v>
      </c>
      <c r="ES39" s="966">
        <f t="shared" si="29"/>
        <v>1179240.1189999999</v>
      </c>
      <c r="FK39" s="637" t="s">
        <v>664</v>
      </c>
      <c r="FL39" s="637" t="s">
        <v>267</v>
      </c>
      <c r="FM39" s="637" t="s">
        <v>447</v>
      </c>
      <c r="FN39" s="637" t="s">
        <v>447</v>
      </c>
      <c r="FO39" s="637" t="s">
        <v>547</v>
      </c>
      <c r="FP39" s="966">
        <v>2103486236</v>
      </c>
      <c r="FQ39" s="966">
        <v>0</v>
      </c>
      <c r="FR39" s="966">
        <v>0</v>
      </c>
      <c r="FS39" s="944">
        <f t="shared" si="33"/>
        <v>2103486.236</v>
      </c>
      <c r="FT39" s="944">
        <f t="shared" si="34"/>
        <v>0</v>
      </c>
      <c r="FU39" s="944">
        <f t="shared" si="35"/>
        <v>0</v>
      </c>
      <c r="GM39" s="967" t="s">
        <v>664</v>
      </c>
      <c r="GN39" s="968" t="s">
        <v>267</v>
      </c>
      <c r="GO39" s="967" t="s">
        <v>447</v>
      </c>
      <c r="GP39" s="967" t="s">
        <v>447</v>
      </c>
      <c r="GQ39" s="968" t="s">
        <v>547</v>
      </c>
      <c r="GR39" s="969">
        <v>3660757243</v>
      </c>
      <c r="GS39" s="969">
        <v>0</v>
      </c>
      <c r="GT39" s="969">
        <v>0</v>
      </c>
      <c r="GU39" s="969">
        <f t="shared" si="39"/>
        <v>3660757.2429999998</v>
      </c>
      <c r="GV39" s="969">
        <f t="shared" si="40"/>
        <v>0</v>
      </c>
      <c r="GW39" s="969">
        <f t="shared" si="41"/>
        <v>0</v>
      </c>
      <c r="HO39" s="967" t="s">
        <v>663</v>
      </c>
      <c r="HP39" s="967" t="s">
        <v>266</v>
      </c>
      <c r="HQ39" s="967" t="s">
        <v>447</v>
      </c>
      <c r="HR39" s="967" t="s">
        <v>447</v>
      </c>
      <c r="HS39" s="638" t="s">
        <v>547</v>
      </c>
      <c r="HT39" s="639">
        <v>0</v>
      </c>
      <c r="HU39" s="639">
        <v>3341097339</v>
      </c>
      <c r="HV39" s="639">
        <v>1893895315</v>
      </c>
      <c r="HW39" s="944">
        <f t="shared" si="45"/>
        <v>0</v>
      </c>
      <c r="HX39" s="944">
        <f t="shared" si="46"/>
        <v>3341097.3390000002</v>
      </c>
      <c r="HY39" s="944">
        <f t="shared" si="47"/>
        <v>1893895.3149999999</v>
      </c>
      <c r="IC39" s="637" t="s">
        <v>666</v>
      </c>
      <c r="ID39" s="637" t="s">
        <v>529</v>
      </c>
      <c r="IE39" s="637" t="s">
        <v>447</v>
      </c>
      <c r="IF39" s="637" t="s">
        <v>447</v>
      </c>
      <c r="IG39" s="638" t="s">
        <v>547</v>
      </c>
      <c r="IH39" s="639">
        <v>0</v>
      </c>
      <c r="II39" s="639">
        <v>1335513265</v>
      </c>
      <c r="IJ39" s="639">
        <v>1693674596</v>
      </c>
      <c r="IK39" s="965">
        <f t="shared" si="48"/>
        <v>0</v>
      </c>
      <c r="IL39" s="965">
        <f t="shared" si="49"/>
        <v>1335513.2649999999</v>
      </c>
      <c r="IM39" s="965">
        <f t="shared" si="50"/>
        <v>1693674.5959999999</v>
      </c>
      <c r="IQ39" s="967" t="s">
        <v>901</v>
      </c>
      <c r="IR39" s="967" t="s">
        <v>902</v>
      </c>
      <c r="IS39" s="967" t="s">
        <v>447</v>
      </c>
      <c r="IT39" s="967" t="s">
        <v>447</v>
      </c>
      <c r="IU39" s="968" t="s">
        <v>547</v>
      </c>
      <c r="IV39" s="969">
        <v>0</v>
      </c>
      <c r="IW39" s="969">
        <v>4482957662</v>
      </c>
      <c r="IX39" s="969">
        <v>2470419206</v>
      </c>
      <c r="IY39" s="970">
        <f t="shared" si="59"/>
        <v>0</v>
      </c>
      <c r="IZ39" s="970">
        <f t="shared" si="60"/>
        <v>4482957.6619999995</v>
      </c>
      <c r="JA39" s="970">
        <f t="shared" si="61"/>
        <v>2470419.2059999998</v>
      </c>
      <c r="JE39" s="941"/>
      <c r="JF39" s="941"/>
      <c r="JG39" s="941"/>
      <c r="JH39" s="941"/>
      <c r="JO39" s="966" t="s">
        <v>901</v>
      </c>
      <c r="JP39" s="966" t="s">
        <v>902</v>
      </c>
      <c r="JQ39" s="966" t="s">
        <v>447</v>
      </c>
      <c r="JR39" s="640" t="s">
        <v>447</v>
      </c>
      <c r="JS39" s="640" t="s">
        <v>547</v>
      </c>
      <c r="JT39" s="971">
        <v>20028902969</v>
      </c>
      <c r="JU39" s="971">
        <v>0</v>
      </c>
      <c r="JV39" s="971">
        <v>0</v>
      </c>
      <c r="JW39" s="945">
        <f t="shared" si="55"/>
        <v>20028902.969000001</v>
      </c>
      <c r="JX39" s="945">
        <f t="shared" si="56"/>
        <v>0</v>
      </c>
      <c r="JY39" s="945">
        <f t="shared" si="57"/>
        <v>0</v>
      </c>
    </row>
    <row r="40" spans="1:285" ht="15" customHeight="1" x14ac:dyDescent="0.3">
      <c r="A40" s="954" t="s">
        <v>668</v>
      </c>
      <c r="B40" s="954" t="s">
        <v>669</v>
      </c>
      <c r="C40" s="954" t="s">
        <v>447</v>
      </c>
      <c r="D40" s="954" t="s">
        <v>447</v>
      </c>
      <c r="E40" s="955">
        <v>13787455000</v>
      </c>
      <c r="F40" s="955">
        <f t="shared" si="7"/>
        <v>14656064.664999999</v>
      </c>
      <c r="G40" s="955">
        <v>0</v>
      </c>
      <c r="H40" s="955">
        <f t="shared" si="8"/>
        <v>0</v>
      </c>
      <c r="AM40" s="956" t="s">
        <v>665</v>
      </c>
      <c r="AN40" s="956" t="s">
        <v>342</v>
      </c>
      <c r="AO40" s="956" t="s">
        <v>447</v>
      </c>
      <c r="AP40" s="956" t="s">
        <v>447</v>
      </c>
      <c r="AQ40" s="957">
        <v>0</v>
      </c>
      <c r="AR40" s="957">
        <f t="shared" si="58"/>
        <v>0</v>
      </c>
      <c r="AS40" s="957">
        <v>395821400</v>
      </c>
      <c r="AV40" s="944"/>
      <c r="BG40" s="956" t="s">
        <v>665</v>
      </c>
      <c r="BH40" s="956" t="s">
        <v>342</v>
      </c>
      <c r="BI40" s="956" t="s">
        <v>447</v>
      </c>
      <c r="BJ40" s="956" t="s">
        <v>447</v>
      </c>
      <c r="BK40" s="957">
        <v>0</v>
      </c>
      <c r="BL40" s="957">
        <v>503242411</v>
      </c>
      <c r="BM40" s="957">
        <v>441531400</v>
      </c>
      <c r="BN40" s="946">
        <f t="shared" si="1"/>
        <v>0</v>
      </c>
      <c r="BO40" s="946">
        <f t="shared" si="2"/>
        <v>534946.68289299996</v>
      </c>
      <c r="BP40" s="946">
        <f t="shared" si="3"/>
        <v>469347.87819999998</v>
      </c>
      <c r="CH40" s="637" t="s">
        <v>665</v>
      </c>
      <c r="CI40" s="637" t="s">
        <v>342</v>
      </c>
      <c r="CJ40" s="637" t="s">
        <v>447</v>
      </c>
      <c r="CK40" s="637" t="s">
        <v>447</v>
      </c>
      <c r="CL40" s="639">
        <v>0</v>
      </c>
      <c r="CM40" s="639">
        <v>503242411</v>
      </c>
      <c r="CN40" s="639">
        <v>441531400</v>
      </c>
      <c r="CO40" s="961">
        <f t="shared" si="15"/>
        <v>0</v>
      </c>
      <c r="CP40" s="961">
        <f t="shared" si="16"/>
        <v>503242.41100000002</v>
      </c>
      <c r="CQ40" s="961">
        <f t="shared" si="17"/>
        <v>441531.4</v>
      </c>
      <c r="DH40" s="637" t="s">
        <v>665</v>
      </c>
      <c r="DI40" s="637" t="s">
        <v>342</v>
      </c>
      <c r="DJ40" s="637" t="s">
        <v>447</v>
      </c>
      <c r="DK40" s="637" t="s">
        <v>447</v>
      </c>
      <c r="DL40" s="639">
        <v>0</v>
      </c>
      <c r="DM40" s="639">
        <v>555572361</v>
      </c>
      <c r="DN40" s="639">
        <v>493861350</v>
      </c>
      <c r="DO40" s="944">
        <f t="shared" si="21"/>
        <v>0</v>
      </c>
      <c r="DP40" s="944">
        <f t="shared" si="22"/>
        <v>555572.36100000003</v>
      </c>
      <c r="DQ40" s="944">
        <f t="shared" si="23"/>
        <v>493861.35</v>
      </c>
      <c r="EI40" s="637" t="s">
        <v>665</v>
      </c>
      <c r="EJ40" s="637" t="s">
        <v>342</v>
      </c>
      <c r="EK40" s="637" t="s">
        <v>447</v>
      </c>
      <c r="EL40" s="637" t="s">
        <v>447</v>
      </c>
      <c r="EM40" s="637" t="s">
        <v>547</v>
      </c>
      <c r="EN40" s="637">
        <v>1870210431</v>
      </c>
      <c r="EO40" s="637">
        <v>0</v>
      </c>
      <c r="EP40" s="637">
        <v>0</v>
      </c>
      <c r="EQ40" s="966">
        <f t="shared" si="27"/>
        <v>1870210.4310000001</v>
      </c>
      <c r="ER40" s="966">
        <f t="shared" si="28"/>
        <v>0</v>
      </c>
      <c r="ES40" s="966">
        <f t="shared" si="29"/>
        <v>0</v>
      </c>
      <c r="FK40" s="637" t="s">
        <v>664</v>
      </c>
      <c r="FL40" s="637" t="s">
        <v>267</v>
      </c>
      <c r="FM40" s="637" t="s">
        <v>447</v>
      </c>
      <c r="FN40" s="637" t="s">
        <v>447</v>
      </c>
      <c r="FO40" s="637" t="s">
        <v>547</v>
      </c>
      <c r="FP40" s="966">
        <v>0</v>
      </c>
      <c r="FQ40" s="966">
        <v>1545797781</v>
      </c>
      <c r="FR40" s="966">
        <v>1371866781</v>
      </c>
      <c r="FS40" s="944">
        <f t="shared" si="33"/>
        <v>0</v>
      </c>
      <c r="FT40" s="944">
        <f t="shared" si="34"/>
        <v>1545797.781</v>
      </c>
      <c r="FU40" s="944">
        <f t="shared" si="35"/>
        <v>1371866.781</v>
      </c>
      <c r="GM40" s="967" t="s">
        <v>664</v>
      </c>
      <c r="GN40" s="968" t="s">
        <v>267</v>
      </c>
      <c r="GO40" s="967" t="s">
        <v>447</v>
      </c>
      <c r="GP40" s="967" t="s">
        <v>447</v>
      </c>
      <c r="GQ40" s="968" t="s">
        <v>547</v>
      </c>
      <c r="GR40" s="969">
        <v>0</v>
      </c>
      <c r="GS40" s="969">
        <v>1623510518</v>
      </c>
      <c r="GT40" s="969">
        <v>1449579518</v>
      </c>
      <c r="GU40" s="969">
        <f t="shared" si="39"/>
        <v>0</v>
      </c>
      <c r="GV40" s="969">
        <f t="shared" si="40"/>
        <v>1623510.5179999999</v>
      </c>
      <c r="GW40" s="969">
        <f t="shared" si="41"/>
        <v>1449579.5179999999</v>
      </c>
      <c r="HO40" s="967" t="s">
        <v>664</v>
      </c>
      <c r="HP40" s="967" t="s">
        <v>267</v>
      </c>
      <c r="HQ40" s="967" t="s">
        <v>447</v>
      </c>
      <c r="HR40" s="967" t="s">
        <v>447</v>
      </c>
      <c r="HS40" s="638" t="s">
        <v>547</v>
      </c>
      <c r="HT40" s="639">
        <v>3949163891</v>
      </c>
      <c r="HU40" s="639">
        <v>0</v>
      </c>
      <c r="HV40" s="639">
        <v>0</v>
      </c>
      <c r="HW40" s="944">
        <f t="shared" si="45"/>
        <v>3949163.8909999998</v>
      </c>
      <c r="HX40" s="944">
        <f t="shared" si="46"/>
        <v>0</v>
      </c>
      <c r="HY40" s="944">
        <f t="shared" si="47"/>
        <v>0</v>
      </c>
      <c r="IC40" s="637" t="s">
        <v>667</v>
      </c>
      <c r="ID40" s="637" t="s">
        <v>634</v>
      </c>
      <c r="IE40" s="637" t="s">
        <v>447</v>
      </c>
      <c r="IF40" s="637" t="s">
        <v>447</v>
      </c>
      <c r="IG40" s="638" t="s">
        <v>547</v>
      </c>
      <c r="IH40" s="639">
        <v>0</v>
      </c>
      <c r="II40" s="639">
        <v>2684310553</v>
      </c>
      <c r="IJ40" s="639">
        <v>6668199061</v>
      </c>
      <c r="IK40" s="965">
        <f t="shared" si="48"/>
        <v>0</v>
      </c>
      <c r="IL40" s="965">
        <f t="shared" si="49"/>
        <v>2684310.5529999998</v>
      </c>
      <c r="IM40" s="965">
        <f t="shared" si="50"/>
        <v>6668199.0609999998</v>
      </c>
      <c r="IQ40" s="967" t="s">
        <v>662</v>
      </c>
      <c r="IR40" s="967" t="s">
        <v>308</v>
      </c>
      <c r="IS40" s="967" t="s">
        <v>447</v>
      </c>
      <c r="IT40" s="967" t="s">
        <v>447</v>
      </c>
      <c r="IU40" s="968" t="s">
        <v>547</v>
      </c>
      <c r="IV40" s="969">
        <v>9376381535</v>
      </c>
      <c r="IW40" s="969">
        <v>0</v>
      </c>
      <c r="IX40" s="969">
        <v>0</v>
      </c>
      <c r="IY40" s="970">
        <f t="shared" si="59"/>
        <v>9376381.5350000001</v>
      </c>
      <c r="IZ40" s="970">
        <f t="shared" si="60"/>
        <v>0</v>
      </c>
      <c r="JA40" s="970">
        <f t="shared" si="61"/>
        <v>0</v>
      </c>
      <c r="JE40" s="941"/>
      <c r="JF40" s="941"/>
      <c r="JG40" s="941"/>
      <c r="JH40" s="941"/>
      <c r="JO40" s="966" t="s">
        <v>901</v>
      </c>
      <c r="JP40" s="966" t="s">
        <v>902</v>
      </c>
      <c r="JQ40" s="966" t="s">
        <v>447</v>
      </c>
      <c r="JR40" s="640" t="s">
        <v>447</v>
      </c>
      <c r="JS40" s="640" t="s">
        <v>547</v>
      </c>
      <c r="JT40" s="971">
        <v>0</v>
      </c>
      <c r="JU40" s="971">
        <v>20028902969</v>
      </c>
      <c r="JV40" s="971">
        <v>20028902969</v>
      </c>
      <c r="JW40" s="945">
        <f t="shared" si="55"/>
        <v>0</v>
      </c>
      <c r="JX40" s="945">
        <f t="shared" si="56"/>
        <v>20028902.969000001</v>
      </c>
      <c r="JY40" s="945">
        <f t="shared" si="57"/>
        <v>20028902.969000001</v>
      </c>
    </row>
    <row r="41" spans="1:285" ht="15" customHeight="1" x14ac:dyDescent="0.3">
      <c r="A41" s="954" t="s">
        <v>668</v>
      </c>
      <c r="B41" s="954" t="s">
        <v>669</v>
      </c>
      <c r="C41" s="954" t="s">
        <v>447</v>
      </c>
      <c r="D41" s="954" t="s">
        <v>447</v>
      </c>
      <c r="E41" s="955">
        <v>0</v>
      </c>
      <c r="F41" s="955">
        <f t="shared" si="7"/>
        <v>0</v>
      </c>
      <c r="G41" s="955">
        <v>0</v>
      </c>
      <c r="H41" s="955">
        <f t="shared" si="8"/>
        <v>0</v>
      </c>
      <c r="AM41" s="956" t="s">
        <v>666</v>
      </c>
      <c r="AN41" s="956" t="s">
        <v>529</v>
      </c>
      <c r="AO41" s="956" t="s">
        <v>447</v>
      </c>
      <c r="AP41" s="956" t="s">
        <v>447</v>
      </c>
      <c r="AQ41" s="957">
        <v>9056909000</v>
      </c>
      <c r="AR41" s="957">
        <f t="shared" si="58"/>
        <v>9627494.2669999991</v>
      </c>
      <c r="AS41" s="957">
        <v>0</v>
      </c>
      <c r="AV41" s="944"/>
      <c r="BG41" s="956" t="s">
        <v>666</v>
      </c>
      <c r="BH41" s="956" t="s">
        <v>529</v>
      </c>
      <c r="BI41" s="956" t="s">
        <v>447</v>
      </c>
      <c r="BJ41" s="956" t="s">
        <v>447</v>
      </c>
      <c r="BK41" s="957">
        <v>9056909000</v>
      </c>
      <c r="BL41" s="957">
        <v>0</v>
      </c>
      <c r="BM41" s="957">
        <v>0</v>
      </c>
      <c r="BN41" s="946">
        <f t="shared" si="1"/>
        <v>9627494.2669999991</v>
      </c>
      <c r="BO41" s="946">
        <f t="shared" si="2"/>
        <v>0</v>
      </c>
      <c r="BP41" s="946">
        <f t="shared" si="3"/>
        <v>0</v>
      </c>
      <c r="CH41" s="637" t="s">
        <v>666</v>
      </c>
      <c r="CI41" s="637" t="s">
        <v>529</v>
      </c>
      <c r="CJ41" s="637" t="s">
        <v>447</v>
      </c>
      <c r="CK41" s="637" t="s">
        <v>447</v>
      </c>
      <c r="CL41" s="639">
        <v>9056909000</v>
      </c>
      <c r="CM41" s="639">
        <v>0</v>
      </c>
      <c r="CN41" s="639">
        <v>0</v>
      </c>
      <c r="CO41" s="961">
        <f t="shared" si="15"/>
        <v>9056909</v>
      </c>
      <c r="CP41" s="961">
        <f t="shared" si="16"/>
        <v>0</v>
      </c>
      <c r="CQ41" s="961">
        <f t="shared" si="17"/>
        <v>0</v>
      </c>
      <c r="DH41" s="637" t="s">
        <v>666</v>
      </c>
      <c r="DI41" s="637" t="s">
        <v>529</v>
      </c>
      <c r="DJ41" s="637" t="s">
        <v>447</v>
      </c>
      <c r="DK41" s="637" t="s">
        <v>447</v>
      </c>
      <c r="DL41" s="639">
        <v>9056909000</v>
      </c>
      <c r="DM41" s="639">
        <v>0</v>
      </c>
      <c r="DN41" s="639">
        <v>0</v>
      </c>
      <c r="DO41" s="944">
        <f t="shared" si="21"/>
        <v>9056909</v>
      </c>
      <c r="DP41" s="944">
        <f t="shared" si="22"/>
        <v>0</v>
      </c>
      <c r="DQ41" s="944">
        <f t="shared" si="23"/>
        <v>0</v>
      </c>
      <c r="EI41" s="637" t="s">
        <v>665</v>
      </c>
      <c r="EJ41" s="637" t="s">
        <v>342</v>
      </c>
      <c r="EK41" s="637" t="s">
        <v>447</v>
      </c>
      <c r="EL41" s="637" t="s">
        <v>447</v>
      </c>
      <c r="EM41" s="637" t="s">
        <v>547</v>
      </c>
      <c r="EN41" s="637">
        <v>0</v>
      </c>
      <c r="EO41" s="637">
        <v>565472361</v>
      </c>
      <c r="EP41" s="637">
        <v>503761350</v>
      </c>
      <c r="EQ41" s="966">
        <f t="shared" si="27"/>
        <v>0</v>
      </c>
      <c r="ER41" s="966">
        <f t="shared" si="28"/>
        <v>565472.36100000003</v>
      </c>
      <c r="ES41" s="966">
        <f t="shared" si="29"/>
        <v>503761.35</v>
      </c>
      <c r="FK41" s="637" t="s">
        <v>665</v>
      </c>
      <c r="FL41" s="637" t="s">
        <v>342</v>
      </c>
      <c r="FM41" s="637" t="s">
        <v>447</v>
      </c>
      <c r="FN41" s="637" t="s">
        <v>447</v>
      </c>
      <c r="FO41" s="637" t="s">
        <v>547</v>
      </c>
      <c r="FP41" s="966">
        <v>1870210431</v>
      </c>
      <c r="FQ41" s="966">
        <v>0</v>
      </c>
      <c r="FR41" s="966">
        <v>0</v>
      </c>
      <c r="FS41" s="944">
        <f t="shared" si="33"/>
        <v>1870210.4310000001</v>
      </c>
      <c r="FT41" s="944">
        <f t="shared" si="34"/>
        <v>0</v>
      </c>
      <c r="FU41" s="944">
        <f t="shared" si="35"/>
        <v>0</v>
      </c>
      <c r="GM41" s="967" t="s">
        <v>665</v>
      </c>
      <c r="GN41" s="968" t="s">
        <v>342</v>
      </c>
      <c r="GO41" s="967" t="s">
        <v>447</v>
      </c>
      <c r="GP41" s="967" t="s">
        <v>447</v>
      </c>
      <c r="GQ41" s="968" t="s">
        <v>547</v>
      </c>
      <c r="GR41" s="969">
        <v>3228646526</v>
      </c>
      <c r="GS41" s="969">
        <v>0</v>
      </c>
      <c r="GT41" s="969">
        <v>0</v>
      </c>
      <c r="GU41" s="969">
        <f t="shared" si="39"/>
        <v>3228646.5260000001</v>
      </c>
      <c r="GV41" s="969">
        <f t="shared" si="40"/>
        <v>0</v>
      </c>
      <c r="GW41" s="969">
        <f t="shared" si="41"/>
        <v>0</v>
      </c>
      <c r="HO41" s="967" t="s">
        <v>664</v>
      </c>
      <c r="HP41" s="967" t="s">
        <v>267</v>
      </c>
      <c r="HQ41" s="967" t="s">
        <v>447</v>
      </c>
      <c r="HR41" s="967" t="s">
        <v>447</v>
      </c>
      <c r="HS41" s="638" t="s">
        <v>547</v>
      </c>
      <c r="HT41" s="639">
        <v>0</v>
      </c>
      <c r="HU41" s="639">
        <v>2804917518</v>
      </c>
      <c r="HV41" s="639">
        <v>1449579518</v>
      </c>
      <c r="HW41" s="944">
        <f t="shared" si="45"/>
        <v>0</v>
      </c>
      <c r="HX41" s="944">
        <f t="shared" si="46"/>
        <v>2804917.5180000002</v>
      </c>
      <c r="HY41" s="944">
        <f t="shared" si="47"/>
        <v>1449579.5179999999</v>
      </c>
      <c r="IC41" s="637" t="s">
        <v>668</v>
      </c>
      <c r="ID41" s="637" t="s">
        <v>669</v>
      </c>
      <c r="IE41" s="637" t="s">
        <v>447</v>
      </c>
      <c r="IF41" s="637" t="s">
        <v>447</v>
      </c>
      <c r="IG41" s="638" t="s">
        <v>547</v>
      </c>
      <c r="IH41" s="639">
        <v>0</v>
      </c>
      <c r="II41" s="639">
        <v>6195273792</v>
      </c>
      <c r="IJ41" s="639">
        <v>2694928047</v>
      </c>
      <c r="IK41" s="965">
        <f t="shared" si="48"/>
        <v>0</v>
      </c>
      <c r="IL41" s="965">
        <f t="shared" si="49"/>
        <v>6195273.7920000004</v>
      </c>
      <c r="IM41" s="965">
        <f t="shared" si="50"/>
        <v>2694928.0469999998</v>
      </c>
      <c r="IQ41" s="967" t="s">
        <v>662</v>
      </c>
      <c r="IR41" s="967" t="s">
        <v>308</v>
      </c>
      <c r="IS41" s="967" t="s">
        <v>447</v>
      </c>
      <c r="IT41" s="967" t="s">
        <v>447</v>
      </c>
      <c r="IU41" s="968" t="s">
        <v>547</v>
      </c>
      <c r="IV41" s="969">
        <v>0</v>
      </c>
      <c r="IW41" s="969">
        <v>7122082090</v>
      </c>
      <c r="IX41" s="969">
        <v>6696383587</v>
      </c>
      <c r="IY41" s="970">
        <f t="shared" si="59"/>
        <v>0</v>
      </c>
      <c r="IZ41" s="970">
        <f t="shared" si="60"/>
        <v>7122082.0899999999</v>
      </c>
      <c r="JA41" s="970">
        <f t="shared" si="61"/>
        <v>6696383.5870000003</v>
      </c>
      <c r="JE41" s="941"/>
      <c r="JF41" s="941"/>
      <c r="JG41" s="941"/>
      <c r="JH41" s="941"/>
      <c r="JO41" s="966" t="s">
        <v>662</v>
      </c>
      <c r="JP41" s="966" t="s">
        <v>308</v>
      </c>
      <c r="JQ41" s="966" t="s">
        <v>447</v>
      </c>
      <c r="JR41" s="640" t="s">
        <v>447</v>
      </c>
      <c r="JS41" s="640" t="s">
        <v>547</v>
      </c>
      <c r="JT41" s="971">
        <v>8754941034</v>
      </c>
      <c r="JU41" s="971">
        <v>0</v>
      </c>
      <c r="JV41" s="971">
        <v>0</v>
      </c>
      <c r="JW41" s="945">
        <f t="shared" si="55"/>
        <v>8754941.034</v>
      </c>
      <c r="JX41" s="945">
        <f t="shared" si="56"/>
        <v>0</v>
      </c>
      <c r="JY41" s="945">
        <f t="shared" si="57"/>
        <v>0</v>
      </c>
    </row>
    <row r="42" spans="1:285" ht="15" customHeight="1" x14ac:dyDescent="0.3">
      <c r="A42" s="954" t="s">
        <v>452</v>
      </c>
      <c r="B42" s="954" t="s">
        <v>128</v>
      </c>
      <c r="C42" s="954" t="s">
        <v>447</v>
      </c>
      <c r="D42" s="954" t="s">
        <v>447</v>
      </c>
      <c r="E42" s="955">
        <v>10000</v>
      </c>
      <c r="F42" s="955">
        <f t="shared" si="7"/>
        <v>10.629999999999999</v>
      </c>
      <c r="G42" s="955">
        <v>0</v>
      </c>
      <c r="H42" s="955">
        <f t="shared" si="8"/>
        <v>0</v>
      </c>
      <c r="AM42" s="956" t="s">
        <v>666</v>
      </c>
      <c r="AN42" s="956" t="s">
        <v>529</v>
      </c>
      <c r="AO42" s="956" t="s">
        <v>447</v>
      </c>
      <c r="AP42" s="956" t="s">
        <v>447</v>
      </c>
      <c r="AQ42" s="957">
        <v>0</v>
      </c>
      <c r="AR42" s="957">
        <f t="shared" si="58"/>
        <v>0</v>
      </c>
      <c r="AS42" s="957">
        <v>1008249464</v>
      </c>
      <c r="AV42" s="944"/>
      <c r="BG42" s="956" t="s">
        <v>666</v>
      </c>
      <c r="BH42" s="956" t="s">
        <v>529</v>
      </c>
      <c r="BI42" s="956" t="s">
        <v>447</v>
      </c>
      <c r="BJ42" s="956" t="s">
        <v>447</v>
      </c>
      <c r="BK42" s="957">
        <v>0</v>
      </c>
      <c r="BL42" s="957">
        <v>1182625184</v>
      </c>
      <c r="BM42" s="957">
        <v>1155790628</v>
      </c>
      <c r="BN42" s="946">
        <f t="shared" si="1"/>
        <v>0</v>
      </c>
      <c r="BO42" s="946">
        <f t="shared" si="2"/>
        <v>1257130.5705919999</v>
      </c>
      <c r="BP42" s="946">
        <f t="shared" si="3"/>
        <v>1228605.437564</v>
      </c>
      <c r="CH42" s="637" t="s">
        <v>666</v>
      </c>
      <c r="CI42" s="637" t="s">
        <v>529</v>
      </c>
      <c r="CJ42" s="637" t="s">
        <v>447</v>
      </c>
      <c r="CK42" s="637" t="s">
        <v>447</v>
      </c>
      <c r="CL42" s="639">
        <v>0</v>
      </c>
      <c r="CM42" s="639">
        <v>2403893496</v>
      </c>
      <c r="CN42" s="639">
        <v>1655076347</v>
      </c>
      <c r="CO42" s="961">
        <f t="shared" si="15"/>
        <v>0</v>
      </c>
      <c r="CP42" s="961">
        <f t="shared" si="16"/>
        <v>2403893.4959999998</v>
      </c>
      <c r="CQ42" s="961">
        <f t="shared" si="17"/>
        <v>1655076.3470000001</v>
      </c>
      <c r="DH42" s="637" t="s">
        <v>666</v>
      </c>
      <c r="DI42" s="637" t="s">
        <v>529</v>
      </c>
      <c r="DJ42" s="637" t="s">
        <v>447</v>
      </c>
      <c r="DK42" s="637" t="s">
        <v>447</v>
      </c>
      <c r="DL42" s="639">
        <v>0</v>
      </c>
      <c r="DM42" s="639">
        <v>2510117399</v>
      </c>
      <c r="DN42" s="639">
        <v>2449986913</v>
      </c>
      <c r="DO42" s="944">
        <f t="shared" si="21"/>
        <v>0</v>
      </c>
      <c r="DP42" s="944">
        <f t="shared" si="22"/>
        <v>2510117.3990000002</v>
      </c>
      <c r="DQ42" s="944">
        <f t="shared" si="23"/>
        <v>2449986.9130000002</v>
      </c>
      <c r="EI42" s="637" t="s">
        <v>666</v>
      </c>
      <c r="EJ42" s="637" t="s">
        <v>529</v>
      </c>
      <c r="EK42" s="637" t="s">
        <v>447</v>
      </c>
      <c r="EL42" s="637" t="s">
        <v>447</v>
      </c>
      <c r="EM42" s="637" t="s">
        <v>547</v>
      </c>
      <c r="EN42" s="637">
        <v>9056909000</v>
      </c>
      <c r="EO42" s="637">
        <v>0</v>
      </c>
      <c r="EP42" s="637">
        <v>0</v>
      </c>
      <c r="EQ42" s="966">
        <f t="shared" si="27"/>
        <v>9056909</v>
      </c>
      <c r="ER42" s="966">
        <f t="shared" si="28"/>
        <v>0</v>
      </c>
      <c r="ES42" s="966">
        <f t="shared" si="29"/>
        <v>0</v>
      </c>
      <c r="FK42" s="637" t="s">
        <v>665</v>
      </c>
      <c r="FL42" s="637" t="s">
        <v>342</v>
      </c>
      <c r="FM42" s="637" t="s">
        <v>447</v>
      </c>
      <c r="FN42" s="637" t="s">
        <v>447</v>
      </c>
      <c r="FO42" s="637" t="s">
        <v>547</v>
      </c>
      <c r="FP42" s="966">
        <v>0</v>
      </c>
      <c r="FQ42" s="966">
        <v>668173018</v>
      </c>
      <c r="FR42" s="966">
        <v>606462007</v>
      </c>
      <c r="FS42" s="944">
        <f t="shared" si="33"/>
        <v>0</v>
      </c>
      <c r="FT42" s="944">
        <f t="shared" si="34"/>
        <v>668173.01800000004</v>
      </c>
      <c r="FU42" s="944">
        <f t="shared" si="35"/>
        <v>606462.00699999998</v>
      </c>
      <c r="GM42" s="967" t="s">
        <v>665</v>
      </c>
      <c r="GN42" s="968" t="s">
        <v>342</v>
      </c>
      <c r="GO42" s="967" t="s">
        <v>447</v>
      </c>
      <c r="GP42" s="967" t="s">
        <v>447</v>
      </c>
      <c r="GQ42" s="968" t="s">
        <v>547</v>
      </c>
      <c r="GR42" s="969">
        <v>0</v>
      </c>
      <c r="GS42" s="969">
        <v>709827018</v>
      </c>
      <c r="GT42" s="969">
        <v>648116007</v>
      </c>
      <c r="GU42" s="969">
        <f t="shared" si="39"/>
        <v>0</v>
      </c>
      <c r="GV42" s="969">
        <f t="shared" si="40"/>
        <v>709827.01800000004</v>
      </c>
      <c r="GW42" s="969">
        <f t="shared" si="41"/>
        <v>648116.00699999998</v>
      </c>
      <c r="HO42" s="967" t="s">
        <v>665</v>
      </c>
      <c r="HP42" s="967" t="s">
        <v>342</v>
      </c>
      <c r="HQ42" s="967" t="s">
        <v>447</v>
      </c>
      <c r="HR42" s="967" t="s">
        <v>447</v>
      </c>
      <c r="HS42" s="638" t="s">
        <v>547</v>
      </c>
      <c r="HT42" s="639">
        <v>3228646526</v>
      </c>
      <c r="HU42" s="639">
        <v>0</v>
      </c>
      <c r="HV42" s="639">
        <v>0</v>
      </c>
      <c r="HW42" s="944">
        <f t="shared" si="45"/>
        <v>3228646.5260000001</v>
      </c>
      <c r="HX42" s="944">
        <f t="shared" si="46"/>
        <v>0</v>
      </c>
      <c r="HY42" s="944">
        <f t="shared" si="47"/>
        <v>0</v>
      </c>
      <c r="IM42" s="947"/>
      <c r="IQ42" s="967" t="s">
        <v>663</v>
      </c>
      <c r="IR42" s="967" t="s">
        <v>266</v>
      </c>
      <c r="IS42" s="967" t="s">
        <v>447</v>
      </c>
      <c r="IT42" s="967" t="s">
        <v>447</v>
      </c>
      <c r="IU42" s="968" t="s">
        <v>547</v>
      </c>
      <c r="IV42" s="969">
        <v>3908797339</v>
      </c>
      <c r="IW42" s="969">
        <v>0</v>
      </c>
      <c r="IX42" s="969">
        <v>0</v>
      </c>
      <c r="IY42" s="970">
        <f t="shared" si="59"/>
        <v>3908797.3390000002</v>
      </c>
      <c r="IZ42" s="970">
        <f t="shared" si="60"/>
        <v>0</v>
      </c>
      <c r="JA42" s="970">
        <f t="shared" si="61"/>
        <v>0</v>
      </c>
      <c r="JO42" s="966" t="s">
        <v>662</v>
      </c>
      <c r="JP42" s="966" t="s">
        <v>308</v>
      </c>
      <c r="JQ42" s="966" t="s">
        <v>447</v>
      </c>
      <c r="JR42" s="640" t="s">
        <v>447</v>
      </c>
      <c r="JS42" s="640" t="s">
        <v>547</v>
      </c>
      <c r="JT42" s="971">
        <v>0</v>
      </c>
      <c r="JU42" s="971">
        <v>8754941034</v>
      </c>
      <c r="JV42" s="971">
        <v>8754941034</v>
      </c>
      <c r="JW42" s="945">
        <f t="shared" si="55"/>
        <v>0</v>
      </c>
      <c r="JX42" s="945">
        <f t="shared" si="56"/>
        <v>8754941.034</v>
      </c>
      <c r="JY42" s="945">
        <f t="shared" si="57"/>
        <v>8754941.034</v>
      </c>
    </row>
    <row r="43" spans="1:285" ht="15" customHeight="1" x14ac:dyDescent="0.3">
      <c r="A43" s="954" t="s">
        <v>452</v>
      </c>
      <c r="B43" s="954" t="s">
        <v>128</v>
      </c>
      <c r="C43" s="954" t="s">
        <v>447</v>
      </c>
      <c r="D43" s="954" t="s">
        <v>447</v>
      </c>
      <c r="E43" s="955">
        <v>0</v>
      </c>
      <c r="F43" s="955">
        <f t="shared" si="7"/>
        <v>0</v>
      </c>
      <c r="G43" s="955">
        <v>1106524508</v>
      </c>
      <c r="H43" s="955">
        <f t="shared" si="8"/>
        <v>1176235.5520039999</v>
      </c>
      <c r="AM43" s="956" t="s">
        <v>667</v>
      </c>
      <c r="AN43" s="956" t="s">
        <v>634</v>
      </c>
      <c r="AO43" s="956" t="s">
        <v>447</v>
      </c>
      <c r="AP43" s="956" t="s">
        <v>447</v>
      </c>
      <c r="AQ43" s="957">
        <v>11042489029</v>
      </c>
      <c r="AR43" s="957">
        <f t="shared" si="58"/>
        <v>11738165.837826999</v>
      </c>
      <c r="AS43" s="957">
        <v>0</v>
      </c>
      <c r="AV43" s="944"/>
      <c r="BG43" s="956" t="s">
        <v>667</v>
      </c>
      <c r="BH43" s="956" t="s">
        <v>634</v>
      </c>
      <c r="BI43" s="956" t="s">
        <v>447</v>
      </c>
      <c r="BJ43" s="956" t="s">
        <v>447</v>
      </c>
      <c r="BK43" s="957">
        <v>11042489029</v>
      </c>
      <c r="BL43" s="957">
        <v>0</v>
      </c>
      <c r="BM43" s="957">
        <v>0</v>
      </c>
      <c r="BN43" s="946">
        <f t="shared" si="1"/>
        <v>11738165.837826999</v>
      </c>
      <c r="BO43" s="946">
        <f t="shared" si="2"/>
        <v>0</v>
      </c>
      <c r="BP43" s="946">
        <f t="shared" si="3"/>
        <v>0</v>
      </c>
      <c r="CH43" s="637" t="s">
        <v>667</v>
      </c>
      <c r="CI43" s="637" t="s">
        <v>634</v>
      </c>
      <c r="CJ43" s="637" t="s">
        <v>447</v>
      </c>
      <c r="CK43" s="637" t="s">
        <v>447</v>
      </c>
      <c r="CL43" s="639">
        <v>11042489029</v>
      </c>
      <c r="CM43" s="639">
        <v>0</v>
      </c>
      <c r="CN43" s="639">
        <v>0</v>
      </c>
      <c r="CO43" s="961">
        <f t="shared" si="15"/>
        <v>11042489.028999999</v>
      </c>
      <c r="CP43" s="961">
        <f t="shared" si="16"/>
        <v>0</v>
      </c>
      <c r="CQ43" s="961">
        <f t="shared" si="17"/>
        <v>0</v>
      </c>
      <c r="DH43" s="637" t="s">
        <v>667</v>
      </c>
      <c r="DI43" s="637" t="s">
        <v>634</v>
      </c>
      <c r="DJ43" s="637" t="s">
        <v>447</v>
      </c>
      <c r="DK43" s="637" t="s">
        <v>447</v>
      </c>
      <c r="DL43" s="639">
        <v>41899803765</v>
      </c>
      <c r="DM43" s="639">
        <v>0</v>
      </c>
      <c r="DN43" s="639">
        <v>0</v>
      </c>
      <c r="DO43" s="944">
        <f t="shared" si="21"/>
        <v>41899803.765000001</v>
      </c>
      <c r="DP43" s="944">
        <f t="shared" si="22"/>
        <v>0</v>
      </c>
      <c r="DQ43" s="944">
        <f t="shared" si="23"/>
        <v>0</v>
      </c>
      <c r="EI43" s="637" t="s">
        <v>666</v>
      </c>
      <c r="EJ43" s="637" t="s">
        <v>529</v>
      </c>
      <c r="EK43" s="637" t="s">
        <v>447</v>
      </c>
      <c r="EL43" s="637" t="s">
        <v>447</v>
      </c>
      <c r="EM43" s="637" t="s">
        <v>547</v>
      </c>
      <c r="EN43" s="637">
        <v>0</v>
      </c>
      <c r="EO43" s="637">
        <v>2510117399</v>
      </c>
      <c r="EP43" s="637">
        <v>2449986913</v>
      </c>
      <c r="EQ43" s="966">
        <f t="shared" si="27"/>
        <v>0</v>
      </c>
      <c r="ER43" s="966">
        <f t="shared" si="28"/>
        <v>2510117.3990000002</v>
      </c>
      <c r="ES43" s="966">
        <f t="shared" si="29"/>
        <v>2449986.9130000002</v>
      </c>
      <c r="FK43" s="637" t="s">
        <v>666</v>
      </c>
      <c r="FL43" s="637" t="s">
        <v>529</v>
      </c>
      <c r="FM43" s="637" t="s">
        <v>447</v>
      </c>
      <c r="FN43" s="637" t="s">
        <v>447</v>
      </c>
      <c r="FO43" s="637" t="s">
        <v>547</v>
      </c>
      <c r="FP43" s="966">
        <v>9056909000</v>
      </c>
      <c r="FQ43" s="966">
        <v>0</v>
      </c>
      <c r="FR43" s="966">
        <v>0</v>
      </c>
      <c r="FS43" s="944">
        <f t="shared" si="33"/>
        <v>9056909</v>
      </c>
      <c r="FT43" s="944">
        <f t="shared" si="34"/>
        <v>0</v>
      </c>
      <c r="FU43" s="944">
        <f t="shared" si="35"/>
        <v>0</v>
      </c>
      <c r="GM43" s="967" t="s">
        <v>666</v>
      </c>
      <c r="GN43" s="968" t="s">
        <v>529</v>
      </c>
      <c r="GO43" s="967" t="s">
        <v>447</v>
      </c>
      <c r="GP43" s="967" t="s">
        <v>447</v>
      </c>
      <c r="GQ43" s="968" t="s">
        <v>547</v>
      </c>
      <c r="GR43" s="969">
        <v>9056909000</v>
      </c>
      <c r="GS43" s="969">
        <v>0</v>
      </c>
      <c r="GT43" s="969">
        <v>0</v>
      </c>
      <c r="GU43" s="969">
        <f t="shared" si="39"/>
        <v>9056909</v>
      </c>
      <c r="GV43" s="969">
        <f t="shared" si="40"/>
        <v>0</v>
      </c>
      <c r="GW43" s="969">
        <f t="shared" si="41"/>
        <v>0</v>
      </c>
      <c r="HO43" s="967" t="s">
        <v>665</v>
      </c>
      <c r="HP43" s="967" t="s">
        <v>342</v>
      </c>
      <c r="HQ43" s="967" t="s">
        <v>447</v>
      </c>
      <c r="HR43" s="967" t="s">
        <v>447</v>
      </c>
      <c r="HS43" s="638" t="s">
        <v>547</v>
      </c>
      <c r="HT43" s="639">
        <v>0</v>
      </c>
      <c r="HU43" s="639">
        <v>1821191385</v>
      </c>
      <c r="HV43" s="639">
        <v>1053665956</v>
      </c>
      <c r="HW43" s="944">
        <f t="shared" si="45"/>
        <v>0</v>
      </c>
      <c r="HX43" s="944">
        <f t="shared" si="46"/>
        <v>1821191.385</v>
      </c>
      <c r="HY43" s="944">
        <f t="shared" si="47"/>
        <v>1053665.956</v>
      </c>
      <c r="IQ43" s="967" t="s">
        <v>663</v>
      </c>
      <c r="IR43" s="967" t="s">
        <v>266</v>
      </c>
      <c r="IS43" s="967" t="s">
        <v>447</v>
      </c>
      <c r="IT43" s="967" t="s">
        <v>447</v>
      </c>
      <c r="IU43" s="968" t="s">
        <v>547</v>
      </c>
      <c r="IV43" s="969">
        <v>0</v>
      </c>
      <c r="IW43" s="969">
        <v>3341097339</v>
      </c>
      <c r="IX43" s="969">
        <v>3341097339</v>
      </c>
      <c r="IY43" s="970">
        <f t="shared" si="59"/>
        <v>0</v>
      </c>
      <c r="IZ43" s="970">
        <f t="shared" si="60"/>
        <v>3341097.3390000002</v>
      </c>
      <c r="JA43" s="970">
        <f t="shared" si="61"/>
        <v>3341097.3390000002</v>
      </c>
      <c r="JO43" s="966" t="s">
        <v>663</v>
      </c>
      <c r="JP43" s="966" t="s">
        <v>266</v>
      </c>
      <c r="JQ43" s="966" t="s">
        <v>447</v>
      </c>
      <c r="JR43" s="640" t="s">
        <v>447</v>
      </c>
      <c r="JS43" s="640" t="s">
        <v>547</v>
      </c>
      <c r="JT43" s="971">
        <v>4582262364</v>
      </c>
      <c r="JU43" s="971">
        <v>0</v>
      </c>
      <c r="JV43" s="971">
        <v>0</v>
      </c>
      <c r="JW43" s="945">
        <f t="shared" si="55"/>
        <v>4582262.3640000001</v>
      </c>
      <c r="JX43" s="945">
        <f t="shared" si="56"/>
        <v>0</v>
      </c>
      <c r="JY43" s="945">
        <f t="shared" si="57"/>
        <v>0</v>
      </c>
    </row>
    <row r="44" spans="1:285" ht="15" customHeight="1" x14ac:dyDescent="0.3">
      <c r="H44" s="955">
        <f>SUBTOTAL(9,H3:H43)</f>
        <v>45245804.607412994</v>
      </c>
      <c r="AM44" s="956" t="s">
        <v>667</v>
      </c>
      <c r="AN44" s="956" t="s">
        <v>634</v>
      </c>
      <c r="AO44" s="956" t="s">
        <v>447</v>
      </c>
      <c r="AP44" s="956" t="s">
        <v>447</v>
      </c>
      <c r="AQ44" s="957">
        <v>0</v>
      </c>
      <c r="AR44" s="957">
        <f t="shared" si="58"/>
        <v>0</v>
      </c>
      <c r="AS44" s="957">
        <v>3038222269</v>
      </c>
      <c r="AV44" s="944"/>
      <c r="BG44" s="956" t="s">
        <v>667</v>
      </c>
      <c r="BH44" s="956" t="s">
        <v>634</v>
      </c>
      <c r="BI44" s="956" t="s">
        <v>447</v>
      </c>
      <c r="BJ44" s="956" t="s">
        <v>447</v>
      </c>
      <c r="BK44" s="957">
        <v>0</v>
      </c>
      <c r="BL44" s="957">
        <v>3520353120</v>
      </c>
      <c r="BM44" s="957">
        <v>3199936700</v>
      </c>
      <c r="BN44" s="946">
        <f t="shared" si="1"/>
        <v>0</v>
      </c>
      <c r="BO44" s="946">
        <f t="shared" si="2"/>
        <v>3742135.36656</v>
      </c>
      <c r="BP44" s="946">
        <f t="shared" si="3"/>
        <v>3401532.7121000001</v>
      </c>
      <c r="CH44" s="637" t="s">
        <v>667</v>
      </c>
      <c r="CI44" s="637" t="s">
        <v>634</v>
      </c>
      <c r="CJ44" s="637" t="s">
        <v>447</v>
      </c>
      <c r="CK44" s="637" t="s">
        <v>447</v>
      </c>
      <c r="CL44" s="639">
        <v>0</v>
      </c>
      <c r="CM44" s="639">
        <v>3875262458</v>
      </c>
      <c r="CN44" s="639">
        <v>3543687403</v>
      </c>
      <c r="CO44" s="961">
        <f t="shared" si="15"/>
        <v>0</v>
      </c>
      <c r="CP44" s="961">
        <f t="shared" si="16"/>
        <v>3875262.4580000001</v>
      </c>
      <c r="CQ44" s="961">
        <f t="shared" si="17"/>
        <v>3543687.4029999999</v>
      </c>
      <c r="DH44" s="637" t="s">
        <v>667</v>
      </c>
      <c r="DI44" s="637" t="s">
        <v>634</v>
      </c>
      <c r="DJ44" s="637" t="s">
        <v>447</v>
      </c>
      <c r="DK44" s="637" t="s">
        <v>447</v>
      </c>
      <c r="DL44" s="639">
        <v>0</v>
      </c>
      <c r="DM44" s="639">
        <v>4030287333</v>
      </c>
      <c r="DN44" s="639">
        <v>3728789709</v>
      </c>
      <c r="DO44" s="944">
        <f t="shared" si="21"/>
        <v>0</v>
      </c>
      <c r="DP44" s="944">
        <f t="shared" si="22"/>
        <v>4030287.3330000001</v>
      </c>
      <c r="DQ44" s="944">
        <f t="shared" si="23"/>
        <v>3728789.7089999998</v>
      </c>
      <c r="EI44" s="637" t="s">
        <v>667</v>
      </c>
      <c r="EJ44" s="637" t="s">
        <v>634</v>
      </c>
      <c r="EK44" s="637" t="s">
        <v>447</v>
      </c>
      <c r="EL44" s="637" t="s">
        <v>447</v>
      </c>
      <c r="EM44" s="637" t="s">
        <v>547</v>
      </c>
      <c r="EN44" s="637">
        <v>41899803765</v>
      </c>
      <c r="EO44" s="637">
        <v>0</v>
      </c>
      <c r="EP44" s="637">
        <v>0</v>
      </c>
      <c r="EQ44" s="966">
        <f t="shared" si="27"/>
        <v>41899803.765000001</v>
      </c>
      <c r="ER44" s="966">
        <f t="shared" si="28"/>
        <v>0</v>
      </c>
      <c r="ES44" s="966">
        <f t="shared" si="29"/>
        <v>0</v>
      </c>
      <c r="FK44" s="637" t="s">
        <v>666</v>
      </c>
      <c r="FL44" s="637" t="s">
        <v>529</v>
      </c>
      <c r="FM44" s="637" t="s">
        <v>447</v>
      </c>
      <c r="FN44" s="637" t="s">
        <v>447</v>
      </c>
      <c r="FO44" s="637" t="s">
        <v>547</v>
      </c>
      <c r="FP44" s="966">
        <v>0</v>
      </c>
      <c r="FQ44" s="966">
        <v>2973776537</v>
      </c>
      <c r="FR44" s="966">
        <v>2710533939</v>
      </c>
      <c r="FS44" s="944">
        <f t="shared" si="33"/>
        <v>0</v>
      </c>
      <c r="FT44" s="944">
        <f t="shared" si="34"/>
        <v>2973776.537</v>
      </c>
      <c r="FU44" s="944">
        <f t="shared" si="35"/>
        <v>2710533.9389999998</v>
      </c>
      <c r="GM44" s="967" t="s">
        <v>666</v>
      </c>
      <c r="GN44" s="968" t="s">
        <v>529</v>
      </c>
      <c r="GO44" s="967" t="s">
        <v>447</v>
      </c>
      <c r="GP44" s="967" t="s">
        <v>447</v>
      </c>
      <c r="GQ44" s="968" t="s">
        <v>547</v>
      </c>
      <c r="GR44" s="969">
        <v>0</v>
      </c>
      <c r="GS44" s="969">
        <v>4686022706</v>
      </c>
      <c r="GT44" s="969">
        <v>3283511321</v>
      </c>
      <c r="GU44" s="969">
        <f t="shared" si="39"/>
        <v>0</v>
      </c>
      <c r="GV44" s="969">
        <f t="shared" si="40"/>
        <v>4686022.7060000002</v>
      </c>
      <c r="GW44" s="969">
        <f t="shared" si="41"/>
        <v>3283511.321</v>
      </c>
      <c r="HO44" s="967" t="s">
        <v>666</v>
      </c>
      <c r="HP44" s="967" t="s">
        <v>529</v>
      </c>
      <c r="HQ44" s="967" t="s">
        <v>447</v>
      </c>
      <c r="HR44" s="967" t="s">
        <v>447</v>
      </c>
      <c r="HS44" s="638" t="s">
        <v>547</v>
      </c>
      <c r="HT44" s="639">
        <v>9056909000</v>
      </c>
      <c r="HU44" s="639">
        <v>0</v>
      </c>
      <c r="HV44" s="639">
        <v>0</v>
      </c>
      <c r="HW44" s="944">
        <f t="shared" si="45"/>
        <v>9056909</v>
      </c>
      <c r="HX44" s="944">
        <f t="shared" si="46"/>
        <v>0</v>
      </c>
      <c r="HY44" s="944">
        <f t="shared" si="47"/>
        <v>0</v>
      </c>
      <c r="IQ44" s="967" t="s">
        <v>664</v>
      </c>
      <c r="IR44" s="967" t="s">
        <v>267</v>
      </c>
      <c r="IS44" s="967" t="s">
        <v>447</v>
      </c>
      <c r="IT44" s="967" t="s">
        <v>447</v>
      </c>
      <c r="IU44" s="968" t="s">
        <v>547</v>
      </c>
      <c r="IV44" s="969">
        <v>4421777912</v>
      </c>
      <c r="IW44" s="969">
        <v>0</v>
      </c>
      <c r="IX44" s="969">
        <v>0</v>
      </c>
      <c r="IY44" s="970">
        <f t="shared" si="59"/>
        <v>4421777.9119999995</v>
      </c>
      <c r="IZ44" s="970">
        <f t="shared" si="60"/>
        <v>0</v>
      </c>
      <c r="JA44" s="970">
        <f t="shared" si="61"/>
        <v>0</v>
      </c>
      <c r="JO44" s="966" t="s">
        <v>663</v>
      </c>
      <c r="JP44" s="966" t="s">
        <v>266</v>
      </c>
      <c r="JQ44" s="966" t="s">
        <v>447</v>
      </c>
      <c r="JR44" s="640" t="s">
        <v>447</v>
      </c>
      <c r="JS44" s="640" t="s">
        <v>547</v>
      </c>
      <c r="JT44" s="971">
        <v>0</v>
      </c>
      <c r="JU44" s="971">
        <v>4582262364</v>
      </c>
      <c r="JV44" s="971">
        <v>4582262364</v>
      </c>
      <c r="JW44" s="945">
        <f t="shared" si="55"/>
        <v>0</v>
      </c>
      <c r="JX44" s="945">
        <f t="shared" si="56"/>
        <v>4582262.3640000001</v>
      </c>
      <c r="JY44" s="945">
        <f t="shared" si="57"/>
        <v>4582262.3640000001</v>
      </c>
    </row>
    <row r="45" spans="1:285" ht="15" customHeight="1" x14ac:dyDescent="0.3">
      <c r="AM45" s="956" t="s">
        <v>668</v>
      </c>
      <c r="AN45" s="956" t="s">
        <v>669</v>
      </c>
      <c r="AO45" s="956" t="s">
        <v>447</v>
      </c>
      <c r="AP45" s="956" t="s">
        <v>447</v>
      </c>
      <c r="AQ45" s="957">
        <v>13787455000</v>
      </c>
      <c r="AR45" s="957">
        <f t="shared" si="58"/>
        <v>14656064.664999999</v>
      </c>
      <c r="AS45" s="957">
        <v>0</v>
      </c>
      <c r="AV45" s="944"/>
      <c r="BG45" s="956" t="s">
        <v>668</v>
      </c>
      <c r="BH45" s="956" t="s">
        <v>669</v>
      </c>
      <c r="BI45" s="956" t="s">
        <v>447</v>
      </c>
      <c r="BJ45" s="956" t="s">
        <v>447</v>
      </c>
      <c r="BK45" s="957">
        <v>13787455000</v>
      </c>
      <c r="BL45" s="957">
        <v>0</v>
      </c>
      <c r="BM45" s="957">
        <v>0</v>
      </c>
      <c r="BN45" s="946">
        <f t="shared" si="1"/>
        <v>14656064.664999999</v>
      </c>
      <c r="BO45" s="946">
        <f t="shared" si="2"/>
        <v>0</v>
      </c>
      <c r="BP45" s="946">
        <f t="shared" si="3"/>
        <v>0</v>
      </c>
      <c r="CH45" s="637" t="s">
        <v>668</v>
      </c>
      <c r="CI45" s="637" t="s">
        <v>669</v>
      </c>
      <c r="CJ45" s="637" t="s">
        <v>447</v>
      </c>
      <c r="CK45" s="637" t="s">
        <v>447</v>
      </c>
      <c r="CL45" s="639">
        <v>13787455000</v>
      </c>
      <c r="CM45" s="639">
        <v>0</v>
      </c>
      <c r="CN45" s="639">
        <v>0</v>
      </c>
      <c r="CO45" s="961">
        <f t="shared" si="15"/>
        <v>13787455</v>
      </c>
      <c r="CP45" s="961">
        <f t="shared" si="16"/>
        <v>0</v>
      </c>
      <c r="CQ45" s="961">
        <f t="shared" si="17"/>
        <v>0</v>
      </c>
      <c r="DH45" s="637" t="s">
        <v>668</v>
      </c>
      <c r="DI45" s="637" t="s">
        <v>669</v>
      </c>
      <c r="DJ45" s="637" t="s">
        <v>447</v>
      </c>
      <c r="DK45" s="637" t="s">
        <v>447</v>
      </c>
      <c r="DL45" s="639">
        <v>13787455000</v>
      </c>
      <c r="DM45" s="639">
        <v>0</v>
      </c>
      <c r="DN45" s="639">
        <v>0</v>
      </c>
      <c r="DO45" s="944">
        <f t="shared" si="21"/>
        <v>13787455</v>
      </c>
      <c r="DP45" s="944">
        <f t="shared" si="22"/>
        <v>0</v>
      </c>
      <c r="DQ45" s="944">
        <f t="shared" si="23"/>
        <v>0</v>
      </c>
      <c r="EI45" s="637" t="s">
        <v>667</v>
      </c>
      <c r="EJ45" s="637" t="s">
        <v>634</v>
      </c>
      <c r="EK45" s="637" t="s">
        <v>447</v>
      </c>
      <c r="EL45" s="637" t="s">
        <v>447</v>
      </c>
      <c r="EM45" s="637" t="s">
        <v>547</v>
      </c>
      <c r="EN45" s="637">
        <v>0</v>
      </c>
      <c r="EO45" s="637">
        <v>23905670739</v>
      </c>
      <c r="EP45" s="637">
        <v>5316568207</v>
      </c>
      <c r="EQ45" s="966">
        <f t="shared" si="27"/>
        <v>0</v>
      </c>
      <c r="ER45" s="966">
        <f t="shared" si="28"/>
        <v>23905670.739</v>
      </c>
      <c r="ES45" s="966">
        <f t="shared" si="29"/>
        <v>5316568.2070000004</v>
      </c>
      <c r="FK45" s="637" t="s">
        <v>667</v>
      </c>
      <c r="FL45" s="637" t="s">
        <v>634</v>
      </c>
      <c r="FM45" s="637" t="s">
        <v>447</v>
      </c>
      <c r="FN45" s="637" t="s">
        <v>447</v>
      </c>
      <c r="FO45" s="637" t="s">
        <v>547</v>
      </c>
      <c r="FP45" s="966">
        <v>48597277765</v>
      </c>
      <c r="FQ45" s="966">
        <v>0</v>
      </c>
      <c r="FR45" s="966">
        <v>0</v>
      </c>
      <c r="FS45" s="944">
        <f t="shared" si="33"/>
        <v>48597277.765000001</v>
      </c>
      <c r="FT45" s="944">
        <f t="shared" si="34"/>
        <v>0</v>
      </c>
      <c r="FU45" s="944">
        <f t="shared" si="35"/>
        <v>0</v>
      </c>
      <c r="GM45" s="967" t="s">
        <v>667</v>
      </c>
      <c r="GN45" s="968" t="s">
        <v>634</v>
      </c>
      <c r="GO45" s="967" t="s">
        <v>447</v>
      </c>
      <c r="GP45" s="967" t="s">
        <v>447</v>
      </c>
      <c r="GQ45" s="968" t="s">
        <v>547</v>
      </c>
      <c r="GR45" s="969">
        <v>42439308117</v>
      </c>
      <c r="GS45" s="969">
        <v>0</v>
      </c>
      <c r="GT45" s="969">
        <v>0</v>
      </c>
      <c r="GU45" s="969">
        <f t="shared" si="39"/>
        <v>42439308.116999999</v>
      </c>
      <c r="GV45" s="969">
        <f t="shared" si="40"/>
        <v>0</v>
      </c>
      <c r="GW45" s="969">
        <f t="shared" si="41"/>
        <v>0</v>
      </c>
      <c r="HO45" s="967" t="s">
        <v>666</v>
      </c>
      <c r="HP45" s="967" t="s">
        <v>529</v>
      </c>
      <c r="HQ45" s="967" t="s">
        <v>447</v>
      </c>
      <c r="HR45" s="967" t="s">
        <v>447</v>
      </c>
      <c r="HS45" s="638" t="s">
        <v>547</v>
      </c>
      <c r="HT45" s="639">
        <v>0</v>
      </c>
      <c r="HU45" s="639">
        <v>5812628386</v>
      </c>
      <c r="HV45" s="639">
        <v>4992889563</v>
      </c>
      <c r="HW45" s="944">
        <f t="shared" si="45"/>
        <v>0</v>
      </c>
      <c r="HX45" s="944">
        <f t="shared" si="46"/>
        <v>5812628.3859999999</v>
      </c>
      <c r="HY45" s="944">
        <f t="shared" si="47"/>
        <v>4992889.5630000001</v>
      </c>
      <c r="IQ45" s="967" t="s">
        <v>664</v>
      </c>
      <c r="IR45" s="967" t="s">
        <v>267</v>
      </c>
      <c r="IS45" s="967" t="s">
        <v>447</v>
      </c>
      <c r="IT45" s="967" t="s">
        <v>447</v>
      </c>
      <c r="IU45" s="968" t="s">
        <v>547</v>
      </c>
      <c r="IV45" s="969">
        <v>0</v>
      </c>
      <c r="IW45" s="969">
        <v>3298016028</v>
      </c>
      <c r="IX45" s="969">
        <v>3150316028</v>
      </c>
      <c r="IY45" s="970">
        <f t="shared" si="59"/>
        <v>0</v>
      </c>
      <c r="IZ45" s="970">
        <f t="shared" si="60"/>
        <v>3298016.0279999999</v>
      </c>
      <c r="JA45" s="970">
        <f t="shared" si="61"/>
        <v>3150316.0279999999</v>
      </c>
      <c r="JO45" s="966" t="s">
        <v>664</v>
      </c>
      <c r="JP45" s="966" t="s">
        <v>267</v>
      </c>
      <c r="JQ45" s="966" t="s">
        <v>447</v>
      </c>
      <c r="JR45" s="640" t="s">
        <v>447</v>
      </c>
      <c r="JS45" s="640" t="s">
        <v>547</v>
      </c>
      <c r="JT45" s="971">
        <v>4569518240</v>
      </c>
      <c r="JU45" s="971">
        <v>0</v>
      </c>
      <c r="JV45" s="971">
        <v>0</v>
      </c>
      <c r="JW45" s="945">
        <f t="shared" si="55"/>
        <v>4569518.24</v>
      </c>
      <c r="JX45" s="945">
        <f t="shared" si="56"/>
        <v>0</v>
      </c>
      <c r="JY45" s="945">
        <f t="shared" si="57"/>
        <v>0</v>
      </c>
    </row>
    <row r="46" spans="1:285" ht="15" customHeight="1" x14ac:dyDescent="0.3">
      <c r="AM46" s="956" t="s">
        <v>668</v>
      </c>
      <c r="AN46" s="956" t="s">
        <v>669</v>
      </c>
      <c r="AO46" s="956" t="s">
        <v>447</v>
      </c>
      <c r="AP46" s="956" t="s">
        <v>447</v>
      </c>
      <c r="AQ46" s="957">
        <v>0</v>
      </c>
      <c r="AR46" s="957">
        <f t="shared" si="58"/>
        <v>0</v>
      </c>
      <c r="AS46" s="957">
        <v>0</v>
      </c>
      <c r="AV46" s="944"/>
      <c r="BG46" s="956" t="s">
        <v>668</v>
      </c>
      <c r="BH46" s="956" t="s">
        <v>669</v>
      </c>
      <c r="BI46" s="956" t="s">
        <v>447</v>
      </c>
      <c r="BJ46" s="956" t="s">
        <v>447</v>
      </c>
      <c r="BK46" s="957">
        <v>0</v>
      </c>
      <c r="BL46" s="957">
        <v>694928047</v>
      </c>
      <c r="BM46" s="957">
        <v>0</v>
      </c>
      <c r="BN46" s="946">
        <f t="shared" si="1"/>
        <v>0</v>
      </c>
      <c r="BO46" s="946">
        <f t="shared" si="2"/>
        <v>738708.51396100002</v>
      </c>
      <c r="BP46" s="946">
        <f t="shared" si="3"/>
        <v>0</v>
      </c>
      <c r="CH46" s="637" t="s">
        <v>668</v>
      </c>
      <c r="CI46" s="637" t="s">
        <v>669</v>
      </c>
      <c r="CJ46" s="637" t="s">
        <v>447</v>
      </c>
      <c r="CK46" s="637" t="s">
        <v>447</v>
      </c>
      <c r="CL46" s="639">
        <v>0</v>
      </c>
      <c r="CM46" s="639">
        <v>694928047</v>
      </c>
      <c r="CN46" s="639">
        <v>0</v>
      </c>
      <c r="CO46" s="961">
        <f t="shared" si="15"/>
        <v>0</v>
      </c>
      <c r="CP46" s="961">
        <f t="shared" si="16"/>
        <v>694928.04700000002</v>
      </c>
      <c r="CQ46" s="961">
        <f t="shared" si="17"/>
        <v>0</v>
      </c>
      <c r="DH46" s="637" t="s">
        <v>668</v>
      </c>
      <c r="DI46" s="637" t="s">
        <v>669</v>
      </c>
      <c r="DJ46" s="637" t="s">
        <v>447</v>
      </c>
      <c r="DK46" s="637" t="s">
        <v>447</v>
      </c>
      <c r="DL46" s="639">
        <v>0</v>
      </c>
      <c r="DM46" s="639">
        <v>694928047</v>
      </c>
      <c r="DN46" s="639">
        <v>0</v>
      </c>
      <c r="DO46" s="944">
        <f t="shared" si="21"/>
        <v>0</v>
      </c>
      <c r="DP46" s="944">
        <f t="shared" si="22"/>
        <v>694928.04700000002</v>
      </c>
      <c r="DQ46" s="944">
        <f t="shared" si="23"/>
        <v>0</v>
      </c>
      <c r="EI46" s="637" t="s">
        <v>668</v>
      </c>
      <c r="EJ46" s="637" t="s">
        <v>669</v>
      </c>
      <c r="EK46" s="637" t="s">
        <v>447</v>
      </c>
      <c r="EL46" s="637" t="s">
        <v>447</v>
      </c>
      <c r="EM46" s="637" t="s">
        <v>547</v>
      </c>
      <c r="EN46" s="637">
        <v>13787455000</v>
      </c>
      <c r="EO46" s="637">
        <v>0</v>
      </c>
      <c r="EP46" s="637">
        <v>0</v>
      </c>
      <c r="EQ46" s="966">
        <f t="shared" si="27"/>
        <v>13787455</v>
      </c>
      <c r="ER46" s="966">
        <f t="shared" si="28"/>
        <v>0</v>
      </c>
      <c r="ES46" s="966">
        <f t="shared" si="29"/>
        <v>0</v>
      </c>
      <c r="FK46" s="637" t="s">
        <v>667</v>
      </c>
      <c r="FL46" s="637" t="s">
        <v>634</v>
      </c>
      <c r="FM46" s="637" t="s">
        <v>447</v>
      </c>
      <c r="FN46" s="637" t="s">
        <v>447</v>
      </c>
      <c r="FO46" s="637" t="s">
        <v>547</v>
      </c>
      <c r="FP46" s="966">
        <v>0</v>
      </c>
      <c r="FQ46" s="966">
        <v>34047553688</v>
      </c>
      <c r="FR46" s="966">
        <v>33596081362</v>
      </c>
      <c r="FS46" s="944">
        <f t="shared" si="33"/>
        <v>0</v>
      </c>
      <c r="FT46" s="944">
        <f t="shared" si="34"/>
        <v>34047553.688000001</v>
      </c>
      <c r="FU46" s="944">
        <f t="shared" si="35"/>
        <v>33596081.362000003</v>
      </c>
      <c r="GM46" s="967" t="s">
        <v>667</v>
      </c>
      <c r="GN46" s="968" t="s">
        <v>634</v>
      </c>
      <c r="GO46" s="967" t="s">
        <v>447</v>
      </c>
      <c r="GP46" s="967" t="s">
        <v>447</v>
      </c>
      <c r="GQ46" s="968" t="s">
        <v>547</v>
      </c>
      <c r="GR46" s="969">
        <v>0</v>
      </c>
      <c r="GS46" s="969">
        <v>34371233129</v>
      </c>
      <c r="GT46" s="969">
        <v>33919760803</v>
      </c>
      <c r="GU46" s="969">
        <f t="shared" si="39"/>
        <v>0</v>
      </c>
      <c r="GV46" s="969">
        <f t="shared" si="40"/>
        <v>34371233.129000001</v>
      </c>
      <c r="GW46" s="969">
        <f t="shared" si="41"/>
        <v>33919760.803000003</v>
      </c>
      <c r="HO46" s="967" t="s">
        <v>667</v>
      </c>
      <c r="HP46" s="967" t="s">
        <v>634</v>
      </c>
      <c r="HQ46" s="967" t="s">
        <v>447</v>
      </c>
      <c r="HR46" s="967" t="s">
        <v>447</v>
      </c>
      <c r="HS46" s="638" t="s">
        <v>547</v>
      </c>
      <c r="HT46" s="639">
        <v>49940433469</v>
      </c>
      <c r="HU46" s="639">
        <v>0</v>
      </c>
      <c r="HV46" s="639">
        <v>0</v>
      </c>
      <c r="HW46" s="944">
        <f t="shared" si="45"/>
        <v>49940433.468999997</v>
      </c>
      <c r="HX46" s="944">
        <f t="shared" si="46"/>
        <v>0</v>
      </c>
      <c r="HY46" s="944">
        <f t="shared" si="47"/>
        <v>0</v>
      </c>
      <c r="IQ46" s="967" t="s">
        <v>665</v>
      </c>
      <c r="IR46" s="967" t="s">
        <v>342</v>
      </c>
      <c r="IS46" s="967" t="s">
        <v>447</v>
      </c>
      <c r="IT46" s="967" t="s">
        <v>447</v>
      </c>
      <c r="IU46" s="968" t="s">
        <v>547</v>
      </c>
      <c r="IV46" s="969">
        <v>2756032505</v>
      </c>
      <c r="IW46" s="969">
        <v>0</v>
      </c>
      <c r="IX46" s="969">
        <v>0</v>
      </c>
      <c r="IY46" s="970">
        <f t="shared" si="59"/>
        <v>2756032.5049999999</v>
      </c>
      <c r="IZ46" s="970">
        <f t="shared" si="60"/>
        <v>0</v>
      </c>
      <c r="JA46" s="970">
        <f t="shared" si="61"/>
        <v>0</v>
      </c>
      <c r="JO46" s="966" t="s">
        <v>664</v>
      </c>
      <c r="JP46" s="966" t="s">
        <v>267</v>
      </c>
      <c r="JQ46" s="966" t="s">
        <v>447</v>
      </c>
      <c r="JR46" s="640" t="s">
        <v>447</v>
      </c>
      <c r="JS46" s="640" t="s">
        <v>547</v>
      </c>
      <c r="JT46" s="971">
        <v>0</v>
      </c>
      <c r="JU46" s="971">
        <v>4569518240</v>
      </c>
      <c r="JV46" s="971">
        <v>4569518240</v>
      </c>
      <c r="JW46" s="945">
        <f t="shared" si="55"/>
        <v>0</v>
      </c>
      <c r="JX46" s="945">
        <f t="shared" si="56"/>
        <v>4569518.24</v>
      </c>
      <c r="JY46" s="945">
        <f t="shared" si="57"/>
        <v>4569518.24</v>
      </c>
    </row>
    <row r="47" spans="1:285" ht="15" customHeight="1" x14ac:dyDescent="0.3">
      <c r="AM47" s="956" t="s">
        <v>452</v>
      </c>
      <c r="AN47" s="956" t="s">
        <v>128</v>
      </c>
      <c r="AO47" s="956" t="s">
        <v>447</v>
      </c>
      <c r="AP47" s="956" t="s">
        <v>447</v>
      </c>
      <c r="AQ47" s="957">
        <v>10000</v>
      </c>
      <c r="AR47" s="957">
        <f t="shared" si="58"/>
        <v>10.629999999999999</v>
      </c>
      <c r="AS47" s="957">
        <v>0</v>
      </c>
      <c r="AV47" s="944"/>
      <c r="BG47" s="956" t="s">
        <v>452</v>
      </c>
      <c r="BH47" s="956" t="s">
        <v>128</v>
      </c>
      <c r="BI47" s="956" t="s">
        <v>447</v>
      </c>
      <c r="BJ47" s="956" t="s">
        <v>447</v>
      </c>
      <c r="BK47" s="957">
        <v>10000</v>
      </c>
      <c r="BL47" s="957">
        <v>0</v>
      </c>
      <c r="BM47" s="957">
        <v>0</v>
      </c>
      <c r="BN47" s="946">
        <f t="shared" si="1"/>
        <v>10.629999999999999</v>
      </c>
      <c r="BO47" s="946">
        <f t="shared" si="2"/>
        <v>0</v>
      </c>
      <c r="BP47" s="946">
        <f t="shared" si="3"/>
        <v>0</v>
      </c>
      <c r="CH47" s="637" t="s">
        <v>452</v>
      </c>
      <c r="CI47" s="637" t="s">
        <v>128</v>
      </c>
      <c r="CJ47" s="637" t="s">
        <v>447</v>
      </c>
      <c r="CK47" s="637" t="s">
        <v>447</v>
      </c>
      <c r="CL47" s="639">
        <v>10000</v>
      </c>
      <c r="CM47" s="639">
        <v>0</v>
      </c>
      <c r="CN47" s="639">
        <v>0</v>
      </c>
      <c r="CO47" s="961">
        <f t="shared" si="15"/>
        <v>10</v>
      </c>
      <c r="CP47" s="961">
        <f t="shared" si="16"/>
        <v>0</v>
      </c>
      <c r="CQ47" s="961">
        <f t="shared" si="17"/>
        <v>0</v>
      </c>
      <c r="DH47" s="637" t="s">
        <v>452</v>
      </c>
      <c r="DI47" s="637" t="s">
        <v>128</v>
      </c>
      <c r="DJ47" s="637" t="s">
        <v>447</v>
      </c>
      <c r="DK47" s="637" t="s">
        <v>447</v>
      </c>
      <c r="DL47" s="639">
        <v>467091000</v>
      </c>
      <c r="DM47" s="639">
        <v>0</v>
      </c>
      <c r="DN47" s="639">
        <v>0</v>
      </c>
      <c r="DO47" s="944">
        <f t="shared" si="21"/>
        <v>467091</v>
      </c>
      <c r="DP47" s="944">
        <f t="shared" si="22"/>
        <v>0</v>
      </c>
      <c r="DQ47" s="944">
        <f t="shared" si="23"/>
        <v>0</v>
      </c>
      <c r="EI47" s="637" t="s">
        <v>668</v>
      </c>
      <c r="EJ47" s="637" t="s">
        <v>669</v>
      </c>
      <c r="EK47" s="637" t="s">
        <v>447</v>
      </c>
      <c r="EL47" s="637" t="s">
        <v>447</v>
      </c>
      <c r="EM47" s="637" t="s">
        <v>547</v>
      </c>
      <c r="EN47" s="637">
        <v>0</v>
      </c>
      <c r="EO47" s="637">
        <v>1385915368</v>
      </c>
      <c r="EP47" s="637">
        <v>690987321</v>
      </c>
      <c r="EQ47" s="966">
        <f t="shared" si="27"/>
        <v>0</v>
      </c>
      <c r="ER47" s="966">
        <f t="shared" si="28"/>
        <v>1385915.368</v>
      </c>
      <c r="ES47" s="966">
        <f t="shared" si="29"/>
        <v>690987.321</v>
      </c>
      <c r="FK47" s="637" t="s">
        <v>668</v>
      </c>
      <c r="FL47" s="637" t="s">
        <v>669</v>
      </c>
      <c r="FM47" s="637" t="s">
        <v>447</v>
      </c>
      <c r="FN47" s="637" t="s">
        <v>447</v>
      </c>
      <c r="FO47" s="637" t="s">
        <v>547</v>
      </c>
      <c r="FP47" s="966">
        <v>13787455000</v>
      </c>
      <c r="FQ47" s="966">
        <v>0</v>
      </c>
      <c r="FR47" s="966">
        <v>0</v>
      </c>
      <c r="FS47" s="944">
        <f t="shared" si="33"/>
        <v>13787455</v>
      </c>
      <c r="FT47" s="944">
        <f t="shared" si="34"/>
        <v>0</v>
      </c>
      <c r="FU47" s="944">
        <f t="shared" si="35"/>
        <v>0</v>
      </c>
      <c r="GM47" s="967" t="s">
        <v>668</v>
      </c>
      <c r="GN47" s="968" t="s">
        <v>669</v>
      </c>
      <c r="GO47" s="967" t="s">
        <v>447</v>
      </c>
      <c r="GP47" s="967" t="s">
        <v>447</v>
      </c>
      <c r="GQ47" s="968" t="s">
        <v>547</v>
      </c>
      <c r="GR47" s="969">
        <v>13787455000</v>
      </c>
      <c r="GS47" s="969">
        <v>0</v>
      </c>
      <c r="GT47" s="969">
        <v>0</v>
      </c>
      <c r="GU47" s="969">
        <f t="shared" si="39"/>
        <v>13787455</v>
      </c>
      <c r="GV47" s="969">
        <f t="shared" si="40"/>
        <v>0</v>
      </c>
      <c r="GW47" s="969">
        <f t="shared" si="41"/>
        <v>0</v>
      </c>
      <c r="HO47" s="967" t="s">
        <v>667</v>
      </c>
      <c r="HP47" s="967" t="s">
        <v>634</v>
      </c>
      <c r="HQ47" s="967" t="s">
        <v>447</v>
      </c>
      <c r="HR47" s="967" t="s">
        <v>447</v>
      </c>
      <c r="HS47" s="638" t="s">
        <v>547</v>
      </c>
      <c r="HT47" s="639">
        <v>0</v>
      </c>
      <c r="HU47" s="639">
        <v>40572274861</v>
      </c>
      <c r="HV47" s="639">
        <v>34322834716</v>
      </c>
      <c r="HW47" s="944">
        <f t="shared" si="45"/>
        <v>0</v>
      </c>
      <c r="HX47" s="944">
        <f t="shared" si="46"/>
        <v>40572274.861000001</v>
      </c>
      <c r="HY47" s="944">
        <f t="shared" si="47"/>
        <v>34322834.715999998</v>
      </c>
      <c r="IQ47" s="967" t="s">
        <v>665</v>
      </c>
      <c r="IR47" s="967" t="s">
        <v>342</v>
      </c>
      <c r="IS47" s="967" t="s">
        <v>447</v>
      </c>
      <c r="IT47" s="967" t="s">
        <v>447</v>
      </c>
      <c r="IU47" s="968" t="s">
        <v>547</v>
      </c>
      <c r="IV47" s="969">
        <v>0</v>
      </c>
      <c r="IW47" s="969">
        <v>2247314062</v>
      </c>
      <c r="IX47" s="969">
        <v>1967715476</v>
      </c>
      <c r="IY47" s="970">
        <f t="shared" si="59"/>
        <v>0</v>
      </c>
      <c r="IZ47" s="970">
        <f t="shared" si="60"/>
        <v>2247314.0619999999</v>
      </c>
      <c r="JA47" s="970">
        <f t="shared" si="61"/>
        <v>1967715.476</v>
      </c>
      <c r="JO47" s="966" t="s">
        <v>665</v>
      </c>
      <c r="JP47" s="966" t="s">
        <v>342</v>
      </c>
      <c r="JQ47" s="966" t="s">
        <v>447</v>
      </c>
      <c r="JR47" s="640" t="s">
        <v>447</v>
      </c>
      <c r="JS47" s="640" t="s">
        <v>547</v>
      </c>
      <c r="JT47" s="971">
        <v>2586254159</v>
      </c>
      <c r="JU47" s="971">
        <v>0</v>
      </c>
      <c r="JV47" s="971">
        <v>0</v>
      </c>
      <c r="JW47" s="945">
        <f t="shared" si="55"/>
        <v>2586254.159</v>
      </c>
      <c r="JX47" s="945">
        <f t="shared" si="56"/>
        <v>0</v>
      </c>
      <c r="JY47" s="945">
        <f t="shared" si="57"/>
        <v>0</v>
      </c>
    </row>
    <row r="48" spans="1:285" ht="15" customHeight="1" x14ac:dyDescent="0.3">
      <c r="AM48" s="956" t="s">
        <v>452</v>
      </c>
      <c r="AN48" s="956" t="s">
        <v>128</v>
      </c>
      <c r="AO48" s="956" t="s">
        <v>447</v>
      </c>
      <c r="AP48" s="956" t="s">
        <v>447</v>
      </c>
      <c r="AQ48" s="957">
        <v>0</v>
      </c>
      <c r="AR48" s="957">
        <f t="shared" si="58"/>
        <v>0</v>
      </c>
      <c r="AS48" s="957">
        <v>1103517176</v>
      </c>
      <c r="AV48" s="944"/>
      <c r="BG48" s="956" t="s">
        <v>452</v>
      </c>
      <c r="BH48" s="956" t="s">
        <v>128</v>
      </c>
      <c r="BI48" s="956" t="s">
        <v>447</v>
      </c>
      <c r="BJ48" s="956" t="s">
        <v>447</v>
      </c>
      <c r="BK48" s="957">
        <v>0</v>
      </c>
      <c r="BL48" s="957">
        <v>1103517176</v>
      </c>
      <c r="BM48" s="957">
        <v>1103517176</v>
      </c>
      <c r="BN48" s="946">
        <f t="shared" si="1"/>
        <v>0</v>
      </c>
      <c r="BO48" s="946">
        <f t="shared" si="2"/>
        <v>1173038.7580879999</v>
      </c>
      <c r="BP48" s="946">
        <f t="shared" si="3"/>
        <v>1173038.7580879999</v>
      </c>
      <c r="CH48" s="637" t="s">
        <v>452</v>
      </c>
      <c r="CI48" s="637" t="s">
        <v>128</v>
      </c>
      <c r="CJ48" s="637" t="s">
        <v>447</v>
      </c>
      <c r="CK48" s="637" t="s">
        <v>447</v>
      </c>
      <c r="CL48" s="639">
        <v>0</v>
      </c>
      <c r="CM48" s="639">
        <v>1103517176</v>
      </c>
      <c r="CN48" s="639">
        <v>1103517176</v>
      </c>
      <c r="CO48" s="961">
        <f t="shared" si="15"/>
        <v>0</v>
      </c>
      <c r="CP48" s="961">
        <f t="shared" si="16"/>
        <v>1103517.176</v>
      </c>
      <c r="CQ48" s="961">
        <f t="shared" si="17"/>
        <v>1103517.176</v>
      </c>
      <c r="DH48" s="637" t="s">
        <v>452</v>
      </c>
      <c r="DI48" s="637" t="s">
        <v>128</v>
      </c>
      <c r="DJ48" s="637" t="s">
        <v>447</v>
      </c>
      <c r="DK48" s="637" t="s">
        <v>447</v>
      </c>
      <c r="DL48" s="639">
        <v>0</v>
      </c>
      <c r="DM48" s="639">
        <v>464073296</v>
      </c>
      <c r="DN48" s="639">
        <v>464073296</v>
      </c>
      <c r="DO48" s="944">
        <f t="shared" si="21"/>
        <v>0</v>
      </c>
      <c r="DP48" s="944">
        <f t="shared" si="22"/>
        <v>464073.29599999997</v>
      </c>
      <c r="DQ48" s="944">
        <f t="shared" si="23"/>
        <v>464073.29599999997</v>
      </c>
      <c r="EI48" s="637" t="s">
        <v>452</v>
      </c>
      <c r="EJ48" s="637" t="s">
        <v>128</v>
      </c>
      <c r="EK48" s="637" t="s">
        <v>447</v>
      </c>
      <c r="EL48" s="637" t="s">
        <v>447</v>
      </c>
      <c r="EM48" s="637" t="s">
        <v>547</v>
      </c>
      <c r="EN48" s="637">
        <v>467091000</v>
      </c>
      <c r="EO48" s="637">
        <v>0</v>
      </c>
      <c r="EP48" s="637">
        <v>0</v>
      </c>
      <c r="EQ48" s="966">
        <f t="shared" si="27"/>
        <v>467091</v>
      </c>
      <c r="ER48" s="966">
        <f t="shared" si="28"/>
        <v>0</v>
      </c>
      <c r="ES48" s="966">
        <f t="shared" si="29"/>
        <v>0</v>
      </c>
      <c r="FK48" s="637" t="s">
        <v>668</v>
      </c>
      <c r="FL48" s="637" t="s">
        <v>669</v>
      </c>
      <c r="FM48" s="637" t="s">
        <v>447</v>
      </c>
      <c r="FN48" s="637" t="s">
        <v>447</v>
      </c>
      <c r="FO48" s="637" t="s">
        <v>547</v>
      </c>
      <c r="FP48" s="966">
        <v>0</v>
      </c>
      <c r="FQ48" s="966">
        <v>1385915368</v>
      </c>
      <c r="FR48" s="966">
        <v>690987321</v>
      </c>
      <c r="FS48" s="944">
        <f t="shared" si="33"/>
        <v>0</v>
      </c>
      <c r="FT48" s="944">
        <f t="shared" si="34"/>
        <v>1385915.368</v>
      </c>
      <c r="FU48" s="944">
        <f t="shared" si="35"/>
        <v>690987.321</v>
      </c>
      <c r="GM48" s="967" t="s">
        <v>668</v>
      </c>
      <c r="GN48" s="968" t="s">
        <v>669</v>
      </c>
      <c r="GO48" s="967" t="s">
        <v>447</v>
      </c>
      <c r="GP48" s="967" t="s">
        <v>447</v>
      </c>
      <c r="GQ48" s="968" t="s">
        <v>547</v>
      </c>
      <c r="GR48" s="969">
        <v>0</v>
      </c>
      <c r="GS48" s="969">
        <v>1385915368</v>
      </c>
      <c r="GT48" s="969">
        <v>690987321</v>
      </c>
      <c r="GU48" s="969">
        <f t="shared" si="39"/>
        <v>0</v>
      </c>
      <c r="GV48" s="969">
        <f t="shared" si="40"/>
        <v>1385915.368</v>
      </c>
      <c r="GW48" s="969">
        <f t="shared" si="41"/>
        <v>690987.321</v>
      </c>
      <c r="HO48" s="967" t="s">
        <v>668</v>
      </c>
      <c r="HP48" s="967" t="s">
        <v>669</v>
      </c>
      <c r="HQ48" s="967" t="s">
        <v>447</v>
      </c>
      <c r="HR48" s="967" t="s">
        <v>447</v>
      </c>
      <c r="HS48" s="638" t="s">
        <v>547</v>
      </c>
      <c r="HT48" s="639">
        <v>13787455000</v>
      </c>
      <c r="HU48" s="639">
        <v>0</v>
      </c>
      <c r="HV48" s="639">
        <v>0</v>
      </c>
      <c r="HW48" s="944">
        <f t="shared" si="45"/>
        <v>13787455</v>
      </c>
      <c r="HX48" s="944">
        <f t="shared" si="46"/>
        <v>0</v>
      </c>
      <c r="HY48" s="944">
        <f t="shared" si="47"/>
        <v>0</v>
      </c>
      <c r="IQ48" s="967" t="s">
        <v>666</v>
      </c>
      <c r="IR48" s="967" t="s">
        <v>529</v>
      </c>
      <c r="IS48" s="967" t="s">
        <v>447</v>
      </c>
      <c r="IT48" s="967" t="s">
        <v>447</v>
      </c>
      <c r="IU48" s="968" t="s">
        <v>547</v>
      </c>
      <c r="IV48" s="969">
        <v>9056909000</v>
      </c>
      <c r="IW48" s="969">
        <v>0</v>
      </c>
      <c r="IX48" s="969">
        <v>0</v>
      </c>
      <c r="IY48" s="970">
        <f t="shared" si="59"/>
        <v>9056909</v>
      </c>
      <c r="IZ48" s="970">
        <f t="shared" si="60"/>
        <v>0</v>
      </c>
      <c r="JA48" s="970">
        <f t="shared" si="61"/>
        <v>0</v>
      </c>
      <c r="JO48" s="966" t="s">
        <v>665</v>
      </c>
      <c r="JP48" s="966" t="s">
        <v>342</v>
      </c>
      <c r="JQ48" s="966" t="s">
        <v>447</v>
      </c>
      <c r="JR48" s="640" t="s">
        <v>447</v>
      </c>
      <c r="JS48" s="640" t="s">
        <v>547</v>
      </c>
      <c r="JT48" s="971">
        <v>0</v>
      </c>
      <c r="JU48" s="971">
        <v>2586222056</v>
      </c>
      <c r="JV48" s="971">
        <v>2586222056</v>
      </c>
      <c r="JW48" s="945">
        <f t="shared" si="55"/>
        <v>0</v>
      </c>
      <c r="JX48" s="945">
        <f t="shared" si="56"/>
        <v>2586222.0559999999</v>
      </c>
      <c r="JY48" s="945">
        <f t="shared" si="57"/>
        <v>2586222.0559999999</v>
      </c>
    </row>
    <row r="49" spans="93:285" ht="15" customHeight="1" x14ac:dyDescent="0.3">
      <c r="CO49" s="961">
        <f t="shared" si="15"/>
        <v>0</v>
      </c>
      <c r="CP49" s="961">
        <f t="shared" si="16"/>
        <v>0</v>
      </c>
      <c r="CQ49" s="961">
        <f t="shared" si="17"/>
        <v>0</v>
      </c>
      <c r="DH49" s="637"/>
      <c r="DI49" s="637"/>
      <c r="DJ49" s="637"/>
      <c r="DK49" s="637"/>
      <c r="DO49" s="944"/>
      <c r="DP49" s="944"/>
      <c r="DQ49" s="944">
        <f>SUM(DQ3:DQ48)</f>
        <v>101498944.30900002</v>
      </c>
      <c r="EI49" s="637" t="s">
        <v>452</v>
      </c>
      <c r="EJ49" s="637" t="s">
        <v>128</v>
      </c>
      <c r="EK49" s="637" t="s">
        <v>447</v>
      </c>
      <c r="EL49" s="637" t="s">
        <v>447</v>
      </c>
      <c r="EM49" s="637" t="s">
        <v>547</v>
      </c>
      <c r="EN49" s="637">
        <v>0</v>
      </c>
      <c r="EO49" s="637">
        <v>464073296</v>
      </c>
      <c r="EP49" s="637">
        <v>464073296</v>
      </c>
      <c r="EQ49" s="966">
        <f t="shared" si="27"/>
        <v>0</v>
      </c>
      <c r="ER49" s="966">
        <f t="shared" si="28"/>
        <v>464073.29599999997</v>
      </c>
      <c r="ES49" s="966">
        <f t="shared" si="29"/>
        <v>464073.29599999997</v>
      </c>
      <c r="FK49" s="637" t="s">
        <v>452</v>
      </c>
      <c r="FL49" s="637" t="s">
        <v>128</v>
      </c>
      <c r="FM49" s="637" t="s">
        <v>447</v>
      </c>
      <c r="FN49" s="637" t="s">
        <v>447</v>
      </c>
      <c r="FO49" s="637" t="s">
        <v>547</v>
      </c>
      <c r="FP49" s="966">
        <v>467091000</v>
      </c>
      <c r="FQ49" s="966">
        <v>0</v>
      </c>
      <c r="FR49" s="966">
        <v>0</v>
      </c>
      <c r="FS49" s="944">
        <f t="shared" si="33"/>
        <v>467091</v>
      </c>
      <c r="FT49" s="944">
        <f t="shared" si="34"/>
        <v>0</v>
      </c>
      <c r="FU49" s="944">
        <f t="shared" si="35"/>
        <v>0</v>
      </c>
      <c r="GM49" s="967" t="s">
        <v>452</v>
      </c>
      <c r="GN49" s="968" t="s">
        <v>128</v>
      </c>
      <c r="GO49" s="967" t="s">
        <v>447</v>
      </c>
      <c r="GP49" s="967" t="s">
        <v>447</v>
      </c>
      <c r="GQ49" s="968" t="s">
        <v>547</v>
      </c>
      <c r="GR49" s="969">
        <v>467091000</v>
      </c>
      <c r="GS49" s="969">
        <v>0</v>
      </c>
      <c r="GT49" s="969">
        <v>0</v>
      </c>
      <c r="GU49" s="969">
        <f t="shared" si="39"/>
        <v>467091</v>
      </c>
      <c r="GV49" s="969">
        <f t="shared" si="40"/>
        <v>0</v>
      </c>
      <c r="GW49" s="969">
        <f t="shared" si="41"/>
        <v>0</v>
      </c>
      <c r="HO49" s="967" t="s">
        <v>668</v>
      </c>
      <c r="HP49" s="967" t="s">
        <v>669</v>
      </c>
      <c r="HQ49" s="967" t="s">
        <v>447</v>
      </c>
      <c r="HR49" s="967" t="s">
        <v>447</v>
      </c>
      <c r="HS49" s="638" t="s">
        <v>547</v>
      </c>
      <c r="HT49" s="639">
        <v>0</v>
      </c>
      <c r="HU49" s="639">
        <v>3455915368</v>
      </c>
      <c r="HV49" s="639">
        <v>760987321</v>
      </c>
      <c r="HW49" s="944">
        <f t="shared" si="45"/>
        <v>0</v>
      </c>
      <c r="HX49" s="944">
        <f t="shared" si="46"/>
        <v>3455915.3679999998</v>
      </c>
      <c r="HY49" s="944">
        <f t="shared" si="47"/>
        <v>760987.321</v>
      </c>
      <c r="IQ49" s="967" t="s">
        <v>666</v>
      </c>
      <c r="IR49" s="967" t="s">
        <v>529</v>
      </c>
      <c r="IS49" s="967" t="s">
        <v>447</v>
      </c>
      <c r="IT49" s="967" t="s">
        <v>447</v>
      </c>
      <c r="IU49" s="968" t="s">
        <v>547</v>
      </c>
      <c r="IV49" s="969">
        <v>0</v>
      </c>
      <c r="IW49" s="969">
        <v>7148141651</v>
      </c>
      <c r="IX49" s="969">
        <v>6686564159</v>
      </c>
      <c r="IY49" s="970">
        <f t="shared" si="59"/>
        <v>0</v>
      </c>
      <c r="IZ49" s="970">
        <f t="shared" si="60"/>
        <v>7148141.6509999996</v>
      </c>
      <c r="JA49" s="970">
        <f t="shared" si="61"/>
        <v>6686564.159</v>
      </c>
      <c r="JO49" s="966" t="s">
        <v>666</v>
      </c>
      <c r="JP49" s="966" t="s">
        <v>529</v>
      </c>
      <c r="JQ49" s="966" t="s">
        <v>447</v>
      </c>
      <c r="JR49" s="640" t="s">
        <v>447</v>
      </c>
      <c r="JS49" s="640" t="s">
        <v>547</v>
      </c>
      <c r="JT49" s="971">
        <v>7741541056</v>
      </c>
      <c r="JU49" s="971">
        <v>0</v>
      </c>
      <c r="JV49" s="971">
        <v>0</v>
      </c>
      <c r="JW49" s="945">
        <f t="shared" si="55"/>
        <v>7741541.0559999999</v>
      </c>
      <c r="JX49" s="945">
        <f t="shared" si="56"/>
        <v>0</v>
      </c>
      <c r="JY49" s="945">
        <f t="shared" si="57"/>
        <v>0</v>
      </c>
    </row>
    <row r="50" spans="93:285" ht="15" customHeight="1" x14ac:dyDescent="0.3">
      <c r="FK50" s="637" t="s">
        <v>452</v>
      </c>
      <c r="FL50" s="637" t="s">
        <v>128</v>
      </c>
      <c r="FM50" s="637" t="s">
        <v>447</v>
      </c>
      <c r="FN50" s="637" t="s">
        <v>447</v>
      </c>
      <c r="FO50" s="637" t="s">
        <v>547</v>
      </c>
      <c r="FP50" s="966">
        <v>0</v>
      </c>
      <c r="FQ50" s="966">
        <v>464073296</v>
      </c>
      <c r="FR50" s="966">
        <v>464073296</v>
      </c>
      <c r="FS50" s="944">
        <f t="shared" si="33"/>
        <v>0</v>
      </c>
      <c r="FT50" s="944">
        <f t="shared" si="34"/>
        <v>464073.29599999997</v>
      </c>
      <c r="FU50" s="944">
        <f t="shared" si="35"/>
        <v>464073.29599999997</v>
      </c>
      <c r="GM50" s="967" t="s">
        <v>452</v>
      </c>
      <c r="GN50" s="968" t="s">
        <v>128</v>
      </c>
      <c r="GO50" s="967" t="s">
        <v>447</v>
      </c>
      <c r="GP50" s="967" t="s">
        <v>447</v>
      </c>
      <c r="GQ50" s="968" t="s">
        <v>547</v>
      </c>
      <c r="GR50" s="969">
        <v>0</v>
      </c>
      <c r="GS50" s="969">
        <v>464073296</v>
      </c>
      <c r="GT50" s="969">
        <v>464073296</v>
      </c>
      <c r="GU50" s="969">
        <f t="shared" si="39"/>
        <v>0</v>
      </c>
      <c r="GV50" s="969">
        <f t="shared" si="40"/>
        <v>464073.29599999997</v>
      </c>
      <c r="GW50" s="969">
        <f t="shared" si="41"/>
        <v>464073.29599999997</v>
      </c>
      <c r="HO50" s="967" t="s">
        <v>452</v>
      </c>
      <c r="HP50" s="967" t="s">
        <v>128</v>
      </c>
      <c r="HQ50" s="967" t="s">
        <v>447</v>
      </c>
      <c r="HR50" s="967" t="s">
        <v>447</v>
      </c>
      <c r="HS50" s="638" t="s">
        <v>547</v>
      </c>
      <c r="HT50" s="639">
        <v>467091000</v>
      </c>
      <c r="HU50" s="639">
        <v>0</v>
      </c>
      <c r="HV50" s="639">
        <v>0</v>
      </c>
      <c r="HW50" s="944">
        <f t="shared" si="45"/>
        <v>467091</v>
      </c>
      <c r="HX50" s="944">
        <f t="shared" si="46"/>
        <v>0</v>
      </c>
      <c r="HY50" s="944">
        <f t="shared" si="47"/>
        <v>0</v>
      </c>
      <c r="IQ50" s="967" t="s">
        <v>667</v>
      </c>
      <c r="IR50" s="967" t="s">
        <v>634</v>
      </c>
      <c r="IS50" s="967" t="s">
        <v>447</v>
      </c>
      <c r="IT50" s="967" t="s">
        <v>447</v>
      </c>
      <c r="IU50" s="968" t="s">
        <v>547</v>
      </c>
      <c r="IV50" s="969">
        <v>49940433469</v>
      </c>
      <c r="IW50" s="969">
        <v>0</v>
      </c>
      <c r="IX50" s="969">
        <v>0</v>
      </c>
      <c r="IY50" s="970">
        <f t="shared" si="59"/>
        <v>49940433.468999997</v>
      </c>
      <c r="IZ50" s="970">
        <f t="shared" si="60"/>
        <v>0</v>
      </c>
      <c r="JA50" s="970">
        <f t="shared" si="61"/>
        <v>0</v>
      </c>
      <c r="JO50" s="966" t="s">
        <v>666</v>
      </c>
      <c r="JP50" s="966" t="s">
        <v>529</v>
      </c>
      <c r="JQ50" s="966" t="s">
        <v>447</v>
      </c>
      <c r="JR50" s="640" t="s">
        <v>447</v>
      </c>
      <c r="JS50" s="640" t="s">
        <v>547</v>
      </c>
      <c r="JT50" s="971">
        <v>0</v>
      </c>
      <c r="JU50" s="971">
        <v>7741541056</v>
      </c>
      <c r="JV50" s="971">
        <v>7741541056</v>
      </c>
      <c r="JW50" s="945">
        <f t="shared" si="55"/>
        <v>0</v>
      </c>
      <c r="JX50" s="945">
        <f t="shared" si="56"/>
        <v>7741541.0559999999</v>
      </c>
      <c r="JY50" s="945">
        <f t="shared" si="57"/>
        <v>7741541.0559999999</v>
      </c>
    </row>
    <row r="51" spans="93:285" ht="15" customHeight="1" x14ac:dyDescent="0.3">
      <c r="FK51" s="637"/>
      <c r="FL51" s="637"/>
      <c r="FM51" s="637"/>
      <c r="FN51" s="637"/>
      <c r="FO51" s="637"/>
      <c r="FP51" s="966"/>
      <c r="FQ51" s="966"/>
      <c r="FR51" s="966"/>
      <c r="FS51" s="944">
        <f t="shared" si="33"/>
        <v>0</v>
      </c>
      <c r="FT51" s="944">
        <f t="shared" si="34"/>
        <v>0</v>
      </c>
      <c r="FU51" s="944">
        <f t="shared" si="35"/>
        <v>0</v>
      </c>
      <c r="GU51" s="942">
        <f>SUM(GU3:GU50)</f>
        <v>293467598</v>
      </c>
      <c r="GV51" s="942">
        <f>SUM(GV3:GV50)</f>
        <v>205455954.479</v>
      </c>
      <c r="GW51" s="942">
        <f>SUM(GW3:GW50)</f>
        <v>190036420.03600004</v>
      </c>
      <c r="HO51" s="967" t="s">
        <v>452</v>
      </c>
      <c r="HP51" s="967" t="s">
        <v>128</v>
      </c>
      <c r="HQ51" s="967" t="s">
        <v>447</v>
      </c>
      <c r="HR51" s="967" t="s">
        <v>447</v>
      </c>
      <c r="HS51" s="638" t="s">
        <v>547</v>
      </c>
      <c r="HT51" s="639">
        <v>0</v>
      </c>
      <c r="HU51" s="639">
        <v>464073296</v>
      </c>
      <c r="HV51" s="639">
        <v>464073296</v>
      </c>
      <c r="HW51" s="944">
        <f t="shared" si="45"/>
        <v>0</v>
      </c>
      <c r="HX51" s="944">
        <f t="shared" si="46"/>
        <v>464073.29599999997</v>
      </c>
      <c r="HY51" s="944">
        <f t="shared" si="47"/>
        <v>464073.29599999997</v>
      </c>
      <c r="IQ51" s="967" t="s">
        <v>667</v>
      </c>
      <c r="IR51" s="967" t="s">
        <v>634</v>
      </c>
      <c r="IS51" s="967" t="s">
        <v>447</v>
      </c>
      <c r="IT51" s="967" t="s">
        <v>447</v>
      </c>
      <c r="IU51" s="968" t="s">
        <v>547</v>
      </c>
      <c r="IV51" s="969">
        <v>0</v>
      </c>
      <c r="IW51" s="969">
        <v>43256585414</v>
      </c>
      <c r="IX51" s="969">
        <v>40991033777</v>
      </c>
      <c r="IY51" s="970">
        <f t="shared" si="59"/>
        <v>0</v>
      </c>
      <c r="IZ51" s="970">
        <f t="shared" si="60"/>
        <v>43256585.413999997</v>
      </c>
      <c r="JA51" s="970">
        <f t="shared" si="61"/>
        <v>40991033.777000003</v>
      </c>
      <c r="JO51" s="966" t="s">
        <v>667</v>
      </c>
      <c r="JP51" s="966" t="s">
        <v>634</v>
      </c>
      <c r="JQ51" s="966" t="s">
        <v>447</v>
      </c>
      <c r="JR51" s="640" t="s">
        <v>447</v>
      </c>
      <c r="JS51" s="640" t="s">
        <v>547</v>
      </c>
      <c r="JT51" s="971">
        <v>53330945907</v>
      </c>
      <c r="JU51" s="971">
        <v>0</v>
      </c>
      <c r="JV51" s="971">
        <v>0</v>
      </c>
      <c r="JW51" s="945">
        <f t="shared" si="55"/>
        <v>53330945.906999998</v>
      </c>
      <c r="JX51" s="945">
        <f t="shared" si="56"/>
        <v>0</v>
      </c>
      <c r="JY51" s="945">
        <f t="shared" si="57"/>
        <v>0</v>
      </c>
    </row>
    <row r="52" spans="93:285" ht="15" customHeight="1" x14ac:dyDescent="0.3">
      <c r="IQ52" s="967" t="s">
        <v>668</v>
      </c>
      <c r="IR52" s="967" t="s">
        <v>669</v>
      </c>
      <c r="IS52" s="967" t="s">
        <v>447</v>
      </c>
      <c r="IT52" s="967" t="s">
        <v>447</v>
      </c>
      <c r="IU52" s="968" t="s">
        <v>547</v>
      </c>
      <c r="IV52" s="969">
        <v>13787455000</v>
      </c>
      <c r="IW52" s="969">
        <v>0</v>
      </c>
      <c r="IX52" s="969">
        <v>0</v>
      </c>
      <c r="IY52" s="970">
        <f t="shared" si="59"/>
        <v>13787455</v>
      </c>
      <c r="IZ52" s="970">
        <f t="shared" si="60"/>
        <v>0</v>
      </c>
      <c r="JA52" s="970">
        <f t="shared" si="61"/>
        <v>0</v>
      </c>
      <c r="JO52" s="966" t="s">
        <v>667</v>
      </c>
      <c r="JP52" s="966" t="s">
        <v>634</v>
      </c>
      <c r="JQ52" s="966" t="s">
        <v>447</v>
      </c>
      <c r="JR52" s="640" t="s">
        <v>447</v>
      </c>
      <c r="JS52" s="640" t="s">
        <v>547</v>
      </c>
      <c r="JT52" s="971">
        <v>0</v>
      </c>
      <c r="JU52" s="971">
        <v>53267549534</v>
      </c>
      <c r="JV52" s="971">
        <v>53267549534</v>
      </c>
      <c r="JW52" s="945">
        <f t="shared" si="55"/>
        <v>0</v>
      </c>
      <c r="JX52" s="945">
        <f t="shared" si="56"/>
        <v>53267549.534000002</v>
      </c>
      <c r="JY52" s="945">
        <f t="shared" si="57"/>
        <v>53267549.534000002</v>
      </c>
    </row>
    <row r="53" spans="93:285" x14ac:dyDescent="0.3">
      <c r="IQ53" s="967" t="s">
        <v>668</v>
      </c>
      <c r="IR53" s="967" t="s">
        <v>669</v>
      </c>
      <c r="IS53" s="967" t="s">
        <v>447</v>
      </c>
      <c r="IT53" s="967" t="s">
        <v>447</v>
      </c>
      <c r="IU53" s="968" t="s">
        <v>547</v>
      </c>
      <c r="IV53" s="969">
        <v>0</v>
      </c>
      <c r="IW53" s="969">
        <v>9651189160</v>
      </c>
      <c r="IX53" s="969">
        <v>3455915368</v>
      </c>
      <c r="IY53" s="970">
        <f t="shared" si="59"/>
        <v>0</v>
      </c>
      <c r="IZ53" s="970">
        <f t="shared" si="60"/>
        <v>9651189.1600000001</v>
      </c>
      <c r="JA53" s="970">
        <f t="shared" si="61"/>
        <v>3455915.3679999998</v>
      </c>
      <c r="JO53" s="974" t="s">
        <v>668</v>
      </c>
      <c r="JP53" s="974" t="s">
        <v>669</v>
      </c>
      <c r="JQ53" s="974" t="s">
        <v>447</v>
      </c>
      <c r="JR53" s="975" t="s">
        <v>447</v>
      </c>
      <c r="JS53" s="975" t="s">
        <v>547</v>
      </c>
      <c r="JT53" s="976">
        <v>11987455000</v>
      </c>
      <c r="JU53" s="976">
        <v>0</v>
      </c>
      <c r="JV53" s="976">
        <v>0</v>
      </c>
      <c r="JW53" s="951">
        <f t="shared" si="55"/>
        <v>11987455</v>
      </c>
      <c r="JX53" s="951">
        <f t="shared" si="56"/>
        <v>0</v>
      </c>
      <c r="JY53" s="951">
        <f t="shared" si="57"/>
        <v>0</v>
      </c>
    </row>
    <row r="54" spans="93:285" x14ac:dyDescent="0.3">
      <c r="IQ54" s="967" t="s">
        <v>452</v>
      </c>
      <c r="IR54" s="967" t="s">
        <v>128</v>
      </c>
      <c r="IS54" s="967" t="s">
        <v>447</v>
      </c>
      <c r="IT54" s="967" t="s">
        <v>447</v>
      </c>
      <c r="IU54" s="968" t="s">
        <v>547</v>
      </c>
      <c r="IV54" s="969">
        <v>467091000</v>
      </c>
      <c r="IW54" s="969">
        <v>0</v>
      </c>
      <c r="IX54" s="969">
        <v>0</v>
      </c>
      <c r="IY54" s="970">
        <f t="shared" si="59"/>
        <v>467091</v>
      </c>
      <c r="IZ54" s="970">
        <f t="shared" si="60"/>
        <v>0</v>
      </c>
      <c r="JA54" s="970">
        <f t="shared" si="61"/>
        <v>0</v>
      </c>
      <c r="JO54" s="974" t="s">
        <v>668</v>
      </c>
      <c r="JP54" s="974" t="s">
        <v>669</v>
      </c>
      <c r="JQ54" s="974" t="s">
        <v>447</v>
      </c>
      <c r="JR54" s="975" t="s">
        <v>447</v>
      </c>
      <c r="JS54" s="975" t="s">
        <v>547</v>
      </c>
      <c r="JT54" s="976">
        <v>0</v>
      </c>
      <c r="JU54" s="976">
        <v>11987455000</v>
      </c>
      <c r="JV54" s="976">
        <v>11987455000</v>
      </c>
      <c r="JW54" s="951">
        <f t="shared" si="55"/>
        <v>0</v>
      </c>
      <c r="JX54" s="951">
        <f t="shared" si="56"/>
        <v>11987455</v>
      </c>
      <c r="JY54" s="951">
        <f t="shared" si="57"/>
        <v>11987455</v>
      </c>
    </row>
    <row r="55" spans="93:285" x14ac:dyDescent="0.3">
      <c r="IQ55" s="967" t="s">
        <v>452</v>
      </c>
      <c r="IR55" s="967" t="s">
        <v>128</v>
      </c>
      <c r="IS55" s="967" t="s">
        <v>447</v>
      </c>
      <c r="IT55" s="967" t="s">
        <v>447</v>
      </c>
      <c r="IU55" s="968" t="s">
        <v>547</v>
      </c>
      <c r="IV55" s="969">
        <v>0</v>
      </c>
      <c r="IW55" s="969">
        <v>464073296</v>
      </c>
      <c r="IX55" s="969">
        <v>464073296</v>
      </c>
      <c r="IY55" s="970">
        <f t="shared" si="59"/>
        <v>0</v>
      </c>
      <c r="IZ55" s="970">
        <f t="shared" si="60"/>
        <v>464073.29599999997</v>
      </c>
      <c r="JA55" s="970">
        <f t="shared" si="61"/>
        <v>464073.29599999997</v>
      </c>
      <c r="JO55" s="974" t="s">
        <v>452</v>
      </c>
      <c r="JP55" s="974" t="s">
        <v>128</v>
      </c>
      <c r="JQ55" s="974" t="s">
        <v>447</v>
      </c>
      <c r="JR55" s="975" t="s">
        <v>447</v>
      </c>
      <c r="JS55" s="975" t="s">
        <v>547</v>
      </c>
      <c r="JT55" s="976">
        <v>467091000</v>
      </c>
      <c r="JU55" s="976">
        <v>0</v>
      </c>
      <c r="JV55" s="976">
        <v>0</v>
      </c>
      <c r="JW55" s="951">
        <f t="shared" si="55"/>
        <v>467091</v>
      </c>
      <c r="JX55" s="951">
        <f t="shared" si="56"/>
        <v>0</v>
      </c>
      <c r="JY55" s="951">
        <f t="shared" si="57"/>
        <v>0</v>
      </c>
    </row>
    <row r="56" spans="93:285" x14ac:dyDescent="0.3">
      <c r="IY56" s="947"/>
      <c r="IZ56" s="947"/>
      <c r="JA56" s="947"/>
      <c r="JO56" s="974" t="s">
        <v>452</v>
      </c>
      <c r="JP56" s="974" t="s">
        <v>128</v>
      </c>
      <c r="JQ56" s="974" t="s">
        <v>447</v>
      </c>
      <c r="JR56" s="975" t="s">
        <v>447</v>
      </c>
      <c r="JS56" s="975" t="s">
        <v>547</v>
      </c>
      <c r="JT56" s="976">
        <v>0</v>
      </c>
      <c r="JU56" s="976">
        <v>464073296</v>
      </c>
      <c r="JV56" s="976">
        <v>464073296</v>
      </c>
      <c r="JW56" s="951">
        <f t="shared" si="55"/>
        <v>0</v>
      </c>
      <c r="JX56" s="951">
        <f t="shared" si="56"/>
        <v>464073.29599999997</v>
      </c>
      <c r="JY56" s="951">
        <f t="shared" si="57"/>
        <v>464073.29599999997</v>
      </c>
    </row>
    <row r="57" spans="93:285" x14ac:dyDescent="0.3">
      <c r="JW57" s="945">
        <f>SUM(JW3:JW56)</f>
        <v>318917104.00000006</v>
      </c>
      <c r="JX57" s="945">
        <f t="shared" ref="JX57:JY57" si="62">SUM(JX3:JX56)</f>
        <v>318822883.95800006</v>
      </c>
      <c r="JY57" s="945">
        <f t="shared" si="62"/>
        <v>317856916.52800006</v>
      </c>
    </row>
    <row r="60" spans="93:285" x14ac:dyDescent="0.3">
      <c r="JW60" s="945">
        <f>+JW57-'Prog 03'!I11</f>
        <v>47469861.00000006</v>
      </c>
      <c r="JX60" s="945">
        <f ca="1">+JX57-'Prog 03'!L11</f>
        <v>204881759.35300004</v>
      </c>
      <c r="JY60" s="945">
        <f ca="1">+JY57-'Prog 03'!J11</f>
        <v>210282116.92900005</v>
      </c>
    </row>
  </sheetData>
  <autoFilter ref="HA2:HK23"/>
  <mergeCells count="23">
    <mergeCell ref="JE1:JM1"/>
    <mergeCell ref="JO1:JY1"/>
    <mergeCell ref="A1:I1"/>
    <mergeCell ref="L1:Q1"/>
    <mergeCell ref="U1:Z1"/>
    <mergeCell ref="AD1:AI1"/>
    <mergeCell ref="AM1:AS1"/>
    <mergeCell ref="IC1:IM1"/>
    <mergeCell ref="IQ1:JA1"/>
    <mergeCell ref="AX1:BC1"/>
    <mergeCell ref="BG1:BP1"/>
    <mergeCell ref="DU1:EE1"/>
    <mergeCell ref="EI1:ES1"/>
    <mergeCell ref="CU1:DF1"/>
    <mergeCell ref="DH1:DQ1"/>
    <mergeCell ref="BT1:CD1"/>
    <mergeCell ref="CH1:CQ1"/>
    <mergeCell ref="HA1:HK1"/>
    <mergeCell ref="HO1:IA1"/>
    <mergeCell ref="FY1:GI1"/>
    <mergeCell ref="GM1:GW1"/>
    <mergeCell ref="EW1:FG1"/>
    <mergeCell ref="FL1:FU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9A46"/>
    <pageSetUpPr fitToPage="1"/>
  </sheetPr>
  <dimension ref="A1:BY140"/>
  <sheetViews>
    <sheetView tabSelected="1" zoomScale="70" zoomScaleNormal="70" workbookViewId="0">
      <selection activeCell="K70" sqref="K70"/>
    </sheetView>
  </sheetViews>
  <sheetFormatPr baseColWidth="10" defaultColWidth="11.42578125" defaultRowHeight="12.75" x14ac:dyDescent="0.2"/>
  <cols>
    <col min="1" max="1" width="17.7109375" style="320" customWidth="1"/>
    <col min="2" max="2" width="5.7109375" style="8" customWidth="1"/>
    <col min="3" max="3" width="6.5703125" style="10" customWidth="1"/>
    <col min="4" max="4" width="6.7109375" style="12" hidden="1" customWidth="1"/>
    <col min="5" max="5" width="9.7109375" style="14" hidden="1" customWidth="1"/>
    <col min="6" max="6" width="13.5703125" style="687" customWidth="1"/>
    <col min="7" max="7" width="57" style="1" customWidth="1"/>
    <col min="8" max="10" width="19.7109375" style="6" customWidth="1"/>
    <col min="11" max="11" width="19.7109375" style="733" customWidth="1"/>
    <col min="12" max="12" width="19.7109375" style="6" customWidth="1"/>
    <col min="13" max="13" width="19.7109375" style="633" customWidth="1"/>
    <col min="14" max="14" width="19.7109375" style="6" customWidth="1"/>
    <col min="15" max="15" width="19.7109375" style="633" customWidth="1"/>
    <col min="16" max="16" width="19.85546875" style="891" customWidth="1"/>
    <col min="17" max="17" width="19.7109375" style="905" customWidth="1"/>
    <col min="18" max="18" width="19.7109375" style="730" customWidth="1"/>
    <col min="19" max="19" width="19.7109375" style="730" hidden="1" customWidth="1"/>
    <col min="20" max="24" width="19.7109375" style="6" hidden="1" customWidth="1"/>
    <col min="25" max="25" width="19.7109375" style="6" customWidth="1"/>
    <col min="26" max="26" width="19.85546875" style="6" customWidth="1"/>
    <col min="27" max="34" width="19.7109375" style="6" hidden="1" customWidth="1"/>
    <col min="35" max="35" width="5.5703125" style="179" customWidth="1"/>
    <col min="36" max="36" width="18.140625" style="5" customWidth="1"/>
    <col min="37" max="37" width="56.28515625" style="832" customWidth="1"/>
    <col min="38" max="38" width="16" style="243" customWidth="1"/>
    <col min="39" max="39" width="16.28515625" style="243" customWidth="1"/>
    <col min="40" max="40" width="11.42578125" style="243"/>
    <col min="41" max="41" width="12.28515625" style="5" bestFit="1" customWidth="1"/>
    <col min="42" max="16384" width="11.42578125" style="5"/>
  </cols>
  <sheetData>
    <row r="1" spans="1:77" ht="15" customHeight="1" thickBot="1" x14ac:dyDescent="0.3">
      <c r="B1" s="262"/>
      <c r="C1" s="281"/>
      <c r="D1" s="282"/>
      <c r="E1" s="283"/>
      <c r="F1" s="681"/>
      <c r="G1" s="5"/>
      <c r="H1" s="16"/>
      <c r="I1" s="332"/>
      <c r="J1" s="332"/>
      <c r="K1" s="834"/>
      <c r="L1" s="332"/>
      <c r="M1" s="643"/>
      <c r="N1" s="332"/>
      <c r="O1" s="643"/>
      <c r="P1" s="879"/>
      <c r="Q1" s="892"/>
      <c r="R1" s="756"/>
      <c r="S1" s="756"/>
      <c r="T1" s="582"/>
      <c r="U1" s="582"/>
      <c r="V1" s="582"/>
      <c r="W1" s="582"/>
      <c r="X1" s="582"/>
      <c r="Y1" s="582"/>
      <c r="Z1" s="582"/>
      <c r="AA1" s="582"/>
      <c r="AB1" s="582"/>
      <c r="AC1" s="582"/>
      <c r="AD1" s="582"/>
      <c r="AE1" s="332"/>
      <c r="AF1" s="332"/>
      <c r="AG1" s="332"/>
      <c r="AH1" s="332"/>
      <c r="AI1" s="243"/>
    </row>
    <row r="2" spans="1:77" ht="21" thickBot="1" x14ac:dyDescent="0.35">
      <c r="B2" s="1792" t="s">
        <v>285</v>
      </c>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364"/>
      <c r="AC2" s="564"/>
      <c r="AD2" s="634"/>
      <c r="AE2" s="676"/>
      <c r="AF2" s="753"/>
      <c r="AG2" s="800"/>
      <c r="AH2" s="827"/>
    </row>
    <row r="3" spans="1:77" hidden="1" x14ac:dyDescent="0.2">
      <c r="B3" s="1795"/>
      <c r="C3" s="1796"/>
      <c r="D3" s="1796"/>
      <c r="E3" s="1796"/>
      <c r="F3" s="1796"/>
      <c r="G3" s="1796"/>
      <c r="H3" s="1796"/>
      <c r="I3" s="1796"/>
      <c r="J3" s="1796"/>
      <c r="K3" s="1796"/>
      <c r="L3" s="1796"/>
      <c r="M3" s="1796"/>
      <c r="N3" s="1796"/>
      <c r="O3" s="1796"/>
      <c r="P3" s="1796"/>
      <c r="Q3" s="1796"/>
      <c r="R3" s="1796"/>
      <c r="S3" s="7" t="s">
        <v>273</v>
      </c>
      <c r="T3" s="7" t="s">
        <v>127</v>
      </c>
      <c r="U3" s="7" t="s">
        <v>273</v>
      </c>
      <c r="V3" s="7" t="s">
        <v>127</v>
      </c>
      <c r="W3" s="7" t="s">
        <v>273</v>
      </c>
      <c r="X3" s="7" t="s">
        <v>127</v>
      </c>
      <c r="Y3" s="7" t="s">
        <v>273</v>
      </c>
      <c r="Z3" s="7" t="s">
        <v>127</v>
      </c>
      <c r="AA3" s="7"/>
      <c r="AB3" s="7"/>
      <c r="AC3" s="7"/>
      <c r="AD3" s="7"/>
      <c r="AE3" s="7"/>
      <c r="AF3" s="7"/>
      <c r="AG3" s="7"/>
      <c r="AH3" s="7"/>
    </row>
    <row r="4" spans="1:77" s="57" customFormat="1" ht="13.5" hidden="1" thickBot="1" x14ac:dyDescent="0.25">
      <c r="A4" s="321"/>
      <c r="B4" s="149"/>
      <c r="C4" s="151"/>
      <c r="D4" s="151"/>
      <c r="E4" s="151"/>
      <c r="F4" s="151"/>
      <c r="G4" s="151"/>
      <c r="H4" s="151"/>
      <c r="I4" s="151"/>
      <c r="J4" s="151"/>
      <c r="K4" s="718"/>
      <c r="L4" s="151"/>
      <c r="M4" s="625"/>
      <c r="N4" s="151"/>
      <c r="O4" s="625"/>
      <c r="P4" s="880"/>
      <c r="Q4" s="893"/>
      <c r="R4" s="625"/>
      <c r="S4" s="625"/>
      <c r="T4" s="58"/>
      <c r="U4" s="58"/>
      <c r="V4" s="58"/>
      <c r="W4" s="58"/>
      <c r="X4" s="58"/>
      <c r="Y4" s="58"/>
      <c r="Z4" s="58"/>
      <c r="AA4" s="58"/>
      <c r="AB4" s="58"/>
      <c r="AC4" s="58"/>
      <c r="AD4" s="58"/>
      <c r="AE4" s="58"/>
      <c r="AF4" s="58"/>
      <c r="AG4" s="58"/>
      <c r="AH4" s="150"/>
      <c r="AI4" s="5"/>
      <c r="AJ4" s="5"/>
      <c r="AK4" s="832"/>
      <c r="AL4" s="243"/>
      <c r="AM4" s="243"/>
      <c r="AN4" s="243"/>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row>
    <row r="5" spans="1:77" ht="21" thickBot="1" x14ac:dyDescent="0.35">
      <c r="B5" s="1655" t="s">
        <v>245</v>
      </c>
      <c r="C5" s="1656"/>
      <c r="D5" s="1656"/>
      <c r="E5" s="1656"/>
      <c r="F5" s="1656"/>
      <c r="G5" s="1656"/>
      <c r="H5" s="1656"/>
      <c r="I5" s="1656"/>
      <c r="J5" s="1656"/>
      <c r="K5" s="1656"/>
      <c r="L5" s="1656"/>
      <c r="M5" s="1656"/>
      <c r="N5" s="1656"/>
      <c r="O5" s="1656"/>
      <c r="P5" s="1656"/>
      <c r="Q5" s="1656"/>
      <c r="R5" s="1656"/>
      <c r="S5" s="1656"/>
      <c r="T5" s="1656"/>
      <c r="U5" s="1656"/>
      <c r="V5" s="1656"/>
      <c r="W5" s="1656"/>
      <c r="X5" s="1656"/>
      <c r="Y5" s="1656"/>
      <c r="Z5" s="1656"/>
      <c r="AA5" s="1656"/>
      <c r="AB5" s="364"/>
      <c r="AC5" s="564"/>
      <c r="AD5" s="634"/>
      <c r="AE5" s="676"/>
      <c r="AF5" s="753"/>
      <c r="AG5" s="800"/>
      <c r="AH5" s="827"/>
    </row>
    <row r="6" spans="1:77" ht="18.75" thickBot="1" x14ac:dyDescent="0.3">
      <c r="B6" s="1797" t="s">
        <v>283</v>
      </c>
      <c r="C6" s="1798"/>
      <c r="D6" s="1798"/>
      <c r="E6" s="1798"/>
      <c r="F6" s="1798"/>
      <c r="G6" s="1799"/>
      <c r="H6" s="1793" t="s">
        <v>942</v>
      </c>
      <c r="I6" s="1794"/>
      <c r="J6" s="1794"/>
      <c r="K6" s="1794"/>
      <c r="L6" s="1794"/>
      <c r="M6" s="1794"/>
      <c r="N6" s="1794"/>
      <c r="O6" s="1794"/>
      <c r="P6" s="1802" t="s">
        <v>707</v>
      </c>
      <c r="Q6" s="1803"/>
      <c r="R6" s="1804"/>
      <c r="S6" s="1805"/>
      <c r="T6" s="1806"/>
      <c r="U6" s="1805"/>
      <c r="V6" s="1806"/>
      <c r="W6" s="1805"/>
      <c r="X6" s="1806"/>
      <c r="Y6" s="1805"/>
      <c r="Z6" s="1806"/>
      <c r="AA6" s="866"/>
      <c r="AB6" s="865"/>
      <c r="AC6" s="865"/>
      <c r="AD6" s="865"/>
      <c r="AE6" s="865"/>
      <c r="AF6" s="907"/>
      <c r="AG6" s="865"/>
      <c r="AH6" s="907"/>
      <c r="AI6" s="243"/>
    </row>
    <row r="7" spans="1:77" ht="16.5" thickBot="1" x14ac:dyDescent="0.3">
      <c r="B7" s="1800"/>
      <c r="C7" s="1801"/>
      <c r="D7" s="1801"/>
      <c r="E7" s="1801"/>
      <c r="F7" s="1801"/>
      <c r="G7" s="1801"/>
      <c r="H7" s="64" t="s">
        <v>130</v>
      </c>
      <c r="I7" s="51" t="s">
        <v>131</v>
      </c>
      <c r="J7" s="52" t="s">
        <v>132</v>
      </c>
      <c r="K7" s="743" t="s">
        <v>133</v>
      </c>
      <c r="L7" s="51" t="s">
        <v>789</v>
      </c>
      <c r="M7" s="734" t="s">
        <v>791</v>
      </c>
      <c r="N7" s="51" t="s">
        <v>790</v>
      </c>
      <c r="O7" s="626" t="s">
        <v>792</v>
      </c>
      <c r="P7" s="881" t="s">
        <v>130</v>
      </c>
      <c r="Q7" s="894" t="s">
        <v>131</v>
      </c>
      <c r="R7" s="719" t="s">
        <v>134</v>
      </c>
      <c r="S7" s="1805" t="s">
        <v>0</v>
      </c>
      <c r="T7" s="1806"/>
      <c r="U7" s="1805" t="s">
        <v>137</v>
      </c>
      <c r="V7" s="1806"/>
      <c r="W7" s="1805" t="s">
        <v>6</v>
      </c>
      <c r="X7" s="1806"/>
      <c r="Y7" s="1805" t="s">
        <v>7</v>
      </c>
      <c r="Z7" s="1806"/>
      <c r="AA7" s="866" t="s">
        <v>8</v>
      </c>
      <c r="AB7" s="865" t="s">
        <v>9</v>
      </c>
      <c r="AC7" s="865" t="s">
        <v>79</v>
      </c>
      <c r="AD7" s="865" t="s">
        <v>10</v>
      </c>
      <c r="AE7" s="865" t="s">
        <v>11</v>
      </c>
      <c r="AF7" s="907" t="s">
        <v>12</v>
      </c>
      <c r="AG7" s="865" t="s">
        <v>13</v>
      </c>
      <c r="AH7" s="907" t="s">
        <v>14</v>
      </c>
      <c r="AI7" s="243"/>
    </row>
    <row r="8" spans="1:77" ht="57" customHeight="1" thickBot="1" x14ac:dyDescent="0.25">
      <c r="B8" s="1800"/>
      <c r="C8" s="1801"/>
      <c r="D8" s="1801"/>
      <c r="E8" s="1801"/>
      <c r="F8" s="1801"/>
      <c r="G8" s="1801"/>
      <c r="H8" s="357" t="s">
        <v>944</v>
      </c>
      <c r="I8" s="358" t="s">
        <v>943</v>
      </c>
      <c r="J8" s="358" t="s">
        <v>1019</v>
      </c>
      <c r="K8" s="744" t="s">
        <v>1020</v>
      </c>
      <c r="L8" s="358" t="s">
        <v>814</v>
      </c>
      <c r="M8" s="735" t="s">
        <v>813</v>
      </c>
      <c r="N8" s="358" t="s">
        <v>811</v>
      </c>
      <c r="O8" s="627" t="s">
        <v>812</v>
      </c>
      <c r="P8" s="882" t="s">
        <v>1030</v>
      </c>
      <c r="Q8" s="895" t="s">
        <v>1026</v>
      </c>
      <c r="R8" s="720" t="s">
        <v>1018</v>
      </c>
      <c r="S8" s="104" t="s">
        <v>941</v>
      </c>
      <c r="T8" s="140" t="s">
        <v>709</v>
      </c>
      <c r="U8" s="104" t="s">
        <v>941</v>
      </c>
      <c r="V8" s="140" t="s">
        <v>709</v>
      </c>
      <c r="W8" s="389" t="s">
        <v>941</v>
      </c>
      <c r="X8" s="1452" t="s">
        <v>708</v>
      </c>
      <c r="Y8" s="389" t="s">
        <v>941</v>
      </c>
      <c r="Z8" s="912" t="s">
        <v>708</v>
      </c>
      <c r="AA8" s="391" t="s">
        <v>708</v>
      </c>
      <c r="AB8" s="308" t="s">
        <v>708</v>
      </c>
      <c r="AC8" s="389" t="s">
        <v>708</v>
      </c>
      <c r="AD8" s="389" t="s">
        <v>708</v>
      </c>
      <c r="AE8" s="389" t="s">
        <v>708</v>
      </c>
      <c r="AF8" s="140" t="s">
        <v>708</v>
      </c>
      <c r="AG8" s="389" t="s">
        <v>708</v>
      </c>
      <c r="AH8" s="140" t="s">
        <v>708</v>
      </c>
      <c r="AI8" s="243"/>
      <c r="AJ8" s="829"/>
      <c r="AK8" s="417"/>
      <c r="AL8" s="830"/>
    </row>
    <row r="9" spans="1:77" s="417" customFormat="1" ht="20.100000000000001" customHeight="1" x14ac:dyDescent="0.2">
      <c r="A9" s="416"/>
      <c r="B9" s="410" t="s">
        <v>91</v>
      </c>
      <c r="C9" s="411" t="s">
        <v>92</v>
      </c>
      <c r="D9" s="412" t="s">
        <v>93</v>
      </c>
      <c r="E9" s="412" t="s">
        <v>94</v>
      </c>
      <c r="F9" s="682"/>
      <c r="G9" s="557" t="s">
        <v>287</v>
      </c>
      <c r="H9" s="556">
        <f>+H34+H70+H10</f>
        <v>113525861</v>
      </c>
      <c r="I9" s="319">
        <f>+I10+I32+I34+I70</f>
        <v>103303834</v>
      </c>
      <c r="J9" s="319">
        <v>0</v>
      </c>
      <c r="K9" s="745">
        <f>IFERROR(J9/I9,"0.00%")</f>
        <v>0</v>
      </c>
      <c r="L9" s="319">
        <v>0</v>
      </c>
      <c r="M9" s="736">
        <f>IFERROR(L9/I9,0)</f>
        <v>0</v>
      </c>
      <c r="N9" s="556">
        <f>+I9-L9</f>
        <v>103303834</v>
      </c>
      <c r="O9" s="628">
        <f>+IFERROR(N9/I9,0)</f>
        <v>1</v>
      </c>
      <c r="P9" s="876">
        <f>+P10+P32+P34+P70</f>
        <v>83397390.746000007</v>
      </c>
      <c r="Q9" s="896">
        <f ca="1">+Q10+Q32+Q34</f>
        <v>0</v>
      </c>
      <c r="R9" s="721">
        <f ca="1">IFERROR(Q9/P9,"0.00%")</f>
        <v>0</v>
      </c>
      <c r="S9" s="413">
        <v>0</v>
      </c>
      <c r="T9" s="868">
        <v>0</v>
      </c>
      <c r="U9" s="868">
        <v>0</v>
      </c>
      <c r="V9" s="868">
        <f ca="1">+V34+V70+V10</f>
        <v>0</v>
      </c>
      <c r="W9" s="1255">
        <v>0</v>
      </c>
      <c r="X9" s="1453">
        <v>0</v>
      </c>
      <c r="Y9" s="868">
        <f>+Y34+Y70+Y10</f>
        <v>0</v>
      </c>
      <c r="Z9" s="868">
        <f>+Z34+Z70+Z10</f>
        <v>0</v>
      </c>
      <c r="AA9" s="415">
        <f>+AA34+AA70+AA10+AA32</f>
        <v>1376955</v>
      </c>
      <c r="AB9" s="414">
        <f>+AB34+AB70+AB10+AB32</f>
        <v>116132</v>
      </c>
      <c r="AC9" s="571"/>
      <c r="AD9" s="413">
        <v>0</v>
      </c>
      <c r="AE9" s="680">
        <v>0</v>
      </c>
      <c r="AF9" s="868">
        <f>+AF34</f>
        <v>4635810</v>
      </c>
      <c r="AG9" s="680">
        <v>0</v>
      </c>
      <c r="AH9" s="868">
        <f>+AH35</f>
        <v>33073588</v>
      </c>
      <c r="AI9" s="243"/>
    </row>
    <row r="10" spans="1:77" ht="15" customHeight="1" x14ac:dyDescent="0.2">
      <c r="B10" s="21">
        <v>24</v>
      </c>
      <c r="C10" s="22" t="s">
        <v>2</v>
      </c>
      <c r="D10" s="23"/>
      <c r="E10" s="24"/>
      <c r="F10" s="192"/>
      <c r="G10" s="558" t="s">
        <v>210</v>
      </c>
      <c r="H10" s="222">
        <f>+H11</f>
        <v>0</v>
      </c>
      <c r="I10" s="17">
        <f>+I11</f>
        <v>0</v>
      </c>
      <c r="J10" s="20">
        <f>+J11</f>
        <v>0</v>
      </c>
      <c r="K10" s="323" t="str">
        <f>IFERROR(J10/I10,"0,0%")</f>
        <v>0,0%</v>
      </c>
      <c r="L10" s="372">
        <f>+L11</f>
        <v>0</v>
      </c>
      <c r="M10" s="737">
        <f>IFERROR(L10/I10,0)</f>
        <v>0</v>
      </c>
      <c r="N10" s="372">
        <v>0</v>
      </c>
      <c r="O10" s="323">
        <f>+IFERROR(N10/I10,0)</f>
        <v>0</v>
      </c>
      <c r="P10" s="883">
        <f>+P11</f>
        <v>0</v>
      </c>
      <c r="Q10" s="897">
        <f>+Q11</f>
        <v>0</v>
      </c>
      <c r="R10" s="722" t="str">
        <f>IFERROR(Q10/P10,"0.00%")</f>
        <v>0.00%</v>
      </c>
      <c r="S10" s="869">
        <v>0</v>
      </c>
      <c r="T10" s="869">
        <f t="shared" ref="T10:AB10" si="0">+T11</f>
        <v>0</v>
      </c>
      <c r="U10" s="869">
        <v>0</v>
      </c>
      <c r="V10" s="869">
        <f t="shared" si="0"/>
        <v>0</v>
      </c>
      <c r="W10" s="242">
        <v>0</v>
      </c>
      <c r="X10" s="1454">
        <v>0</v>
      </c>
      <c r="Y10" s="869">
        <f t="shared" si="0"/>
        <v>0</v>
      </c>
      <c r="Z10" s="869">
        <f t="shared" si="0"/>
        <v>0</v>
      </c>
      <c r="AA10" s="146">
        <v>0</v>
      </c>
      <c r="AB10" s="242">
        <f t="shared" si="0"/>
        <v>0</v>
      </c>
      <c r="AC10" s="384">
        <v>0</v>
      </c>
      <c r="AD10" s="246">
        <f>+AD11</f>
        <v>0</v>
      </c>
      <c r="AE10" s="384">
        <v>0</v>
      </c>
      <c r="AF10" s="869">
        <v>0</v>
      </c>
      <c r="AG10" s="384">
        <v>0</v>
      </c>
      <c r="AH10" s="869">
        <v>0</v>
      </c>
      <c r="AN10" s="417"/>
    </row>
    <row r="11" spans="1:77" ht="15" customHeight="1" x14ac:dyDescent="0.2">
      <c r="B11" s="21"/>
      <c r="C11" s="27" t="s">
        <v>164</v>
      </c>
      <c r="D11" s="28"/>
      <c r="E11" s="24"/>
      <c r="F11" s="192"/>
      <c r="G11" s="558" t="s">
        <v>86</v>
      </c>
      <c r="H11" s="222">
        <v>0</v>
      </c>
      <c r="I11" s="17">
        <v>0</v>
      </c>
      <c r="J11" s="17">
        <v>0</v>
      </c>
      <c r="K11" s="323" t="str">
        <f>IFERROR(J11/I11,"0,0%")</f>
        <v>0,0%</v>
      </c>
      <c r="L11" s="372">
        <v>0</v>
      </c>
      <c r="M11" s="737">
        <f>IFERROR(L11/I11,0)</f>
        <v>0</v>
      </c>
      <c r="N11" s="372">
        <v>0</v>
      </c>
      <c r="O11" s="323">
        <f>+IFERROR(N11/I11,0)</f>
        <v>0</v>
      </c>
      <c r="P11" s="884">
        <f>+SUM(P12:P31)</f>
        <v>0</v>
      </c>
      <c r="Q11" s="898">
        <f>SUM(Q12:Q31)</f>
        <v>0</v>
      </c>
      <c r="R11" s="722" t="str">
        <f>IFERROR(Q11/P11,"0.00%")</f>
        <v>0.00%</v>
      </c>
      <c r="S11" s="869">
        <v>0</v>
      </c>
      <c r="T11" s="869">
        <v>0</v>
      </c>
      <c r="U11" s="869">
        <v>0</v>
      </c>
      <c r="V11" s="869">
        <v>0</v>
      </c>
      <c r="W11" s="242">
        <v>0</v>
      </c>
      <c r="X11" s="1454">
        <v>0</v>
      </c>
      <c r="Y11" s="869">
        <v>0</v>
      </c>
      <c r="Z11" s="869">
        <v>0</v>
      </c>
      <c r="AA11" s="146">
        <v>0</v>
      </c>
      <c r="AB11" s="246">
        <v>0</v>
      </c>
      <c r="AC11" s="384">
        <v>0</v>
      </c>
      <c r="AD11" s="246">
        <f>SUM(AD12:AD31)</f>
        <v>0</v>
      </c>
      <c r="AE11" s="384">
        <v>0</v>
      </c>
      <c r="AF11" s="869">
        <v>0</v>
      </c>
      <c r="AG11" s="384">
        <v>0</v>
      </c>
      <c r="AH11" s="869">
        <v>0</v>
      </c>
      <c r="AN11" s="417"/>
    </row>
    <row r="12" spans="1:77" ht="15" customHeight="1" x14ac:dyDescent="0.2">
      <c r="B12" s="25"/>
      <c r="C12" s="127"/>
      <c r="D12" s="322">
        <v>4</v>
      </c>
      <c r="E12" s="26"/>
      <c r="F12" s="193">
        <v>2402004</v>
      </c>
      <c r="G12" s="559" t="s">
        <v>293</v>
      </c>
      <c r="H12" s="574">
        <v>0</v>
      </c>
      <c r="I12" s="19">
        <v>0</v>
      </c>
      <c r="J12" s="19">
        <v>0</v>
      </c>
      <c r="K12" s="375" t="str">
        <f>IFERROR(J12/I12,"0,00%")</f>
        <v>0,00%</v>
      </c>
      <c r="L12" s="99">
        <v>0</v>
      </c>
      <c r="M12" s="738">
        <f>IFERROR(L12/I12,0)</f>
        <v>0</v>
      </c>
      <c r="N12" s="99">
        <v>0</v>
      </c>
      <c r="O12" s="629">
        <f>+IFERROR(N12/I12,0)</f>
        <v>0</v>
      </c>
      <c r="P12" s="885">
        <f>++'P05 2022'!FA4</f>
        <v>0</v>
      </c>
      <c r="Q12" s="899">
        <f t="shared" ref="Q12:Q31" si="1">SUMIF($S$3:$AH$3,"SI",S12:AH12)</f>
        <v>0</v>
      </c>
      <c r="R12" s="723" t="str">
        <f>IFERROR(Q12/P12,"0,0%")</f>
        <v>0,0%</v>
      </c>
      <c r="S12" s="870">
        <v>0</v>
      </c>
      <c r="T12" s="908">
        <v>0</v>
      </c>
      <c r="U12" s="885">
        <v>0</v>
      </c>
      <c r="V12" s="1258">
        <v>0</v>
      </c>
      <c r="W12" s="1459">
        <v>0</v>
      </c>
      <c r="X12" s="1455">
        <v>0</v>
      </c>
      <c r="Y12" s="908">
        <v>0</v>
      </c>
      <c r="Z12" s="908">
        <v>0</v>
      </c>
      <c r="AA12" s="911">
        <v>0</v>
      </c>
      <c r="AB12" s="376">
        <v>0</v>
      </c>
      <c r="AC12" s="575">
        <v>0</v>
      </c>
      <c r="AD12" s="575">
        <v>0</v>
      </c>
      <c r="AE12" s="575">
        <v>0</v>
      </c>
      <c r="AF12" s="908">
        <v>0</v>
      </c>
      <c r="AG12" s="575">
        <v>0</v>
      </c>
      <c r="AH12" s="908">
        <v>0</v>
      </c>
      <c r="AN12" s="417"/>
      <c r="AO12" s="1259"/>
    </row>
    <row r="13" spans="1:77" ht="15" customHeight="1" x14ac:dyDescent="0.2">
      <c r="B13" s="25"/>
      <c r="C13" s="127"/>
      <c r="D13" s="576" t="s">
        <v>336</v>
      </c>
      <c r="E13" s="26"/>
      <c r="F13" s="684">
        <v>2402006</v>
      </c>
      <c r="G13" s="559" t="s">
        <v>316</v>
      </c>
      <c r="H13" s="221">
        <v>0</v>
      </c>
      <c r="I13" s="19">
        <v>0</v>
      </c>
      <c r="J13" s="19">
        <v>0</v>
      </c>
      <c r="K13" s="375" t="str">
        <f t="shared" ref="K13:K31" si="2">IFERROR(J13/I13,"0,00%")</f>
        <v>0,00%</v>
      </c>
      <c r="L13" s="99">
        <v>0</v>
      </c>
      <c r="M13" s="738">
        <f t="shared" ref="M13:M31" si="3">IFERROR(L13/I13,0)</f>
        <v>0</v>
      </c>
      <c r="N13" s="99">
        <v>0</v>
      </c>
      <c r="O13" s="629">
        <f t="shared" ref="O13:O27" si="4">+IFERROR(N13/I13,0)</f>
        <v>0</v>
      </c>
      <c r="P13" s="885">
        <f>++'P05 2022'!FA5</f>
        <v>0</v>
      </c>
      <c r="Q13" s="899">
        <f t="shared" si="1"/>
        <v>0</v>
      </c>
      <c r="R13" s="723" t="str">
        <f t="shared" ref="R13:R31" si="5">IFERROR(Q13/P13,"0,0%")</f>
        <v>0,0%</v>
      </c>
      <c r="S13" s="870">
        <v>0</v>
      </c>
      <c r="T13" s="908">
        <v>0</v>
      </c>
      <c r="U13" s="885">
        <v>0</v>
      </c>
      <c r="V13" s="1258">
        <v>0</v>
      </c>
      <c r="W13" s="1459">
        <v>0</v>
      </c>
      <c r="X13" s="1455">
        <v>0</v>
      </c>
      <c r="Y13" s="908">
        <v>0</v>
      </c>
      <c r="Z13" s="908">
        <v>0</v>
      </c>
      <c r="AA13" s="911">
        <v>0</v>
      </c>
      <c r="AB13" s="376">
        <v>0</v>
      </c>
      <c r="AC13" s="575">
        <v>0</v>
      </c>
      <c r="AD13" s="575">
        <v>0</v>
      </c>
      <c r="AE13" s="575">
        <v>0</v>
      </c>
      <c r="AF13" s="908">
        <v>0</v>
      </c>
      <c r="AG13" s="575">
        <v>0</v>
      </c>
      <c r="AH13" s="908">
        <v>0</v>
      </c>
      <c r="AN13" s="417"/>
    </row>
    <row r="14" spans="1:77" ht="15" customHeight="1" x14ac:dyDescent="0.2">
      <c r="B14" s="25"/>
      <c r="C14" s="127"/>
      <c r="D14" s="577" t="s">
        <v>319</v>
      </c>
      <c r="E14" s="26"/>
      <c r="F14" s="684">
        <v>2402007</v>
      </c>
      <c r="G14" s="559" t="s">
        <v>540</v>
      </c>
      <c r="H14" s="221">
        <v>0</v>
      </c>
      <c r="I14" s="19">
        <v>0</v>
      </c>
      <c r="J14" s="19">
        <v>0</v>
      </c>
      <c r="K14" s="375" t="str">
        <f t="shared" si="2"/>
        <v>0,00%</v>
      </c>
      <c r="L14" s="99">
        <v>0</v>
      </c>
      <c r="M14" s="738">
        <f t="shared" si="3"/>
        <v>0</v>
      </c>
      <c r="N14" s="99">
        <v>0</v>
      </c>
      <c r="O14" s="629">
        <f t="shared" si="4"/>
        <v>0</v>
      </c>
      <c r="P14" s="885">
        <f>++'P05 2022'!FA6</f>
        <v>0</v>
      </c>
      <c r="Q14" s="899">
        <f t="shared" si="1"/>
        <v>0</v>
      </c>
      <c r="R14" s="723" t="str">
        <f t="shared" si="5"/>
        <v>0,0%</v>
      </c>
      <c r="S14" s="870">
        <v>0</v>
      </c>
      <c r="T14" s="908">
        <v>0</v>
      </c>
      <c r="U14" s="885">
        <v>0</v>
      </c>
      <c r="V14" s="1258">
        <v>0</v>
      </c>
      <c r="W14" s="1459">
        <v>0</v>
      </c>
      <c r="X14" s="1455">
        <v>0</v>
      </c>
      <c r="Y14" s="908">
        <v>0</v>
      </c>
      <c r="Z14" s="908">
        <v>0</v>
      </c>
      <c r="AA14" s="911">
        <v>0</v>
      </c>
      <c r="AB14" s="376">
        <v>0</v>
      </c>
      <c r="AC14" s="575">
        <v>0</v>
      </c>
      <c r="AD14" s="575">
        <v>0</v>
      </c>
      <c r="AE14" s="575">
        <v>0</v>
      </c>
      <c r="AF14" s="908">
        <v>0</v>
      </c>
      <c r="AG14" s="575">
        <v>0</v>
      </c>
      <c r="AH14" s="908">
        <v>0</v>
      </c>
      <c r="AN14" s="417"/>
    </row>
    <row r="15" spans="1:77" ht="15" customHeight="1" x14ac:dyDescent="0.2">
      <c r="B15" s="25"/>
      <c r="C15" s="127"/>
      <c r="D15" s="50">
        <v>101</v>
      </c>
      <c r="E15" s="26"/>
      <c r="F15" s="684">
        <v>2402101</v>
      </c>
      <c r="G15" s="559" t="s">
        <v>738</v>
      </c>
      <c r="H15" s="221">
        <v>0</v>
      </c>
      <c r="I15" s="19">
        <v>0</v>
      </c>
      <c r="J15" s="19">
        <v>0</v>
      </c>
      <c r="K15" s="375" t="str">
        <f t="shared" si="2"/>
        <v>0,00%</v>
      </c>
      <c r="L15" s="99">
        <v>0</v>
      </c>
      <c r="M15" s="738">
        <f t="shared" si="3"/>
        <v>0</v>
      </c>
      <c r="N15" s="99">
        <v>0</v>
      </c>
      <c r="O15" s="629">
        <f t="shared" si="4"/>
        <v>0</v>
      </c>
      <c r="P15" s="885">
        <f>++'P05 2022'!FA7</f>
        <v>0</v>
      </c>
      <c r="Q15" s="899">
        <f t="shared" si="1"/>
        <v>0</v>
      </c>
      <c r="R15" s="723" t="str">
        <f t="shared" si="5"/>
        <v>0,0%</v>
      </c>
      <c r="S15" s="870">
        <v>0</v>
      </c>
      <c r="T15" s="908">
        <v>0</v>
      </c>
      <c r="U15" s="885">
        <v>0</v>
      </c>
      <c r="V15" s="1258">
        <v>0</v>
      </c>
      <c r="W15" s="1459">
        <v>0</v>
      </c>
      <c r="X15" s="1455">
        <v>0</v>
      </c>
      <c r="Y15" s="908">
        <v>0</v>
      </c>
      <c r="Z15" s="908">
        <v>0</v>
      </c>
      <c r="AA15" s="911">
        <v>0</v>
      </c>
      <c r="AB15" s="376">
        <v>0</v>
      </c>
      <c r="AC15" s="575">
        <v>0</v>
      </c>
      <c r="AD15" s="575">
        <v>0</v>
      </c>
      <c r="AE15" s="575">
        <v>0</v>
      </c>
      <c r="AF15" s="908">
        <v>0</v>
      </c>
      <c r="AG15" s="575">
        <v>0</v>
      </c>
      <c r="AH15" s="908">
        <v>0</v>
      </c>
      <c r="AN15" s="417"/>
    </row>
    <row r="16" spans="1:77" ht="15" customHeight="1" x14ac:dyDescent="0.2">
      <c r="B16" s="25"/>
      <c r="C16" s="127"/>
      <c r="D16" s="50"/>
      <c r="E16" s="26"/>
      <c r="F16" s="684" t="s">
        <v>483</v>
      </c>
      <c r="G16" s="559" t="s">
        <v>645</v>
      </c>
      <c r="H16" s="221">
        <v>0</v>
      </c>
      <c r="I16" s="19">
        <v>0</v>
      </c>
      <c r="J16" s="19">
        <v>0</v>
      </c>
      <c r="K16" s="375" t="str">
        <f t="shared" si="2"/>
        <v>0,00%</v>
      </c>
      <c r="L16" s="99">
        <v>0</v>
      </c>
      <c r="M16" s="738">
        <f t="shared" si="3"/>
        <v>0</v>
      </c>
      <c r="N16" s="99">
        <v>0</v>
      </c>
      <c r="O16" s="629">
        <f t="shared" si="4"/>
        <v>0</v>
      </c>
      <c r="P16" s="885">
        <f>++'P05 2022'!FA8</f>
        <v>0</v>
      </c>
      <c r="Q16" s="899">
        <f t="shared" si="1"/>
        <v>0</v>
      </c>
      <c r="R16" s="723" t="str">
        <f t="shared" si="5"/>
        <v>0,0%</v>
      </c>
      <c r="S16" s="870">
        <v>0</v>
      </c>
      <c r="T16" s="908">
        <v>0</v>
      </c>
      <c r="U16" s="885">
        <v>0</v>
      </c>
      <c r="V16" s="1258">
        <v>0</v>
      </c>
      <c r="W16" s="1459">
        <v>0</v>
      </c>
      <c r="X16" s="1455">
        <v>0</v>
      </c>
      <c r="Y16" s="908">
        <v>0</v>
      </c>
      <c r="Z16" s="908">
        <v>0</v>
      </c>
      <c r="AA16" s="911">
        <v>0</v>
      </c>
      <c r="AB16" s="376">
        <v>0</v>
      </c>
      <c r="AC16" s="575">
        <v>0</v>
      </c>
      <c r="AD16" s="575">
        <v>0</v>
      </c>
      <c r="AE16" s="575">
        <v>0</v>
      </c>
      <c r="AF16" s="908">
        <v>0</v>
      </c>
      <c r="AG16" s="575">
        <v>0</v>
      </c>
      <c r="AH16" s="908">
        <v>0</v>
      </c>
      <c r="AJ16" s="417"/>
      <c r="AL16" s="803"/>
      <c r="AM16" s="803"/>
      <c r="AN16" s="417"/>
    </row>
    <row r="17" spans="2:40" ht="15" customHeight="1" x14ac:dyDescent="0.2">
      <c r="B17" s="25"/>
      <c r="C17" s="127"/>
      <c r="D17" s="50">
        <v>103</v>
      </c>
      <c r="E17" s="26"/>
      <c r="F17" s="684">
        <v>2402103</v>
      </c>
      <c r="G17" s="559" t="s">
        <v>739</v>
      </c>
      <c r="H17" s="221">
        <v>0</v>
      </c>
      <c r="I17" s="19">
        <v>0</v>
      </c>
      <c r="J17" s="19">
        <v>0</v>
      </c>
      <c r="K17" s="375" t="str">
        <f t="shared" si="2"/>
        <v>0,00%</v>
      </c>
      <c r="L17" s="99">
        <v>0</v>
      </c>
      <c r="M17" s="738">
        <f t="shared" si="3"/>
        <v>0</v>
      </c>
      <c r="N17" s="99">
        <v>0</v>
      </c>
      <c r="O17" s="629">
        <f t="shared" si="4"/>
        <v>0</v>
      </c>
      <c r="P17" s="885">
        <f>++'P05 2022'!FA9</f>
        <v>0</v>
      </c>
      <c r="Q17" s="899">
        <f t="shared" si="1"/>
        <v>0</v>
      </c>
      <c r="R17" s="723" t="str">
        <f t="shared" si="5"/>
        <v>0,0%</v>
      </c>
      <c r="S17" s="870">
        <v>0</v>
      </c>
      <c r="T17" s="908">
        <v>0</v>
      </c>
      <c r="U17" s="885">
        <v>0</v>
      </c>
      <c r="V17" s="1258">
        <v>0</v>
      </c>
      <c r="W17" s="1459">
        <v>0</v>
      </c>
      <c r="X17" s="1455">
        <v>0</v>
      </c>
      <c r="Y17" s="908">
        <v>0</v>
      </c>
      <c r="Z17" s="908">
        <v>0</v>
      </c>
      <c r="AA17" s="911">
        <v>0</v>
      </c>
      <c r="AB17" s="376">
        <v>0</v>
      </c>
      <c r="AC17" s="575">
        <v>0</v>
      </c>
      <c r="AD17" s="575">
        <v>0</v>
      </c>
      <c r="AE17" s="575">
        <v>0</v>
      </c>
      <c r="AF17" s="908">
        <v>0</v>
      </c>
      <c r="AG17" s="575">
        <v>0</v>
      </c>
      <c r="AH17" s="908">
        <v>0</v>
      </c>
      <c r="AI17" s="243"/>
      <c r="AJ17" s="417"/>
      <c r="AK17" s="417"/>
      <c r="AL17" s="803"/>
      <c r="AM17" s="803"/>
      <c r="AN17" s="417"/>
    </row>
    <row r="18" spans="2:40" ht="15" customHeight="1" x14ac:dyDescent="0.2">
      <c r="B18" s="25"/>
      <c r="C18" s="127"/>
      <c r="D18" s="50">
        <v>104</v>
      </c>
      <c r="E18" s="26"/>
      <c r="F18" s="684">
        <v>2402104</v>
      </c>
      <c r="G18" s="559" t="s">
        <v>740</v>
      </c>
      <c r="H18" s="221">
        <v>0</v>
      </c>
      <c r="I18" s="19">
        <v>0</v>
      </c>
      <c r="J18" s="19">
        <v>0</v>
      </c>
      <c r="K18" s="375" t="str">
        <f t="shared" si="2"/>
        <v>0,00%</v>
      </c>
      <c r="L18" s="99">
        <v>0</v>
      </c>
      <c r="M18" s="738">
        <f t="shared" si="3"/>
        <v>0</v>
      </c>
      <c r="N18" s="99">
        <v>0</v>
      </c>
      <c r="O18" s="629">
        <f t="shared" si="4"/>
        <v>0</v>
      </c>
      <c r="P18" s="885">
        <f>++'P05 2022'!FA10</f>
        <v>0</v>
      </c>
      <c r="Q18" s="899">
        <f t="shared" si="1"/>
        <v>0</v>
      </c>
      <c r="R18" s="723" t="str">
        <f t="shared" si="5"/>
        <v>0,0%</v>
      </c>
      <c r="S18" s="870">
        <v>0</v>
      </c>
      <c r="T18" s="908">
        <v>0</v>
      </c>
      <c r="U18" s="885">
        <v>0</v>
      </c>
      <c r="V18" s="1258">
        <v>0</v>
      </c>
      <c r="W18" s="1459">
        <v>0</v>
      </c>
      <c r="X18" s="1455">
        <v>0</v>
      </c>
      <c r="Y18" s="908">
        <v>0</v>
      </c>
      <c r="Z18" s="908">
        <v>0</v>
      </c>
      <c r="AA18" s="911">
        <v>0</v>
      </c>
      <c r="AB18" s="376">
        <v>0</v>
      </c>
      <c r="AC18" s="575">
        <v>0</v>
      </c>
      <c r="AD18" s="575">
        <v>0</v>
      </c>
      <c r="AE18" s="575">
        <v>0</v>
      </c>
      <c r="AF18" s="908">
        <v>0</v>
      </c>
      <c r="AG18" s="575">
        <v>0</v>
      </c>
      <c r="AH18" s="908">
        <v>0</v>
      </c>
      <c r="AI18" s="243"/>
      <c r="AJ18" s="417"/>
      <c r="AK18" s="417"/>
      <c r="AL18" s="803"/>
      <c r="AM18" s="803"/>
      <c r="AN18" s="417"/>
    </row>
    <row r="19" spans="2:40" ht="15" customHeight="1" x14ac:dyDescent="0.2">
      <c r="B19" s="25"/>
      <c r="C19" s="127"/>
      <c r="D19" s="50">
        <v>105</v>
      </c>
      <c r="E19" s="26"/>
      <c r="F19" s="684">
        <v>2402105</v>
      </c>
      <c r="G19" s="559" t="s">
        <v>741</v>
      </c>
      <c r="H19" s="221">
        <v>0</v>
      </c>
      <c r="I19" s="19">
        <v>0</v>
      </c>
      <c r="J19" s="19">
        <v>0</v>
      </c>
      <c r="K19" s="375" t="str">
        <f t="shared" si="2"/>
        <v>0,00%</v>
      </c>
      <c r="L19" s="99">
        <v>0</v>
      </c>
      <c r="M19" s="738">
        <f t="shared" si="3"/>
        <v>0</v>
      </c>
      <c r="N19" s="99">
        <v>0</v>
      </c>
      <c r="O19" s="629">
        <f t="shared" si="4"/>
        <v>0</v>
      </c>
      <c r="P19" s="885">
        <f>++'P05 2022'!FA11</f>
        <v>0</v>
      </c>
      <c r="Q19" s="899">
        <f t="shared" si="1"/>
        <v>0</v>
      </c>
      <c r="R19" s="723" t="str">
        <f t="shared" si="5"/>
        <v>0,0%</v>
      </c>
      <c r="S19" s="870">
        <v>0</v>
      </c>
      <c r="T19" s="908">
        <v>0</v>
      </c>
      <c r="U19" s="885">
        <v>0</v>
      </c>
      <c r="V19" s="1258">
        <v>0</v>
      </c>
      <c r="W19" s="1459">
        <v>0</v>
      </c>
      <c r="X19" s="1455">
        <v>0</v>
      </c>
      <c r="Y19" s="908">
        <v>0</v>
      </c>
      <c r="Z19" s="908">
        <v>0</v>
      </c>
      <c r="AA19" s="911">
        <v>0</v>
      </c>
      <c r="AB19" s="376">
        <v>0</v>
      </c>
      <c r="AC19" s="575">
        <v>0</v>
      </c>
      <c r="AD19" s="575">
        <v>0</v>
      </c>
      <c r="AE19" s="575">
        <v>0</v>
      </c>
      <c r="AF19" s="908">
        <v>0</v>
      </c>
      <c r="AG19" s="575">
        <v>0</v>
      </c>
      <c r="AH19" s="908">
        <v>0</v>
      </c>
      <c r="AI19" s="243"/>
      <c r="AJ19" s="417"/>
      <c r="AK19" s="417"/>
      <c r="AL19" s="803"/>
      <c r="AM19" s="803"/>
      <c r="AN19" s="417"/>
    </row>
    <row r="20" spans="2:40" ht="15" customHeight="1" x14ac:dyDescent="0.2">
      <c r="B20" s="25"/>
      <c r="C20" s="127"/>
      <c r="D20" s="50">
        <v>106</v>
      </c>
      <c r="E20" s="26"/>
      <c r="F20" s="684">
        <v>2402106</v>
      </c>
      <c r="G20" s="559" t="s">
        <v>742</v>
      </c>
      <c r="H20" s="221">
        <v>0</v>
      </c>
      <c r="I20" s="19">
        <v>0</v>
      </c>
      <c r="J20" s="19">
        <v>0</v>
      </c>
      <c r="K20" s="375" t="str">
        <f t="shared" si="2"/>
        <v>0,00%</v>
      </c>
      <c r="L20" s="99">
        <v>0</v>
      </c>
      <c r="M20" s="738">
        <f t="shared" si="3"/>
        <v>0</v>
      </c>
      <c r="N20" s="99">
        <v>0</v>
      </c>
      <c r="O20" s="629">
        <f t="shared" si="4"/>
        <v>0</v>
      </c>
      <c r="P20" s="885">
        <f>++'P05 2022'!FA12</f>
        <v>0</v>
      </c>
      <c r="Q20" s="899">
        <f t="shared" si="1"/>
        <v>0</v>
      </c>
      <c r="R20" s="723" t="str">
        <f t="shared" si="5"/>
        <v>0,0%</v>
      </c>
      <c r="S20" s="870">
        <v>0</v>
      </c>
      <c r="T20" s="908">
        <v>0</v>
      </c>
      <c r="U20" s="885">
        <v>0</v>
      </c>
      <c r="V20" s="1258">
        <v>0</v>
      </c>
      <c r="W20" s="1459">
        <v>0</v>
      </c>
      <c r="X20" s="1455">
        <v>0</v>
      </c>
      <c r="Y20" s="908">
        <v>0</v>
      </c>
      <c r="Z20" s="908">
        <v>0</v>
      </c>
      <c r="AA20" s="911">
        <v>0</v>
      </c>
      <c r="AB20" s="376">
        <v>0</v>
      </c>
      <c r="AC20" s="575">
        <v>0</v>
      </c>
      <c r="AD20" s="575">
        <v>0</v>
      </c>
      <c r="AE20" s="575">
        <v>0</v>
      </c>
      <c r="AF20" s="908">
        <v>0</v>
      </c>
      <c r="AG20" s="575">
        <v>0</v>
      </c>
      <c r="AH20" s="908">
        <v>0</v>
      </c>
      <c r="AI20" s="243"/>
      <c r="AJ20" s="417"/>
      <c r="AK20" s="417"/>
      <c r="AL20" s="803"/>
      <c r="AM20" s="803"/>
      <c r="AN20" s="417"/>
    </row>
    <row r="21" spans="2:40" ht="15" customHeight="1" x14ac:dyDescent="0.2">
      <c r="B21" s="25"/>
      <c r="C21" s="127"/>
      <c r="D21" s="50">
        <v>107</v>
      </c>
      <c r="E21" s="26"/>
      <c r="F21" s="684">
        <v>2402107</v>
      </c>
      <c r="G21" s="559" t="s">
        <v>635</v>
      </c>
      <c r="H21" s="221">
        <v>0</v>
      </c>
      <c r="I21" s="19">
        <v>0</v>
      </c>
      <c r="J21" s="19">
        <v>0</v>
      </c>
      <c r="K21" s="375" t="str">
        <f t="shared" si="2"/>
        <v>0,00%</v>
      </c>
      <c r="L21" s="99">
        <v>0</v>
      </c>
      <c r="M21" s="738">
        <f t="shared" si="3"/>
        <v>0</v>
      </c>
      <c r="N21" s="99">
        <v>0</v>
      </c>
      <c r="O21" s="629">
        <f t="shared" si="4"/>
        <v>0</v>
      </c>
      <c r="P21" s="885">
        <f>++'P05 2022'!FA13</f>
        <v>0</v>
      </c>
      <c r="Q21" s="899">
        <f t="shared" si="1"/>
        <v>0</v>
      </c>
      <c r="R21" s="723" t="str">
        <f t="shared" si="5"/>
        <v>0,0%</v>
      </c>
      <c r="S21" s="870">
        <v>0</v>
      </c>
      <c r="T21" s="908">
        <v>0</v>
      </c>
      <c r="U21" s="885">
        <v>0</v>
      </c>
      <c r="V21" s="1258">
        <v>0</v>
      </c>
      <c r="W21" s="1459">
        <v>0</v>
      </c>
      <c r="X21" s="1455">
        <v>0</v>
      </c>
      <c r="Y21" s="908">
        <v>0</v>
      </c>
      <c r="Z21" s="908">
        <v>0</v>
      </c>
      <c r="AA21" s="911">
        <v>0</v>
      </c>
      <c r="AB21" s="376">
        <v>0</v>
      </c>
      <c r="AC21" s="575">
        <v>0</v>
      </c>
      <c r="AD21" s="575">
        <v>0</v>
      </c>
      <c r="AE21" s="575">
        <v>0</v>
      </c>
      <c r="AF21" s="908">
        <v>0</v>
      </c>
      <c r="AG21" s="575">
        <v>0</v>
      </c>
      <c r="AH21" s="908">
        <v>0</v>
      </c>
      <c r="AI21" s="243"/>
      <c r="AJ21" s="417"/>
      <c r="AK21" s="417"/>
      <c r="AL21" s="803"/>
      <c r="AM21" s="803"/>
      <c r="AN21" s="417"/>
    </row>
    <row r="22" spans="2:40" ht="15" customHeight="1" x14ac:dyDescent="0.2">
      <c r="B22" s="25"/>
      <c r="C22" s="127"/>
      <c r="D22" s="50"/>
      <c r="E22" s="26"/>
      <c r="F22" s="684" t="s">
        <v>484</v>
      </c>
      <c r="G22" s="559" t="s">
        <v>900</v>
      </c>
      <c r="H22" s="221">
        <v>0</v>
      </c>
      <c r="I22" s="19">
        <v>0</v>
      </c>
      <c r="J22" s="19">
        <v>0</v>
      </c>
      <c r="K22" s="375" t="str">
        <f t="shared" si="2"/>
        <v>0,00%</v>
      </c>
      <c r="L22" s="99">
        <v>0</v>
      </c>
      <c r="M22" s="738">
        <f t="shared" si="3"/>
        <v>0</v>
      </c>
      <c r="N22" s="99">
        <v>0</v>
      </c>
      <c r="O22" s="629">
        <f t="shared" si="4"/>
        <v>0</v>
      </c>
      <c r="P22" s="885">
        <f>++'P05 2022'!FA14</f>
        <v>0</v>
      </c>
      <c r="Q22" s="899">
        <f t="shared" si="1"/>
        <v>0</v>
      </c>
      <c r="R22" s="723" t="str">
        <f t="shared" si="5"/>
        <v>0,0%</v>
      </c>
      <c r="S22" s="870">
        <v>0</v>
      </c>
      <c r="T22" s="908">
        <v>0</v>
      </c>
      <c r="U22" s="885">
        <v>0</v>
      </c>
      <c r="V22" s="1258">
        <v>0</v>
      </c>
      <c r="W22" s="1459">
        <v>0</v>
      </c>
      <c r="X22" s="1455">
        <v>0</v>
      </c>
      <c r="Y22" s="908">
        <v>0</v>
      </c>
      <c r="Z22" s="908">
        <v>0</v>
      </c>
      <c r="AA22" s="911">
        <v>0</v>
      </c>
      <c r="AB22" s="376">
        <v>0</v>
      </c>
      <c r="AC22" s="575">
        <v>0</v>
      </c>
      <c r="AD22" s="575">
        <v>0</v>
      </c>
      <c r="AE22" s="575">
        <v>0</v>
      </c>
      <c r="AF22" s="908">
        <v>0</v>
      </c>
      <c r="AG22" s="575">
        <v>0</v>
      </c>
      <c r="AH22" s="908">
        <v>0</v>
      </c>
      <c r="AI22" s="243"/>
      <c r="AJ22" s="417"/>
      <c r="AK22" s="417"/>
      <c r="AL22" s="803"/>
      <c r="AM22" s="803"/>
      <c r="AN22" s="417"/>
    </row>
    <row r="23" spans="2:40" ht="15" customHeight="1" x14ac:dyDescent="0.2">
      <c r="B23" s="25"/>
      <c r="C23" s="127"/>
      <c r="D23" s="50">
        <v>109</v>
      </c>
      <c r="E23" s="26"/>
      <c r="F23" s="684">
        <v>2402109</v>
      </c>
      <c r="G23" s="559" t="s">
        <v>743</v>
      </c>
      <c r="H23" s="221">
        <v>0</v>
      </c>
      <c r="I23" s="19">
        <v>0</v>
      </c>
      <c r="J23" s="19">
        <v>0</v>
      </c>
      <c r="K23" s="375" t="str">
        <f t="shared" si="2"/>
        <v>0,00%</v>
      </c>
      <c r="L23" s="99">
        <v>0</v>
      </c>
      <c r="M23" s="738">
        <f t="shared" si="3"/>
        <v>0</v>
      </c>
      <c r="N23" s="99">
        <v>0</v>
      </c>
      <c r="O23" s="629">
        <f t="shared" si="4"/>
        <v>0</v>
      </c>
      <c r="P23" s="885">
        <f>++'P05 2022'!FA15</f>
        <v>0</v>
      </c>
      <c r="Q23" s="899">
        <f t="shared" si="1"/>
        <v>0</v>
      </c>
      <c r="R23" s="723" t="str">
        <f t="shared" si="5"/>
        <v>0,0%</v>
      </c>
      <c r="S23" s="870">
        <v>0</v>
      </c>
      <c r="T23" s="908">
        <v>0</v>
      </c>
      <c r="U23" s="885">
        <v>0</v>
      </c>
      <c r="V23" s="1258">
        <v>0</v>
      </c>
      <c r="W23" s="1459">
        <v>0</v>
      </c>
      <c r="X23" s="1455">
        <v>0</v>
      </c>
      <c r="Y23" s="908">
        <v>0</v>
      </c>
      <c r="Z23" s="908">
        <v>0</v>
      </c>
      <c r="AA23" s="911">
        <v>0</v>
      </c>
      <c r="AB23" s="376">
        <v>0</v>
      </c>
      <c r="AC23" s="575">
        <v>0</v>
      </c>
      <c r="AD23" s="575">
        <v>0</v>
      </c>
      <c r="AE23" s="575">
        <v>0</v>
      </c>
      <c r="AF23" s="908">
        <v>0</v>
      </c>
      <c r="AG23" s="575">
        <v>0</v>
      </c>
      <c r="AH23" s="908">
        <v>0</v>
      </c>
      <c r="AI23" s="243"/>
      <c r="AJ23" s="417"/>
      <c r="AK23" s="417"/>
      <c r="AL23" s="803"/>
      <c r="AM23" s="803"/>
      <c r="AN23" s="417"/>
    </row>
    <row r="24" spans="2:40" ht="15" customHeight="1" x14ac:dyDescent="0.2">
      <c r="B24" s="25"/>
      <c r="C24" s="127"/>
      <c r="D24" s="50">
        <v>110</v>
      </c>
      <c r="E24" s="26"/>
      <c r="F24" s="684">
        <v>2402110</v>
      </c>
      <c r="G24" s="559" t="s">
        <v>744</v>
      </c>
      <c r="H24" s="221">
        <v>0</v>
      </c>
      <c r="I24" s="19">
        <v>0</v>
      </c>
      <c r="J24" s="19">
        <v>0</v>
      </c>
      <c r="K24" s="375" t="str">
        <f t="shared" si="2"/>
        <v>0,00%</v>
      </c>
      <c r="L24" s="99">
        <v>0</v>
      </c>
      <c r="M24" s="738">
        <f t="shared" si="3"/>
        <v>0</v>
      </c>
      <c r="N24" s="99">
        <v>0</v>
      </c>
      <c r="O24" s="629">
        <f t="shared" si="4"/>
        <v>0</v>
      </c>
      <c r="P24" s="885">
        <f>++'P05 2022'!FA16</f>
        <v>0</v>
      </c>
      <c r="Q24" s="899">
        <f t="shared" si="1"/>
        <v>0</v>
      </c>
      <c r="R24" s="723" t="str">
        <f t="shared" si="5"/>
        <v>0,0%</v>
      </c>
      <c r="S24" s="870">
        <v>0</v>
      </c>
      <c r="T24" s="908">
        <v>0</v>
      </c>
      <c r="U24" s="885">
        <v>0</v>
      </c>
      <c r="V24" s="1258">
        <v>0</v>
      </c>
      <c r="W24" s="1459">
        <v>0</v>
      </c>
      <c r="X24" s="1455">
        <v>0</v>
      </c>
      <c r="Y24" s="908">
        <v>0</v>
      </c>
      <c r="Z24" s="908">
        <v>0</v>
      </c>
      <c r="AA24" s="911">
        <v>0</v>
      </c>
      <c r="AB24" s="376">
        <v>0</v>
      </c>
      <c r="AC24" s="575">
        <v>0</v>
      </c>
      <c r="AD24" s="575">
        <v>0</v>
      </c>
      <c r="AE24" s="575">
        <v>0</v>
      </c>
      <c r="AF24" s="908">
        <v>0</v>
      </c>
      <c r="AG24" s="575">
        <v>0</v>
      </c>
      <c r="AH24" s="908">
        <v>0</v>
      </c>
      <c r="AI24" s="243"/>
      <c r="AJ24" s="417"/>
      <c r="AK24" s="417"/>
      <c r="AL24" s="803"/>
      <c r="AM24" s="803"/>
      <c r="AN24" s="417"/>
    </row>
    <row r="25" spans="2:40" ht="15" customHeight="1" x14ac:dyDescent="0.2">
      <c r="B25" s="25"/>
      <c r="C25" s="127"/>
      <c r="D25" s="50"/>
      <c r="E25" s="26"/>
      <c r="F25" s="755" t="s">
        <v>485</v>
      </c>
      <c r="G25" s="559" t="s">
        <v>646</v>
      </c>
      <c r="H25" s="221">
        <v>0</v>
      </c>
      <c r="I25" s="19">
        <v>0</v>
      </c>
      <c r="J25" s="19">
        <v>0</v>
      </c>
      <c r="K25" s="375" t="str">
        <f t="shared" si="2"/>
        <v>0,00%</v>
      </c>
      <c r="L25" s="99">
        <v>0</v>
      </c>
      <c r="M25" s="738">
        <f t="shared" si="3"/>
        <v>0</v>
      </c>
      <c r="N25" s="99">
        <v>0</v>
      </c>
      <c r="O25" s="629">
        <f t="shared" si="4"/>
        <v>0</v>
      </c>
      <c r="P25" s="885">
        <f>++'P05 2022'!FA17</f>
        <v>0</v>
      </c>
      <c r="Q25" s="899">
        <f t="shared" si="1"/>
        <v>0</v>
      </c>
      <c r="R25" s="723" t="str">
        <f t="shared" si="5"/>
        <v>0,0%</v>
      </c>
      <c r="S25" s="870">
        <v>0</v>
      </c>
      <c r="T25" s="908">
        <v>0</v>
      </c>
      <c r="U25" s="885">
        <v>0</v>
      </c>
      <c r="V25" s="1258">
        <v>0</v>
      </c>
      <c r="W25" s="1459">
        <v>0</v>
      </c>
      <c r="X25" s="1455">
        <v>0</v>
      </c>
      <c r="Y25" s="908">
        <v>0</v>
      </c>
      <c r="Z25" s="908">
        <v>0</v>
      </c>
      <c r="AA25" s="911">
        <v>0</v>
      </c>
      <c r="AB25" s="376">
        <v>0</v>
      </c>
      <c r="AC25" s="575">
        <v>0</v>
      </c>
      <c r="AD25" s="575">
        <v>0</v>
      </c>
      <c r="AE25" s="575">
        <v>0</v>
      </c>
      <c r="AF25" s="908">
        <v>0</v>
      </c>
      <c r="AG25" s="575">
        <v>0</v>
      </c>
      <c r="AH25" s="908">
        <v>0</v>
      </c>
      <c r="AI25" s="243"/>
      <c r="AJ25" s="417"/>
      <c r="AK25" s="417"/>
      <c r="AL25" s="803"/>
      <c r="AM25" s="803"/>
      <c r="AN25" s="417"/>
    </row>
    <row r="26" spans="2:40" ht="15" customHeight="1" x14ac:dyDescent="0.2">
      <c r="B26" s="25"/>
      <c r="C26" s="127"/>
      <c r="D26" s="50">
        <v>112</v>
      </c>
      <c r="E26" s="26"/>
      <c r="F26" s="684">
        <v>2402112</v>
      </c>
      <c r="G26" s="559" t="s">
        <v>745</v>
      </c>
      <c r="H26" s="221">
        <v>0</v>
      </c>
      <c r="I26" s="19">
        <v>0</v>
      </c>
      <c r="J26" s="19">
        <v>0</v>
      </c>
      <c r="K26" s="375" t="str">
        <f t="shared" si="2"/>
        <v>0,00%</v>
      </c>
      <c r="L26" s="99">
        <v>0</v>
      </c>
      <c r="M26" s="738">
        <f t="shared" si="3"/>
        <v>0</v>
      </c>
      <c r="N26" s="99">
        <v>0</v>
      </c>
      <c r="O26" s="629">
        <f t="shared" si="4"/>
        <v>0</v>
      </c>
      <c r="P26" s="885">
        <f>++'P05 2022'!FA18</f>
        <v>0</v>
      </c>
      <c r="Q26" s="899">
        <f t="shared" si="1"/>
        <v>0</v>
      </c>
      <c r="R26" s="723" t="str">
        <f t="shared" si="5"/>
        <v>0,0%</v>
      </c>
      <c r="S26" s="870">
        <v>0</v>
      </c>
      <c r="T26" s="908">
        <v>0</v>
      </c>
      <c r="U26" s="885">
        <v>0</v>
      </c>
      <c r="V26" s="1258">
        <v>0</v>
      </c>
      <c r="W26" s="1459">
        <v>0</v>
      </c>
      <c r="X26" s="1455">
        <v>0</v>
      </c>
      <c r="Y26" s="908">
        <v>0</v>
      </c>
      <c r="Z26" s="908">
        <v>0</v>
      </c>
      <c r="AA26" s="911">
        <v>0</v>
      </c>
      <c r="AB26" s="376">
        <v>0</v>
      </c>
      <c r="AC26" s="575">
        <v>0</v>
      </c>
      <c r="AD26" s="575">
        <v>0</v>
      </c>
      <c r="AE26" s="575">
        <v>0</v>
      </c>
      <c r="AF26" s="908">
        <v>0</v>
      </c>
      <c r="AG26" s="575">
        <v>0</v>
      </c>
      <c r="AH26" s="908">
        <v>0</v>
      </c>
      <c r="AI26" s="243"/>
      <c r="AJ26" s="417"/>
      <c r="AK26" s="417"/>
      <c r="AL26" s="803"/>
      <c r="AM26" s="803"/>
      <c r="AN26" s="417"/>
    </row>
    <row r="27" spans="2:40" ht="15" customHeight="1" x14ac:dyDescent="0.2">
      <c r="B27" s="25"/>
      <c r="C27" s="127"/>
      <c r="D27" s="50">
        <v>113</v>
      </c>
      <c r="E27" s="26"/>
      <c r="F27" s="684">
        <v>2402113</v>
      </c>
      <c r="G27" s="559" t="s">
        <v>746</v>
      </c>
      <c r="H27" s="221">
        <v>0</v>
      </c>
      <c r="I27" s="19">
        <v>0</v>
      </c>
      <c r="J27" s="19">
        <v>0</v>
      </c>
      <c r="K27" s="375" t="str">
        <f t="shared" si="2"/>
        <v>0,00%</v>
      </c>
      <c r="L27" s="99">
        <v>0</v>
      </c>
      <c r="M27" s="738">
        <f t="shared" si="3"/>
        <v>0</v>
      </c>
      <c r="N27" s="99">
        <v>0</v>
      </c>
      <c r="O27" s="629">
        <f t="shared" si="4"/>
        <v>0</v>
      </c>
      <c r="P27" s="885">
        <f>++'P05 2022'!FA19</f>
        <v>0</v>
      </c>
      <c r="Q27" s="899">
        <f t="shared" si="1"/>
        <v>0</v>
      </c>
      <c r="R27" s="723" t="str">
        <f t="shared" si="5"/>
        <v>0,0%</v>
      </c>
      <c r="S27" s="870">
        <v>0</v>
      </c>
      <c r="T27" s="908">
        <v>0</v>
      </c>
      <c r="U27" s="885">
        <v>0</v>
      </c>
      <c r="V27" s="1258">
        <v>0</v>
      </c>
      <c r="W27" s="1459">
        <v>0</v>
      </c>
      <c r="X27" s="1455">
        <v>0</v>
      </c>
      <c r="Y27" s="908">
        <v>0</v>
      </c>
      <c r="Z27" s="908">
        <v>0</v>
      </c>
      <c r="AA27" s="911">
        <v>0</v>
      </c>
      <c r="AB27" s="376">
        <v>0</v>
      </c>
      <c r="AC27" s="575">
        <v>0</v>
      </c>
      <c r="AD27" s="575">
        <v>0</v>
      </c>
      <c r="AE27" s="575">
        <v>0</v>
      </c>
      <c r="AF27" s="908">
        <v>0</v>
      </c>
      <c r="AG27" s="575">
        <v>0</v>
      </c>
      <c r="AH27" s="908">
        <v>0</v>
      </c>
      <c r="AI27" s="243"/>
      <c r="AJ27" s="417"/>
      <c r="AK27" s="417"/>
      <c r="AL27" s="803"/>
      <c r="AM27" s="803"/>
      <c r="AN27" s="417"/>
    </row>
    <row r="28" spans="2:40" ht="15" customHeight="1" x14ac:dyDescent="0.2">
      <c r="B28" s="25"/>
      <c r="C28" s="127"/>
      <c r="D28" s="50">
        <v>114</v>
      </c>
      <c r="E28" s="26"/>
      <c r="F28" s="684">
        <v>2402114</v>
      </c>
      <c r="G28" s="559" t="s">
        <v>747</v>
      </c>
      <c r="H28" s="221">
        <v>0</v>
      </c>
      <c r="I28" s="19">
        <v>0</v>
      </c>
      <c r="J28" s="19">
        <v>0</v>
      </c>
      <c r="K28" s="375" t="str">
        <f t="shared" si="2"/>
        <v>0,00%</v>
      </c>
      <c r="L28" s="99">
        <v>0</v>
      </c>
      <c r="M28" s="738">
        <f t="shared" si="3"/>
        <v>0</v>
      </c>
      <c r="N28" s="99">
        <v>0</v>
      </c>
      <c r="O28" s="629">
        <f>+IFERROR(N28/I28,0)</f>
        <v>0</v>
      </c>
      <c r="P28" s="885">
        <f>++'P05 2022'!FA20</f>
        <v>0</v>
      </c>
      <c r="Q28" s="899">
        <f t="shared" si="1"/>
        <v>0</v>
      </c>
      <c r="R28" s="723" t="str">
        <f t="shared" si="5"/>
        <v>0,0%</v>
      </c>
      <c r="S28" s="870">
        <v>0</v>
      </c>
      <c r="T28" s="908">
        <v>0</v>
      </c>
      <c r="U28" s="885">
        <v>0</v>
      </c>
      <c r="V28" s="1258">
        <v>0</v>
      </c>
      <c r="W28" s="1459">
        <v>0</v>
      </c>
      <c r="X28" s="1455">
        <v>0</v>
      </c>
      <c r="Y28" s="908">
        <v>0</v>
      </c>
      <c r="Z28" s="908">
        <v>0</v>
      </c>
      <c r="AA28" s="911">
        <v>0</v>
      </c>
      <c r="AB28" s="376">
        <v>0</v>
      </c>
      <c r="AC28" s="575">
        <v>0</v>
      </c>
      <c r="AD28" s="575">
        <v>0</v>
      </c>
      <c r="AE28" s="575">
        <v>0</v>
      </c>
      <c r="AF28" s="908">
        <v>0</v>
      </c>
      <c r="AG28" s="575">
        <v>0</v>
      </c>
      <c r="AH28" s="908">
        <v>0</v>
      </c>
      <c r="AI28" s="5"/>
      <c r="AJ28" s="417"/>
      <c r="AK28" s="417"/>
      <c r="AL28" s="803"/>
      <c r="AM28" s="803"/>
      <c r="AN28" s="417"/>
    </row>
    <row r="29" spans="2:40" ht="15" customHeight="1" x14ac:dyDescent="0.2">
      <c r="B29" s="25"/>
      <c r="C29" s="127"/>
      <c r="D29" s="50">
        <v>115</v>
      </c>
      <c r="E29" s="26"/>
      <c r="F29" s="684">
        <v>2402115</v>
      </c>
      <c r="G29" s="559" t="s">
        <v>748</v>
      </c>
      <c r="H29" s="221">
        <v>0</v>
      </c>
      <c r="I29" s="19">
        <v>0</v>
      </c>
      <c r="J29" s="19">
        <v>0</v>
      </c>
      <c r="K29" s="375" t="str">
        <f t="shared" si="2"/>
        <v>0,00%</v>
      </c>
      <c r="L29" s="99">
        <v>0</v>
      </c>
      <c r="M29" s="738">
        <f t="shared" si="3"/>
        <v>0</v>
      </c>
      <c r="N29" s="99">
        <v>0</v>
      </c>
      <c r="O29" s="629">
        <f t="shared" ref="O29:O35" si="6">+IFERROR(N29/I29,0)</f>
        <v>0</v>
      </c>
      <c r="P29" s="885">
        <f>++'P05 2022'!FA21</f>
        <v>0</v>
      </c>
      <c r="Q29" s="899">
        <f t="shared" si="1"/>
        <v>0</v>
      </c>
      <c r="R29" s="723" t="str">
        <f t="shared" si="5"/>
        <v>0,0%</v>
      </c>
      <c r="S29" s="870">
        <v>0</v>
      </c>
      <c r="T29" s="908">
        <v>0</v>
      </c>
      <c r="U29" s="885">
        <v>0</v>
      </c>
      <c r="V29" s="1258">
        <v>0</v>
      </c>
      <c r="W29" s="1459">
        <v>0</v>
      </c>
      <c r="X29" s="1455">
        <v>0</v>
      </c>
      <c r="Y29" s="908">
        <v>0</v>
      </c>
      <c r="Z29" s="908">
        <v>0</v>
      </c>
      <c r="AA29" s="911">
        <v>0</v>
      </c>
      <c r="AB29" s="376">
        <v>0</v>
      </c>
      <c r="AC29" s="575">
        <v>0</v>
      </c>
      <c r="AD29" s="575">
        <v>0</v>
      </c>
      <c r="AE29" s="575">
        <v>0</v>
      </c>
      <c r="AF29" s="908">
        <v>0</v>
      </c>
      <c r="AG29" s="575">
        <v>0</v>
      </c>
      <c r="AH29" s="908">
        <v>0</v>
      </c>
      <c r="AI29" s="5"/>
      <c r="AJ29" s="417"/>
      <c r="AK29" s="417"/>
      <c r="AL29" s="803"/>
      <c r="AM29" s="803"/>
      <c r="AN29" s="417"/>
    </row>
    <row r="30" spans="2:40" ht="15" customHeight="1" x14ac:dyDescent="0.2">
      <c r="B30" s="25"/>
      <c r="C30" s="127"/>
      <c r="D30" s="50"/>
      <c r="E30" s="26"/>
      <c r="F30" s="684">
        <v>2402116</v>
      </c>
      <c r="G30" s="559" t="s">
        <v>636</v>
      </c>
      <c r="H30" s="221">
        <v>0</v>
      </c>
      <c r="I30" s="19">
        <v>0</v>
      </c>
      <c r="J30" s="19">
        <v>0</v>
      </c>
      <c r="K30" s="375" t="str">
        <f t="shared" si="2"/>
        <v>0,00%</v>
      </c>
      <c r="L30" s="99">
        <v>0</v>
      </c>
      <c r="M30" s="738">
        <f t="shared" si="3"/>
        <v>0</v>
      </c>
      <c r="N30" s="99">
        <v>0</v>
      </c>
      <c r="O30" s="629">
        <f t="shared" si="6"/>
        <v>0</v>
      </c>
      <c r="P30" s="885">
        <f>++'P05 2022'!FA22</f>
        <v>0</v>
      </c>
      <c r="Q30" s="899">
        <f t="shared" si="1"/>
        <v>0</v>
      </c>
      <c r="R30" s="723" t="str">
        <f t="shared" si="5"/>
        <v>0,0%</v>
      </c>
      <c r="S30" s="870">
        <v>0</v>
      </c>
      <c r="T30" s="908">
        <v>0</v>
      </c>
      <c r="U30" s="885">
        <v>0</v>
      </c>
      <c r="V30" s="1258">
        <v>0</v>
      </c>
      <c r="W30" s="1459">
        <v>0</v>
      </c>
      <c r="X30" s="1455">
        <v>0</v>
      </c>
      <c r="Y30" s="908">
        <v>0</v>
      </c>
      <c r="Z30" s="908">
        <v>0</v>
      </c>
      <c r="AA30" s="911">
        <v>0</v>
      </c>
      <c r="AB30" s="376">
        <v>0</v>
      </c>
      <c r="AC30" s="575">
        <v>0</v>
      </c>
      <c r="AD30" s="575">
        <v>0</v>
      </c>
      <c r="AE30" s="575">
        <v>0</v>
      </c>
      <c r="AF30" s="908">
        <v>0</v>
      </c>
      <c r="AG30" s="575">
        <v>0</v>
      </c>
      <c r="AH30" s="908">
        <v>0</v>
      </c>
      <c r="AI30" s="5"/>
      <c r="AJ30" s="829"/>
      <c r="AK30" s="417"/>
      <c r="AL30" s="830"/>
      <c r="AN30" s="417"/>
    </row>
    <row r="31" spans="2:40" ht="15" customHeight="1" x14ac:dyDescent="0.2">
      <c r="B31" s="25"/>
      <c r="C31" s="127"/>
      <c r="D31" s="50">
        <v>914</v>
      </c>
      <c r="E31" s="26"/>
      <c r="F31" s="684">
        <v>2402914</v>
      </c>
      <c r="G31" s="559" t="s">
        <v>539</v>
      </c>
      <c r="H31" s="221">
        <v>0</v>
      </c>
      <c r="I31" s="19">
        <v>0</v>
      </c>
      <c r="J31" s="19">
        <v>0</v>
      </c>
      <c r="K31" s="375" t="str">
        <f t="shared" si="2"/>
        <v>0,00%</v>
      </c>
      <c r="L31" s="99">
        <v>0</v>
      </c>
      <c r="M31" s="738">
        <f t="shared" si="3"/>
        <v>0</v>
      </c>
      <c r="N31" s="99">
        <v>0</v>
      </c>
      <c r="O31" s="629">
        <f t="shared" si="6"/>
        <v>0</v>
      </c>
      <c r="P31" s="885">
        <f>++'P05 2022'!FA23</f>
        <v>0</v>
      </c>
      <c r="Q31" s="899">
        <f t="shared" si="1"/>
        <v>0</v>
      </c>
      <c r="R31" s="723" t="str">
        <f t="shared" si="5"/>
        <v>0,0%</v>
      </c>
      <c r="S31" s="870">
        <v>0</v>
      </c>
      <c r="T31" s="908">
        <v>0</v>
      </c>
      <c r="U31" s="885">
        <v>0</v>
      </c>
      <c r="V31" s="1258">
        <v>0</v>
      </c>
      <c r="W31" s="1459">
        <v>0</v>
      </c>
      <c r="X31" s="1455">
        <v>0</v>
      </c>
      <c r="Y31" s="908">
        <v>0</v>
      </c>
      <c r="Z31" s="908">
        <v>0</v>
      </c>
      <c r="AA31" s="911">
        <v>0</v>
      </c>
      <c r="AB31" s="376">
        <v>0</v>
      </c>
      <c r="AC31" s="575">
        <v>0</v>
      </c>
      <c r="AD31" s="575">
        <v>0</v>
      </c>
      <c r="AE31" s="575">
        <v>0</v>
      </c>
      <c r="AF31" s="908">
        <v>0</v>
      </c>
      <c r="AG31" s="575">
        <v>0</v>
      </c>
      <c r="AH31" s="908">
        <v>0</v>
      </c>
      <c r="AI31" s="5"/>
      <c r="AJ31" s="829"/>
      <c r="AK31" s="417"/>
      <c r="AL31" s="830"/>
      <c r="AN31" s="417"/>
    </row>
    <row r="32" spans="2:40" ht="15" customHeight="1" x14ac:dyDescent="0.2">
      <c r="B32" s="21">
        <v>25</v>
      </c>
      <c r="C32" s="22"/>
      <c r="D32" s="22"/>
      <c r="E32" s="103"/>
      <c r="F32" s="683"/>
      <c r="G32" s="558" t="s">
        <v>546</v>
      </c>
      <c r="H32" s="222">
        <f>+H33</f>
        <v>0</v>
      </c>
      <c r="I32" s="17">
        <f>+I33</f>
        <v>0</v>
      </c>
      <c r="J32" s="17">
        <f ca="1">+J33</f>
        <v>0</v>
      </c>
      <c r="K32" s="377" t="str">
        <f ca="1">IFERROR(J32/I32,"0,0%")</f>
        <v>0,0%</v>
      </c>
      <c r="L32" s="17">
        <f>+L33</f>
        <v>0</v>
      </c>
      <c r="M32" s="737">
        <f>IFERROR(L32/I32,0)</f>
        <v>0</v>
      </c>
      <c r="N32" s="17">
        <f>+N33</f>
        <v>0</v>
      </c>
      <c r="O32" s="323">
        <f>+IFERROR(N32/I32,0)</f>
        <v>0</v>
      </c>
      <c r="P32" s="886">
        <f>+P33</f>
        <v>0</v>
      </c>
      <c r="Q32" s="900">
        <f ca="1">SUMIF(T$3:$AH11,"SI",T32:AH32)</f>
        <v>0</v>
      </c>
      <c r="R32" s="722" t="str">
        <f ca="1">IFERROR(Q32/P32,"0,0%")</f>
        <v>0,0%</v>
      </c>
      <c r="S32" s="869">
        <v>0</v>
      </c>
      <c r="T32" s="871">
        <f t="shared" ref="T32:V32" si="7">SUM(T33:T41)</f>
        <v>0</v>
      </c>
      <c r="U32" s="869">
        <v>0</v>
      </c>
      <c r="V32" s="869">
        <f t="shared" ca="1" si="7"/>
        <v>0</v>
      </c>
      <c r="W32" s="1346">
        <v>0</v>
      </c>
      <c r="X32" s="379">
        <v>0</v>
      </c>
      <c r="Y32" s="869">
        <v>0</v>
      </c>
      <c r="Z32" s="869">
        <v>0</v>
      </c>
      <c r="AA32" s="146">
        <f>+AA33</f>
        <v>1376955</v>
      </c>
      <c r="AB32" s="247">
        <f>+AB33</f>
        <v>116132</v>
      </c>
      <c r="AC32" s="385">
        <v>0</v>
      </c>
      <c r="AD32" s="384">
        <v>0</v>
      </c>
      <c r="AE32" s="384">
        <v>0</v>
      </c>
      <c r="AF32" s="869">
        <v>0</v>
      </c>
      <c r="AG32" s="384">
        <v>0</v>
      </c>
      <c r="AH32" s="915">
        <v>0</v>
      </c>
      <c r="AI32" s="5"/>
      <c r="AN32" s="417"/>
    </row>
    <row r="33" spans="2:40" ht="15" customHeight="1" x14ac:dyDescent="0.2">
      <c r="B33" s="126"/>
      <c r="C33" s="127">
        <v>99</v>
      </c>
      <c r="D33" s="127"/>
      <c r="E33" s="30"/>
      <c r="F33" s="684"/>
      <c r="G33" s="559" t="s">
        <v>545</v>
      </c>
      <c r="H33" s="219">
        <v>0</v>
      </c>
      <c r="I33" s="435">
        <v>0</v>
      </c>
      <c r="J33" s="435">
        <f ca="1">SUMIF(T$3:$AH11,"ok",T33:AH33)</f>
        <v>0</v>
      </c>
      <c r="K33" s="375" t="str">
        <f ca="1">IFERROR(J33/#REF!,"0.00%")</f>
        <v>0.00%</v>
      </c>
      <c r="L33" s="99">
        <v>0</v>
      </c>
      <c r="M33" s="738">
        <f>IFERROR(L33/#REF!,0)</f>
        <v>0</v>
      </c>
      <c r="N33" s="99">
        <f>+I33-L33</f>
        <v>0</v>
      </c>
      <c r="O33" s="629">
        <f t="shared" si="6"/>
        <v>0</v>
      </c>
      <c r="P33" s="887">
        <f>++'P05 2022'!FA24</f>
        <v>0</v>
      </c>
      <c r="Q33" s="901">
        <f>SUMIF(S$3:$AH3,"SI",S33:AH33)</f>
        <v>0</v>
      </c>
      <c r="R33" s="724" t="str">
        <f>IFERROR(Q33/P33,"0,0%")</f>
        <v>0,0%</v>
      </c>
      <c r="S33" s="870">
        <v>0</v>
      </c>
      <c r="T33" s="870">
        <v>0</v>
      </c>
      <c r="U33" s="885">
        <v>0</v>
      </c>
      <c r="V33" s="1258">
        <v>0</v>
      </c>
      <c r="W33" s="1460">
        <v>0</v>
      </c>
      <c r="X33" s="1456">
        <v>0</v>
      </c>
      <c r="Y33" s="870">
        <v>0</v>
      </c>
      <c r="Z33" s="870">
        <v>0</v>
      </c>
      <c r="AA33" s="245">
        <f>+'P05 2022'!AR4</f>
        <v>1376955</v>
      </c>
      <c r="AB33" s="573">
        <f>+'P05 2022'!BT4</f>
        <v>116132</v>
      </c>
      <c r="AC33" s="578">
        <v>0</v>
      </c>
      <c r="AD33" s="573">
        <v>0</v>
      </c>
      <c r="AE33" s="573">
        <v>0</v>
      </c>
      <c r="AF33" s="870">
        <v>0</v>
      </c>
      <c r="AG33" s="573">
        <v>0</v>
      </c>
      <c r="AH33" s="870">
        <v>0</v>
      </c>
      <c r="AI33" s="5"/>
      <c r="AJ33" s="829"/>
      <c r="AK33" s="417"/>
      <c r="AL33" s="830"/>
      <c r="AN33" s="417"/>
    </row>
    <row r="34" spans="2:40" ht="15" customHeight="1" x14ac:dyDescent="0.2">
      <c r="B34" s="21">
        <v>33</v>
      </c>
      <c r="C34" s="22" t="s">
        <v>2</v>
      </c>
      <c r="D34" s="23"/>
      <c r="E34" s="24"/>
      <c r="F34" s="192"/>
      <c r="G34" s="558" t="s">
        <v>150</v>
      </c>
      <c r="H34" s="222">
        <f>+H35+H58</f>
        <v>113525861</v>
      </c>
      <c r="I34" s="17">
        <f>+I35+I58</f>
        <v>103303834</v>
      </c>
      <c r="J34" s="20">
        <f ca="1">+J35+J58</f>
        <v>0</v>
      </c>
      <c r="K34" s="323">
        <f ca="1">IFERROR(J34/I34,"0,0%")</f>
        <v>0</v>
      </c>
      <c r="L34" s="20">
        <f>+L35</f>
        <v>0</v>
      </c>
      <c r="M34" s="739">
        <f>IFERROR(L34/I34,0)</f>
        <v>0</v>
      </c>
      <c r="N34" s="256">
        <f>+I34-L34</f>
        <v>103303834</v>
      </c>
      <c r="O34" s="323">
        <f t="shared" si="6"/>
        <v>1</v>
      </c>
      <c r="P34" s="877">
        <f>+P35+P58</f>
        <v>83397390.746000007</v>
      </c>
      <c r="Q34" s="897">
        <f ca="1">+Q35+Q58</f>
        <v>0</v>
      </c>
      <c r="R34" s="722">
        <f ca="1">IFERROR(Q34/P34,"0,00%")</f>
        <v>0</v>
      </c>
      <c r="S34" s="869">
        <v>0</v>
      </c>
      <c r="T34" s="869">
        <f t="shared" ref="T34:AB34" si="8">+T35+T58</f>
        <v>0</v>
      </c>
      <c r="U34" s="869">
        <v>0</v>
      </c>
      <c r="V34" s="869">
        <f t="shared" ca="1" si="8"/>
        <v>0</v>
      </c>
      <c r="W34" s="242">
        <v>0</v>
      </c>
      <c r="X34" s="1454">
        <v>0</v>
      </c>
      <c r="Y34" s="869">
        <f t="shared" ref="Y34" si="9">+Y35+Y58</f>
        <v>0</v>
      </c>
      <c r="Z34" s="869">
        <f t="shared" si="8"/>
        <v>0</v>
      </c>
      <c r="AA34" s="146">
        <f t="shared" si="8"/>
        <v>0</v>
      </c>
      <c r="AB34" s="242">
        <f t="shared" si="8"/>
        <v>0</v>
      </c>
      <c r="AC34" s="384">
        <v>0</v>
      </c>
      <c r="AD34" s="384">
        <v>0</v>
      </c>
      <c r="AE34" s="384">
        <v>0</v>
      </c>
      <c r="AF34" s="869">
        <f>+AF35</f>
        <v>4635810</v>
      </c>
      <c r="AG34" s="384">
        <v>0</v>
      </c>
      <c r="AH34" s="869">
        <v>0</v>
      </c>
      <c r="AI34" s="5"/>
      <c r="AN34" s="417"/>
    </row>
    <row r="35" spans="2:40" ht="15" customHeight="1" x14ac:dyDescent="0.2">
      <c r="B35" s="21"/>
      <c r="C35" s="27" t="s">
        <v>164</v>
      </c>
      <c r="D35" s="28"/>
      <c r="E35" s="24"/>
      <c r="F35" s="192"/>
      <c r="G35" s="558" t="s">
        <v>86</v>
      </c>
      <c r="H35" s="222">
        <f>SUM(H36:H57)</f>
        <v>0</v>
      </c>
      <c r="I35" s="17">
        <f>SUM(I36:I57)</f>
        <v>17013352</v>
      </c>
      <c r="J35" s="17">
        <f ca="1">SUM(J36:J57)</f>
        <v>0</v>
      </c>
      <c r="K35" s="323">
        <f ca="1">IFERROR(J35/I35,"0,0%")</f>
        <v>0</v>
      </c>
      <c r="L35" s="20">
        <f>SUM(L36:L57)</f>
        <v>0</v>
      </c>
      <c r="M35" s="739">
        <f>IFERROR(L35/I35,0)</f>
        <v>0</v>
      </c>
      <c r="N35" s="17">
        <f>+I35-L35</f>
        <v>17013352</v>
      </c>
      <c r="O35" s="323">
        <f t="shared" si="6"/>
        <v>1</v>
      </c>
      <c r="P35" s="877">
        <f>+SUM(P36:P57)</f>
        <v>3040575.4359999998</v>
      </c>
      <c r="Q35" s="898">
        <f ca="1">SUM(Q36:Q57)</f>
        <v>0</v>
      </c>
      <c r="R35" s="725">
        <f t="shared" ref="R35:R56" ca="1" si="10">IFERROR(Q35/P35,"0.00%")</f>
        <v>0</v>
      </c>
      <c r="S35" s="869">
        <v>0</v>
      </c>
      <c r="T35" s="869">
        <f t="shared" ref="T35:AB35" si="11">SUM(T36:T50)</f>
        <v>0</v>
      </c>
      <c r="U35" s="869">
        <v>0</v>
      </c>
      <c r="V35" s="869">
        <f t="shared" si="11"/>
        <v>0</v>
      </c>
      <c r="W35" s="242">
        <v>0</v>
      </c>
      <c r="X35" s="1454">
        <v>0</v>
      </c>
      <c r="Y35" s="869">
        <f t="shared" ref="Y35" si="12">SUM(Y36:Y50)</f>
        <v>0</v>
      </c>
      <c r="Z35" s="869">
        <f t="shared" si="11"/>
        <v>0</v>
      </c>
      <c r="AA35" s="146">
        <f t="shared" si="11"/>
        <v>0</v>
      </c>
      <c r="AB35" s="242">
        <f t="shared" si="11"/>
        <v>0</v>
      </c>
      <c r="AC35" s="384">
        <v>0</v>
      </c>
      <c r="AD35" s="384">
        <v>0</v>
      </c>
      <c r="AE35" s="384">
        <v>0</v>
      </c>
      <c r="AF35" s="869">
        <f>SUM(AF36:AF57)</f>
        <v>4635810</v>
      </c>
      <c r="AG35" s="384">
        <v>0</v>
      </c>
      <c r="AH35" s="869">
        <f>SUM(AH36:AH57)</f>
        <v>33073588</v>
      </c>
      <c r="AI35" s="5"/>
      <c r="AN35" s="417"/>
    </row>
    <row r="36" spans="2:40" ht="15" customHeight="1" x14ac:dyDescent="0.2">
      <c r="B36" s="25"/>
      <c r="C36" s="29"/>
      <c r="D36" s="50" t="s">
        <v>169</v>
      </c>
      <c r="E36" s="30"/>
      <c r="F36" s="684">
        <v>3302001</v>
      </c>
      <c r="G36" s="559" t="s">
        <v>519</v>
      </c>
      <c r="H36" s="245">
        <v>0</v>
      </c>
      <c r="I36" s="4">
        <v>0</v>
      </c>
      <c r="J36" s="19">
        <f ca="1">SUMIF(T$3:$AH11,"ok",T36:AH36)</f>
        <v>0</v>
      </c>
      <c r="K36" s="579" t="str">
        <f ca="1">IFERROR(J36/I36,"0,00%")</f>
        <v>0,00%</v>
      </c>
      <c r="L36" s="99">
        <v>0</v>
      </c>
      <c r="M36" s="738">
        <f t="shared" ref="M36:M58" si="13">IFERROR(L36/I36,0)</f>
        <v>0</v>
      </c>
      <c r="N36" s="99">
        <v>0</v>
      </c>
      <c r="O36" s="629">
        <f>+IFERROR(N36/I36,0)</f>
        <v>0</v>
      </c>
      <c r="P36" s="885">
        <f>++'P05 2022'!FA25</f>
        <v>0</v>
      </c>
      <c r="Q36" s="899">
        <f>SUMIF(S$3:$AH3,"SI",S36:AH36)</f>
        <v>0</v>
      </c>
      <c r="R36" s="724" t="str">
        <f t="shared" si="10"/>
        <v>0.00%</v>
      </c>
      <c r="S36" s="870">
        <v>0</v>
      </c>
      <c r="T36" s="870">
        <v>0</v>
      </c>
      <c r="U36" s="885">
        <v>0</v>
      </c>
      <c r="V36" s="1258">
        <v>0</v>
      </c>
      <c r="W36" s="1460">
        <v>0</v>
      </c>
      <c r="X36" s="1456">
        <v>0</v>
      </c>
      <c r="Y36" s="870">
        <v>0</v>
      </c>
      <c r="Z36" s="870">
        <v>0</v>
      </c>
      <c r="AA36" s="245">
        <v>0</v>
      </c>
      <c r="AB36" s="371">
        <v>0</v>
      </c>
      <c r="AC36" s="578">
        <v>0</v>
      </c>
      <c r="AD36" s="573">
        <v>0</v>
      </c>
      <c r="AE36" s="573">
        <v>0</v>
      </c>
      <c r="AF36" s="870">
        <v>0</v>
      </c>
      <c r="AG36" s="573">
        <v>0</v>
      </c>
      <c r="AH36" s="870">
        <v>0</v>
      </c>
      <c r="AI36" s="5"/>
      <c r="AK36" s="5"/>
      <c r="AN36" s="417"/>
    </row>
    <row r="37" spans="2:40" ht="15" customHeight="1" x14ac:dyDescent="0.2">
      <c r="B37" s="25"/>
      <c r="C37" s="29"/>
      <c r="D37" s="50" t="s">
        <v>165</v>
      </c>
      <c r="E37" s="30"/>
      <c r="F37" s="684">
        <v>3302002</v>
      </c>
      <c r="G37" s="559" t="s">
        <v>512</v>
      </c>
      <c r="H37" s="245">
        <v>0</v>
      </c>
      <c r="I37" s="4">
        <v>0</v>
      </c>
      <c r="J37" s="19">
        <f ca="1">SUMIF(T$3:$AH11,"ok",T37:AH37)</f>
        <v>0</v>
      </c>
      <c r="K37" s="579" t="str">
        <f t="shared" ref="K37:K56" ca="1" si="14">IFERROR(J37/I37,"0,00%")</f>
        <v>0,00%</v>
      </c>
      <c r="L37" s="99">
        <v>0</v>
      </c>
      <c r="M37" s="738">
        <f t="shared" si="13"/>
        <v>0</v>
      </c>
      <c r="N37" s="99">
        <v>0</v>
      </c>
      <c r="O37" s="629">
        <f t="shared" ref="O37:O60" si="15">+IFERROR(N37/I37,0)</f>
        <v>0</v>
      </c>
      <c r="P37" s="885">
        <f>++'P05 2022'!FA26</f>
        <v>0</v>
      </c>
      <c r="Q37" s="899">
        <f ca="1">SUMIF(S$3:$AH4,"SI",S37:AH37)</f>
        <v>0</v>
      </c>
      <c r="R37" s="724" t="str">
        <f t="shared" ca="1" si="10"/>
        <v>0.00%</v>
      </c>
      <c r="S37" s="870">
        <v>0</v>
      </c>
      <c r="T37" s="870">
        <v>0</v>
      </c>
      <c r="U37" s="885">
        <v>0</v>
      </c>
      <c r="V37" s="1258">
        <v>0</v>
      </c>
      <c r="W37" s="1460">
        <v>0</v>
      </c>
      <c r="X37" s="1456">
        <v>0</v>
      </c>
      <c r="Y37" s="870">
        <v>0</v>
      </c>
      <c r="Z37" s="870">
        <v>0</v>
      </c>
      <c r="AA37" s="245">
        <v>0</v>
      </c>
      <c r="AB37" s="371">
        <v>0</v>
      </c>
      <c r="AC37" s="578">
        <v>0</v>
      </c>
      <c r="AD37" s="573">
        <v>0</v>
      </c>
      <c r="AE37" s="573">
        <v>0</v>
      </c>
      <c r="AF37" s="870">
        <v>0</v>
      </c>
      <c r="AG37" s="573">
        <v>0</v>
      </c>
      <c r="AH37" s="870">
        <v>0</v>
      </c>
      <c r="AI37" s="5"/>
      <c r="AK37" s="5"/>
      <c r="AN37" s="417"/>
    </row>
    <row r="38" spans="2:40" ht="15" customHeight="1" x14ac:dyDescent="0.2">
      <c r="B38" s="25"/>
      <c r="C38" s="29"/>
      <c r="D38" s="50" t="s">
        <v>166</v>
      </c>
      <c r="E38" s="30"/>
      <c r="F38" s="684">
        <v>3302003</v>
      </c>
      <c r="G38" s="559" t="s">
        <v>511</v>
      </c>
      <c r="H38" s="245">
        <v>0</v>
      </c>
      <c r="I38" s="4">
        <v>0</v>
      </c>
      <c r="J38" s="19">
        <f ca="1">SUMIF(T$3:$AH11,"ok",T38:AH38)</f>
        <v>0</v>
      </c>
      <c r="K38" s="579" t="str">
        <f t="shared" ca="1" si="14"/>
        <v>0,00%</v>
      </c>
      <c r="L38" s="99">
        <v>0</v>
      </c>
      <c r="M38" s="738">
        <f t="shared" si="13"/>
        <v>0</v>
      </c>
      <c r="N38" s="99">
        <v>0</v>
      </c>
      <c r="O38" s="629">
        <f t="shared" si="15"/>
        <v>0</v>
      </c>
      <c r="P38" s="885">
        <f>++'P05 2022'!FA27</f>
        <v>0</v>
      </c>
      <c r="Q38" s="899">
        <f ca="1">SUMIF(S$3:$AH5,"SI",S38:AH38)</f>
        <v>0</v>
      </c>
      <c r="R38" s="724" t="str">
        <f t="shared" ca="1" si="10"/>
        <v>0.00%</v>
      </c>
      <c r="S38" s="870">
        <v>0</v>
      </c>
      <c r="T38" s="870">
        <v>0</v>
      </c>
      <c r="U38" s="885">
        <v>0</v>
      </c>
      <c r="V38" s="1258">
        <v>0</v>
      </c>
      <c r="W38" s="1460">
        <v>0</v>
      </c>
      <c r="X38" s="1456">
        <v>0</v>
      </c>
      <c r="Y38" s="870">
        <v>0</v>
      </c>
      <c r="Z38" s="870">
        <v>0</v>
      </c>
      <c r="AA38" s="245">
        <v>0</v>
      </c>
      <c r="AB38" s="371">
        <v>0</v>
      </c>
      <c r="AC38" s="578">
        <v>0</v>
      </c>
      <c r="AD38" s="573">
        <v>0</v>
      </c>
      <c r="AE38" s="573">
        <v>0</v>
      </c>
      <c r="AF38" s="870">
        <v>0</v>
      </c>
      <c r="AG38" s="573">
        <v>0</v>
      </c>
      <c r="AH38" s="870">
        <v>0</v>
      </c>
      <c r="AI38" s="5"/>
      <c r="AK38" s="5"/>
      <c r="AN38" s="417"/>
    </row>
    <row r="39" spans="2:40" ht="15" customHeight="1" x14ac:dyDescent="0.2">
      <c r="B39" s="25"/>
      <c r="C39" s="29"/>
      <c r="D39" s="50" t="s">
        <v>179</v>
      </c>
      <c r="E39" s="30"/>
      <c r="F39" s="684">
        <v>3302004</v>
      </c>
      <c r="G39" s="559" t="s">
        <v>510</v>
      </c>
      <c r="H39" s="245">
        <v>0</v>
      </c>
      <c r="I39" s="4">
        <v>0</v>
      </c>
      <c r="J39" s="19">
        <f ca="1">SUMIF(T$3:$AH11,"ok",T39:AH39)</f>
        <v>0</v>
      </c>
      <c r="K39" s="579" t="str">
        <f t="shared" ca="1" si="14"/>
        <v>0,00%</v>
      </c>
      <c r="L39" s="99">
        <v>0</v>
      </c>
      <c r="M39" s="738">
        <f t="shared" si="13"/>
        <v>0</v>
      </c>
      <c r="N39" s="99">
        <v>0</v>
      </c>
      <c r="O39" s="629">
        <f t="shared" si="15"/>
        <v>0</v>
      </c>
      <c r="P39" s="885">
        <f>++'P05 2022'!FA28</f>
        <v>0</v>
      </c>
      <c r="Q39" s="899">
        <f ca="1">SUMIF(S$3:$AH6,"SI",S39:AH39)</f>
        <v>0</v>
      </c>
      <c r="R39" s="724" t="str">
        <f t="shared" ca="1" si="10"/>
        <v>0.00%</v>
      </c>
      <c r="S39" s="870">
        <v>0</v>
      </c>
      <c r="T39" s="870">
        <v>0</v>
      </c>
      <c r="U39" s="885">
        <v>0</v>
      </c>
      <c r="V39" s="1258">
        <v>0</v>
      </c>
      <c r="W39" s="1460">
        <v>0</v>
      </c>
      <c r="X39" s="1456">
        <v>0</v>
      </c>
      <c r="Y39" s="870">
        <v>0</v>
      </c>
      <c r="Z39" s="870">
        <v>0</v>
      </c>
      <c r="AA39" s="245">
        <v>0</v>
      </c>
      <c r="AB39" s="371">
        <v>0</v>
      </c>
      <c r="AC39" s="578">
        <v>0</v>
      </c>
      <c r="AD39" s="573">
        <v>0</v>
      </c>
      <c r="AE39" s="573">
        <v>0</v>
      </c>
      <c r="AF39" s="870">
        <v>0</v>
      </c>
      <c r="AG39" s="573">
        <v>0</v>
      </c>
      <c r="AH39" s="870">
        <v>0</v>
      </c>
      <c r="AI39" s="5"/>
      <c r="AK39" s="5"/>
      <c r="AN39" s="417"/>
    </row>
    <row r="40" spans="2:40" ht="15" customHeight="1" x14ac:dyDescent="0.2">
      <c r="B40" s="25"/>
      <c r="C40" s="29"/>
      <c r="D40" s="50" t="s">
        <v>180</v>
      </c>
      <c r="E40" s="30"/>
      <c r="F40" s="684">
        <v>3302005</v>
      </c>
      <c r="G40" s="559" t="s">
        <v>513</v>
      </c>
      <c r="H40" s="245">
        <v>0</v>
      </c>
      <c r="I40" s="4">
        <v>0</v>
      </c>
      <c r="J40" s="19">
        <f ca="1">SUMIF(T$3:$AH11,"ok",T40:AH40)</f>
        <v>0</v>
      </c>
      <c r="K40" s="579" t="str">
        <f t="shared" ca="1" si="14"/>
        <v>0,00%</v>
      </c>
      <c r="L40" s="99">
        <v>0</v>
      </c>
      <c r="M40" s="738">
        <f t="shared" si="13"/>
        <v>0</v>
      </c>
      <c r="N40" s="99">
        <v>0</v>
      </c>
      <c r="O40" s="629">
        <f t="shared" si="15"/>
        <v>0</v>
      </c>
      <c r="P40" s="885">
        <f>++'P05 2022'!FA29</f>
        <v>0</v>
      </c>
      <c r="Q40" s="899">
        <f ca="1">SUMIF(S$3:$AH7,"SI",S40:AH40)</f>
        <v>0</v>
      </c>
      <c r="R40" s="724" t="str">
        <f t="shared" ca="1" si="10"/>
        <v>0.00%</v>
      </c>
      <c r="S40" s="870">
        <v>0</v>
      </c>
      <c r="T40" s="870">
        <v>0</v>
      </c>
      <c r="U40" s="885">
        <v>0</v>
      </c>
      <c r="V40" s="1258">
        <v>0</v>
      </c>
      <c r="W40" s="1460">
        <v>0</v>
      </c>
      <c r="X40" s="1456">
        <v>0</v>
      </c>
      <c r="Y40" s="870">
        <v>0</v>
      </c>
      <c r="Z40" s="870">
        <v>0</v>
      </c>
      <c r="AA40" s="245">
        <v>0</v>
      </c>
      <c r="AB40" s="371">
        <v>0</v>
      </c>
      <c r="AC40" s="578">
        <v>0</v>
      </c>
      <c r="AD40" s="573">
        <v>0</v>
      </c>
      <c r="AE40" s="573">
        <v>0</v>
      </c>
      <c r="AF40" s="870">
        <v>0</v>
      </c>
      <c r="AG40" s="573">
        <v>0</v>
      </c>
      <c r="AH40" s="870">
        <v>0</v>
      </c>
      <c r="AI40" s="5"/>
      <c r="AK40" s="5"/>
      <c r="AN40" s="417"/>
    </row>
    <row r="41" spans="2:40" ht="15" customHeight="1" x14ac:dyDescent="0.2">
      <c r="B41" s="25"/>
      <c r="C41" s="29"/>
      <c r="D41" s="50" t="s">
        <v>181</v>
      </c>
      <c r="E41" s="30"/>
      <c r="F41" s="684">
        <v>3302006</v>
      </c>
      <c r="G41" s="559" t="s">
        <v>751</v>
      </c>
      <c r="H41" s="245">
        <v>0</v>
      </c>
      <c r="I41" s="4">
        <v>0</v>
      </c>
      <c r="J41" s="19">
        <f ca="1">SUMIF(T$3:$AH11,"ok",T41:AH41)</f>
        <v>0</v>
      </c>
      <c r="K41" s="579" t="str">
        <f t="shared" ca="1" si="14"/>
        <v>0,00%</v>
      </c>
      <c r="L41" s="99">
        <v>0</v>
      </c>
      <c r="M41" s="738">
        <f t="shared" si="13"/>
        <v>0</v>
      </c>
      <c r="N41" s="99">
        <v>0</v>
      </c>
      <c r="O41" s="629">
        <f t="shared" si="15"/>
        <v>0</v>
      </c>
      <c r="P41" s="885">
        <f>++'P05 2022'!FA30</f>
        <v>0</v>
      </c>
      <c r="Q41" s="899">
        <f ca="1">SUMIF(S$3:$AH8,"SI",S41:AH41)</f>
        <v>0</v>
      </c>
      <c r="R41" s="724" t="str">
        <f t="shared" ca="1" si="10"/>
        <v>0.00%</v>
      </c>
      <c r="S41" s="870">
        <v>0</v>
      </c>
      <c r="T41" s="870">
        <v>0</v>
      </c>
      <c r="U41" s="885">
        <v>0</v>
      </c>
      <c r="V41" s="1258">
        <v>0</v>
      </c>
      <c r="W41" s="1460">
        <v>0</v>
      </c>
      <c r="X41" s="1456">
        <v>0</v>
      </c>
      <c r="Y41" s="870">
        <v>0</v>
      </c>
      <c r="Z41" s="870">
        <v>0</v>
      </c>
      <c r="AA41" s="245">
        <v>0</v>
      </c>
      <c r="AB41" s="371">
        <v>0</v>
      </c>
      <c r="AC41" s="578">
        <v>0</v>
      </c>
      <c r="AD41" s="573">
        <v>0</v>
      </c>
      <c r="AE41" s="573">
        <v>0</v>
      </c>
      <c r="AF41" s="870">
        <v>0</v>
      </c>
      <c r="AG41" s="573">
        <v>0</v>
      </c>
      <c r="AH41" s="870">
        <v>0</v>
      </c>
      <c r="AI41" s="5"/>
      <c r="AK41" s="5"/>
      <c r="AN41" s="417"/>
    </row>
    <row r="42" spans="2:40" ht="15" customHeight="1" x14ac:dyDescent="0.2">
      <c r="B42" s="25"/>
      <c r="C42" s="29"/>
      <c r="D42" s="50" t="s">
        <v>170</v>
      </c>
      <c r="E42" s="30"/>
      <c r="F42" s="684">
        <v>3302007</v>
      </c>
      <c r="G42" s="559" t="s">
        <v>514</v>
      </c>
      <c r="H42" s="245">
        <v>0</v>
      </c>
      <c r="I42" s="4">
        <v>0</v>
      </c>
      <c r="J42" s="19">
        <f ca="1">SUMIF(T$3:$AH11,"ok",T42:AH42)</f>
        <v>0</v>
      </c>
      <c r="K42" s="579" t="str">
        <f t="shared" ca="1" si="14"/>
        <v>0,00%</v>
      </c>
      <c r="L42" s="99">
        <v>0</v>
      </c>
      <c r="M42" s="738">
        <f t="shared" si="13"/>
        <v>0</v>
      </c>
      <c r="N42" s="99">
        <v>0</v>
      </c>
      <c r="O42" s="629">
        <f t="shared" si="15"/>
        <v>0</v>
      </c>
      <c r="P42" s="885">
        <f>++'P05 2022'!FA31</f>
        <v>0</v>
      </c>
      <c r="Q42" s="899">
        <f ca="1">SUMIF(S$3:$AH9,"SI",S42:AH42)</f>
        <v>0</v>
      </c>
      <c r="R42" s="724" t="str">
        <f t="shared" ca="1" si="10"/>
        <v>0.00%</v>
      </c>
      <c r="S42" s="870">
        <v>0</v>
      </c>
      <c r="T42" s="870">
        <v>0</v>
      </c>
      <c r="U42" s="885">
        <v>0</v>
      </c>
      <c r="V42" s="1258">
        <v>0</v>
      </c>
      <c r="W42" s="1460">
        <v>0</v>
      </c>
      <c r="X42" s="1456">
        <v>0</v>
      </c>
      <c r="Y42" s="870">
        <v>0</v>
      </c>
      <c r="Z42" s="870">
        <v>0</v>
      </c>
      <c r="AA42" s="245">
        <v>0</v>
      </c>
      <c r="AB42" s="371">
        <v>0</v>
      </c>
      <c r="AC42" s="578">
        <v>0</v>
      </c>
      <c r="AD42" s="573">
        <v>0</v>
      </c>
      <c r="AE42" s="573">
        <v>0</v>
      </c>
      <c r="AF42" s="870">
        <v>0</v>
      </c>
      <c r="AG42" s="573">
        <v>0</v>
      </c>
      <c r="AH42" s="870">
        <v>0</v>
      </c>
      <c r="AI42" s="243"/>
      <c r="AJ42" s="829"/>
      <c r="AK42" s="417"/>
      <c r="AL42" s="830"/>
      <c r="AN42" s="417"/>
    </row>
    <row r="43" spans="2:40" ht="15" customHeight="1" x14ac:dyDescent="0.2">
      <c r="B43" s="25"/>
      <c r="C43" s="29"/>
      <c r="D43" s="50" t="s">
        <v>171</v>
      </c>
      <c r="E43" s="30"/>
      <c r="F43" s="684">
        <v>3302008</v>
      </c>
      <c r="G43" s="559" t="s">
        <v>520</v>
      </c>
      <c r="H43" s="245">
        <v>0</v>
      </c>
      <c r="I43" s="4">
        <v>0</v>
      </c>
      <c r="J43" s="19">
        <f ca="1">SUMIF(T$3:$AH11,"ok",T43:AH43)</f>
        <v>0</v>
      </c>
      <c r="K43" s="579" t="str">
        <f t="shared" ca="1" si="14"/>
        <v>0,00%</v>
      </c>
      <c r="L43" s="99">
        <v>0</v>
      </c>
      <c r="M43" s="738">
        <f t="shared" si="13"/>
        <v>0</v>
      </c>
      <c r="N43" s="99">
        <v>0</v>
      </c>
      <c r="O43" s="629">
        <f t="shared" si="15"/>
        <v>0</v>
      </c>
      <c r="P43" s="885">
        <f>++'P05 2022'!FA32</f>
        <v>0</v>
      </c>
      <c r="Q43" s="899">
        <f ca="1">SUMIF(S$3:$AH10,"SI",S43:AH43)</f>
        <v>0</v>
      </c>
      <c r="R43" s="724" t="str">
        <f ca="1">IFERROR(Q43/P43,"0,0%")</f>
        <v>0,0%</v>
      </c>
      <c r="S43" s="870">
        <v>0</v>
      </c>
      <c r="T43" s="870">
        <v>0</v>
      </c>
      <c r="U43" s="885">
        <v>0</v>
      </c>
      <c r="V43" s="1258">
        <v>0</v>
      </c>
      <c r="W43" s="1460">
        <v>0</v>
      </c>
      <c r="X43" s="1456">
        <v>0</v>
      </c>
      <c r="Y43" s="870">
        <v>0</v>
      </c>
      <c r="Z43" s="870">
        <v>0</v>
      </c>
      <c r="AA43" s="245">
        <v>0</v>
      </c>
      <c r="AB43" s="371">
        <v>0</v>
      </c>
      <c r="AC43" s="578">
        <v>0</v>
      </c>
      <c r="AD43" s="573">
        <v>0</v>
      </c>
      <c r="AE43" s="573">
        <v>0</v>
      </c>
      <c r="AF43" s="870">
        <v>0</v>
      </c>
      <c r="AG43" s="573">
        <v>0</v>
      </c>
      <c r="AH43" s="870">
        <v>0</v>
      </c>
      <c r="AI43" s="243"/>
      <c r="AJ43" s="829"/>
      <c r="AK43" s="417"/>
      <c r="AL43" s="830"/>
      <c r="AN43" s="417"/>
    </row>
    <row r="44" spans="2:40" ht="15" customHeight="1" x14ac:dyDescent="0.2">
      <c r="B44" s="25"/>
      <c r="C44" s="29"/>
      <c r="D44" s="50" t="s">
        <v>172</v>
      </c>
      <c r="E44" s="30"/>
      <c r="F44" s="684">
        <v>3302009</v>
      </c>
      <c r="G44" s="559" t="s">
        <v>521</v>
      </c>
      <c r="H44" s="245">
        <v>0</v>
      </c>
      <c r="I44" s="4">
        <v>0</v>
      </c>
      <c r="J44" s="19">
        <f ca="1">SUMIF(T$3:$AH34,"ok",T44:AH44)</f>
        <v>0</v>
      </c>
      <c r="K44" s="579" t="str">
        <f t="shared" ca="1" si="14"/>
        <v>0,00%</v>
      </c>
      <c r="L44" s="99">
        <v>0</v>
      </c>
      <c r="M44" s="738">
        <f t="shared" si="13"/>
        <v>0</v>
      </c>
      <c r="N44" s="99">
        <v>0</v>
      </c>
      <c r="O44" s="629">
        <f t="shared" si="15"/>
        <v>0</v>
      </c>
      <c r="P44" s="885">
        <f>++'P05 2022'!FA33</f>
        <v>0</v>
      </c>
      <c r="Q44" s="899">
        <f ca="1">SUMIF(S$3:$AH11,"SI",S44:AH44)</f>
        <v>0</v>
      </c>
      <c r="R44" s="724" t="str">
        <f t="shared" ca="1" si="10"/>
        <v>0.00%</v>
      </c>
      <c r="S44" s="870">
        <v>0</v>
      </c>
      <c r="T44" s="870">
        <v>0</v>
      </c>
      <c r="U44" s="885">
        <v>0</v>
      </c>
      <c r="V44" s="1258">
        <v>0</v>
      </c>
      <c r="W44" s="1460">
        <v>0</v>
      </c>
      <c r="X44" s="1456">
        <v>0</v>
      </c>
      <c r="Y44" s="870">
        <v>0</v>
      </c>
      <c r="Z44" s="870">
        <v>0</v>
      </c>
      <c r="AA44" s="245">
        <v>0</v>
      </c>
      <c r="AB44" s="371">
        <v>0</v>
      </c>
      <c r="AC44" s="578">
        <v>0</v>
      </c>
      <c r="AD44" s="573">
        <v>0</v>
      </c>
      <c r="AE44" s="573">
        <v>0</v>
      </c>
      <c r="AF44" s="870">
        <v>0</v>
      </c>
      <c r="AG44" s="573">
        <v>0</v>
      </c>
      <c r="AH44" s="870">
        <v>0</v>
      </c>
      <c r="AI44" s="243"/>
      <c r="AJ44" s="829"/>
      <c r="AK44" s="417"/>
      <c r="AL44" s="830"/>
      <c r="AN44" s="417"/>
    </row>
    <row r="45" spans="2:40" ht="15" customHeight="1" x14ac:dyDescent="0.2">
      <c r="B45" s="25"/>
      <c r="C45" s="29"/>
      <c r="D45" s="50" t="s">
        <v>173</v>
      </c>
      <c r="E45" s="30"/>
      <c r="F45" s="684">
        <v>3302010</v>
      </c>
      <c r="G45" s="559" t="s">
        <v>522</v>
      </c>
      <c r="H45" s="245">
        <v>0</v>
      </c>
      <c r="I45" s="4">
        <v>0</v>
      </c>
      <c r="J45" s="19">
        <f ca="1">SUMIF(T$3:$AH35,"ok",T45:AH45)</f>
        <v>0</v>
      </c>
      <c r="K45" s="579" t="str">
        <f t="shared" ca="1" si="14"/>
        <v>0,00%</v>
      </c>
      <c r="L45" s="99">
        <v>0</v>
      </c>
      <c r="M45" s="738">
        <f t="shared" si="13"/>
        <v>0</v>
      </c>
      <c r="N45" s="99">
        <v>0</v>
      </c>
      <c r="O45" s="629">
        <f t="shared" si="15"/>
        <v>0</v>
      </c>
      <c r="P45" s="885">
        <f>++'P05 2022'!FA34</f>
        <v>0</v>
      </c>
      <c r="Q45" s="899">
        <f ca="1">SUMIF(S$3:$AH12,"SI",S45:AH45)</f>
        <v>0</v>
      </c>
      <c r="R45" s="724" t="str">
        <f t="shared" ca="1" si="10"/>
        <v>0.00%</v>
      </c>
      <c r="S45" s="870">
        <v>0</v>
      </c>
      <c r="T45" s="870">
        <v>0</v>
      </c>
      <c r="U45" s="885">
        <v>0</v>
      </c>
      <c r="V45" s="1258">
        <v>0</v>
      </c>
      <c r="W45" s="1460">
        <v>0</v>
      </c>
      <c r="X45" s="1456">
        <v>0</v>
      </c>
      <c r="Y45" s="870">
        <v>0</v>
      </c>
      <c r="Z45" s="870">
        <v>0</v>
      </c>
      <c r="AA45" s="245">
        <v>0</v>
      </c>
      <c r="AB45" s="371">
        <v>0</v>
      </c>
      <c r="AC45" s="578">
        <v>0</v>
      </c>
      <c r="AD45" s="573">
        <v>0</v>
      </c>
      <c r="AE45" s="573">
        <v>0</v>
      </c>
      <c r="AF45" s="870">
        <v>0</v>
      </c>
      <c r="AG45" s="573">
        <v>0</v>
      </c>
      <c r="AH45" s="870">
        <v>0</v>
      </c>
      <c r="AI45" s="243"/>
      <c r="AJ45" s="829"/>
      <c r="AK45" s="417"/>
      <c r="AL45" s="830"/>
      <c r="AN45" s="417"/>
    </row>
    <row r="46" spans="2:40" ht="15" customHeight="1" x14ac:dyDescent="0.2">
      <c r="B46" s="25"/>
      <c r="C46" s="29"/>
      <c r="D46" s="50" t="s">
        <v>174</v>
      </c>
      <c r="E46" s="30"/>
      <c r="F46" s="684">
        <v>3302011</v>
      </c>
      <c r="G46" s="559" t="s">
        <v>752</v>
      </c>
      <c r="H46" s="245">
        <v>0</v>
      </c>
      <c r="I46" s="4">
        <v>0</v>
      </c>
      <c r="J46" s="19">
        <f ca="1">SUMIF(T$3:$AH36,"ok",T46:AH46)</f>
        <v>0</v>
      </c>
      <c r="K46" s="579" t="str">
        <f t="shared" ca="1" si="14"/>
        <v>0,00%</v>
      </c>
      <c r="L46" s="99">
        <v>0</v>
      </c>
      <c r="M46" s="738">
        <f t="shared" si="13"/>
        <v>0</v>
      </c>
      <c r="N46" s="99">
        <v>0</v>
      </c>
      <c r="O46" s="629">
        <f t="shared" si="15"/>
        <v>0</v>
      </c>
      <c r="P46" s="885">
        <f>++'P05 2022'!FA35</f>
        <v>0</v>
      </c>
      <c r="Q46" s="899">
        <f ca="1">SUMIF(S$3:$AH13,"SI",S46:AH46)</f>
        <v>0</v>
      </c>
      <c r="R46" s="724" t="str">
        <f t="shared" ca="1" si="10"/>
        <v>0.00%</v>
      </c>
      <c r="S46" s="870">
        <v>0</v>
      </c>
      <c r="T46" s="870">
        <v>0</v>
      </c>
      <c r="U46" s="885">
        <v>0</v>
      </c>
      <c r="V46" s="1258">
        <v>0</v>
      </c>
      <c r="W46" s="1460">
        <v>0</v>
      </c>
      <c r="X46" s="1456">
        <v>0</v>
      </c>
      <c r="Y46" s="870">
        <v>0</v>
      </c>
      <c r="Z46" s="870">
        <v>0</v>
      </c>
      <c r="AA46" s="245">
        <v>0</v>
      </c>
      <c r="AB46" s="371">
        <v>0</v>
      </c>
      <c r="AC46" s="578">
        <v>0</v>
      </c>
      <c r="AD46" s="573">
        <v>0</v>
      </c>
      <c r="AE46" s="573">
        <v>0</v>
      </c>
      <c r="AF46" s="870">
        <v>0</v>
      </c>
      <c r="AG46" s="573">
        <v>0</v>
      </c>
      <c r="AH46" s="870">
        <v>0</v>
      </c>
      <c r="AI46" s="243"/>
      <c r="AJ46" s="829"/>
      <c r="AK46" s="417"/>
      <c r="AL46" s="830"/>
      <c r="AN46" s="417"/>
    </row>
    <row r="47" spans="2:40" ht="15" customHeight="1" x14ac:dyDescent="0.2">
      <c r="B47" s="25"/>
      <c r="C47" s="29"/>
      <c r="D47" s="50" t="s">
        <v>175</v>
      </c>
      <c r="E47" s="30"/>
      <c r="F47" s="684">
        <v>3302012</v>
      </c>
      <c r="G47" s="559" t="s">
        <v>515</v>
      </c>
      <c r="H47" s="245">
        <v>0</v>
      </c>
      <c r="I47" s="4">
        <v>0</v>
      </c>
      <c r="J47" s="19">
        <f ca="1">SUMIF(T$3:$AH37,"ok",T47:AH47)</f>
        <v>0</v>
      </c>
      <c r="K47" s="579" t="str">
        <f t="shared" ca="1" si="14"/>
        <v>0,00%</v>
      </c>
      <c r="L47" s="99">
        <v>0</v>
      </c>
      <c r="M47" s="738">
        <f t="shared" si="13"/>
        <v>0</v>
      </c>
      <c r="N47" s="99">
        <v>0</v>
      </c>
      <c r="O47" s="629">
        <f t="shared" si="15"/>
        <v>0</v>
      </c>
      <c r="P47" s="885">
        <f>++'P05 2022'!FA36</f>
        <v>0</v>
      </c>
      <c r="Q47" s="899">
        <f ca="1">SUMIF(S$3:$AH14,"SI",S47:AH47)</f>
        <v>0</v>
      </c>
      <c r="R47" s="724" t="str">
        <f t="shared" ca="1" si="10"/>
        <v>0.00%</v>
      </c>
      <c r="S47" s="870">
        <v>0</v>
      </c>
      <c r="T47" s="870">
        <v>0</v>
      </c>
      <c r="U47" s="885">
        <v>0</v>
      </c>
      <c r="V47" s="1258">
        <v>0</v>
      </c>
      <c r="W47" s="1460">
        <v>0</v>
      </c>
      <c r="X47" s="1456">
        <v>0</v>
      </c>
      <c r="Y47" s="870">
        <v>0</v>
      </c>
      <c r="Z47" s="870">
        <v>0</v>
      </c>
      <c r="AA47" s="245">
        <v>0</v>
      </c>
      <c r="AB47" s="371">
        <v>0</v>
      </c>
      <c r="AC47" s="578">
        <v>0</v>
      </c>
      <c r="AD47" s="573">
        <v>0</v>
      </c>
      <c r="AE47" s="573">
        <v>0</v>
      </c>
      <c r="AF47" s="870">
        <v>0</v>
      </c>
      <c r="AG47" s="573">
        <v>0</v>
      </c>
      <c r="AH47" s="870">
        <v>0</v>
      </c>
      <c r="AI47" s="243"/>
      <c r="AJ47" s="829"/>
      <c r="AK47" s="417"/>
      <c r="AL47" s="830"/>
      <c r="AN47" s="417"/>
    </row>
    <row r="48" spans="2:40" ht="15" customHeight="1" x14ac:dyDescent="0.2">
      <c r="B48" s="25"/>
      <c r="C48" s="29"/>
      <c r="D48" s="50" t="s">
        <v>176</v>
      </c>
      <c r="E48" s="30"/>
      <c r="F48" s="684">
        <v>3302013</v>
      </c>
      <c r="G48" s="559" t="s">
        <v>516</v>
      </c>
      <c r="H48" s="245">
        <v>0</v>
      </c>
      <c r="I48" s="4">
        <v>0</v>
      </c>
      <c r="J48" s="19">
        <f ca="1">SUMIF(T$3:$AH38,"ok",T48:AH48)</f>
        <v>0</v>
      </c>
      <c r="K48" s="579" t="str">
        <f t="shared" ca="1" si="14"/>
        <v>0,00%</v>
      </c>
      <c r="L48" s="99">
        <v>0</v>
      </c>
      <c r="M48" s="738">
        <f t="shared" si="13"/>
        <v>0</v>
      </c>
      <c r="N48" s="99">
        <v>0</v>
      </c>
      <c r="O48" s="629">
        <f t="shared" si="15"/>
        <v>0</v>
      </c>
      <c r="P48" s="885">
        <f>++'P05 2022'!FA37</f>
        <v>0</v>
      </c>
      <c r="Q48" s="899">
        <f ca="1">SUMIF(S$3:$AH15,"SI",S48:AH48)</f>
        <v>0</v>
      </c>
      <c r="R48" s="724" t="str">
        <f t="shared" ca="1" si="10"/>
        <v>0.00%</v>
      </c>
      <c r="S48" s="870">
        <v>0</v>
      </c>
      <c r="T48" s="870">
        <v>0</v>
      </c>
      <c r="U48" s="885">
        <v>0</v>
      </c>
      <c r="V48" s="1258">
        <v>0</v>
      </c>
      <c r="W48" s="1460">
        <v>0</v>
      </c>
      <c r="X48" s="1456">
        <v>0</v>
      </c>
      <c r="Y48" s="870">
        <v>0</v>
      </c>
      <c r="Z48" s="870">
        <v>0</v>
      </c>
      <c r="AA48" s="245">
        <v>0</v>
      </c>
      <c r="AB48" s="371">
        <v>0</v>
      </c>
      <c r="AC48" s="578">
        <v>0</v>
      </c>
      <c r="AD48" s="573">
        <v>0</v>
      </c>
      <c r="AE48" s="573">
        <v>0</v>
      </c>
      <c r="AF48" s="870">
        <v>0</v>
      </c>
      <c r="AG48" s="573">
        <v>0</v>
      </c>
      <c r="AH48" s="870">
        <v>0</v>
      </c>
      <c r="AI48" s="243"/>
      <c r="AJ48" s="829"/>
      <c r="AK48" s="417"/>
      <c r="AL48" s="830"/>
      <c r="AN48" s="417"/>
    </row>
    <row r="49" spans="1:41" ht="15" customHeight="1" x14ac:dyDescent="0.2">
      <c r="B49" s="25"/>
      <c r="C49" s="29"/>
      <c r="D49" s="50" t="s">
        <v>191</v>
      </c>
      <c r="E49" s="30"/>
      <c r="F49" s="684">
        <v>3302014</v>
      </c>
      <c r="G49" s="559" t="s">
        <v>517</v>
      </c>
      <c r="H49" s="245">
        <v>0</v>
      </c>
      <c r="I49" s="4">
        <v>0</v>
      </c>
      <c r="J49" s="19">
        <f>SUMIF(T$3:$AH3,"ok",T49:AH49)</f>
        <v>0</v>
      </c>
      <c r="K49" s="579" t="str">
        <f t="shared" si="14"/>
        <v>0,00%</v>
      </c>
      <c r="L49" s="99">
        <v>0</v>
      </c>
      <c r="M49" s="738">
        <f t="shared" si="13"/>
        <v>0</v>
      </c>
      <c r="N49" s="99">
        <v>0</v>
      </c>
      <c r="O49" s="629">
        <f t="shared" si="15"/>
        <v>0</v>
      </c>
      <c r="P49" s="885">
        <f>++'P05 2022'!FA38</f>
        <v>0</v>
      </c>
      <c r="Q49" s="899">
        <f ca="1">SUMIF(S$3:$AH16,"SI",S49:AH49)</f>
        <v>0</v>
      </c>
      <c r="R49" s="724" t="str">
        <f t="shared" ca="1" si="10"/>
        <v>0.00%</v>
      </c>
      <c r="S49" s="870">
        <v>0</v>
      </c>
      <c r="T49" s="870">
        <v>0</v>
      </c>
      <c r="U49" s="885">
        <v>0</v>
      </c>
      <c r="V49" s="1258">
        <v>0</v>
      </c>
      <c r="W49" s="1460">
        <v>0</v>
      </c>
      <c r="X49" s="1456">
        <v>0</v>
      </c>
      <c r="Y49" s="870">
        <v>0</v>
      </c>
      <c r="Z49" s="870">
        <v>0</v>
      </c>
      <c r="AA49" s="245">
        <v>0</v>
      </c>
      <c r="AB49" s="371">
        <v>0</v>
      </c>
      <c r="AC49" s="578">
        <v>0</v>
      </c>
      <c r="AD49" s="573">
        <v>0</v>
      </c>
      <c r="AE49" s="573">
        <v>0</v>
      </c>
      <c r="AF49" s="870">
        <v>0</v>
      </c>
      <c r="AG49" s="573">
        <v>0</v>
      </c>
      <c r="AH49" s="870">
        <v>0</v>
      </c>
      <c r="AI49" s="243"/>
      <c r="AJ49" s="831"/>
      <c r="AK49" s="831"/>
      <c r="AL49" s="831"/>
      <c r="AM49" s="831"/>
      <c r="AN49" s="417"/>
    </row>
    <row r="50" spans="1:41" ht="15" customHeight="1" x14ac:dyDescent="0.2">
      <c r="B50" s="25"/>
      <c r="C50" s="29"/>
      <c r="D50" s="50" t="s">
        <v>192</v>
      </c>
      <c r="E50" s="30"/>
      <c r="F50" s="684">
        <v>3302015</v>
      </c>
      <c r="G50" s="559" t="s">
        <v>518</v>
      </c>
      <c r="H50" s="245">
        <v>0</v>
      </c>
      <c r="I50" s="4">
        <v>0</v>
      </c>
      <c r="J50" s="19">
        <f ca="1">SUMIF(T$3:$AH40,"ok",T50:AH50)</f>
        <v>0</v>
      </c>
      <c r="K50" s="579" t="str">
        <f t="shared" ca="1" si="14"/>
        <v>0,00%</v>
      </c>
      <c r="L50" s="99">
        <v>0</v>
      </c>
      <c r="M50" s="738">
        <f t="shared" si="13"/>
        <v>0</v>
      </c>
      <c r="N50" s="99">
        <v>0</v>
      </c>
      <c r="O50" s="629">
        <f t="shared" si="15"/>
        <v>0</v>
      </c>
      <c r="P50" s="885">
        <f>++'P05 2022'!FA39</f>
        <v>0</v>
      </c>
      <c r="Q50" s="899">
        <f ca="1">SUMIF(S$3:$AH17,"SI",S50:AH50)</f>
        <v>0</v>
      </c>
      <c r="R50" s="724" t="str">
        <f t="shared" ca="1" si="10"/>
        <v>0.00%</v>
      </c>
      <c r="S50" s="870">
        <v>0</v>
      </c>
      <c r="T50" s="870">
        <v>0</v>
      </c>
      <c r="U50" s="885">
        <v>0</v>
      </c>
      <c r="V50" s="1258">
        <v>0</v>
      </c>
      <c r="W50" s="1460">
        <v>0</v>
      </c>
      <c r="X50" s="1456">
        <v>0</v>
      </c>
      <c r="Y50" s="870">
        <v>0</v>
      </c>
      <c r="Z50" s="870">
        <v>0</v>
      </c>
      <c r="AA50" s="245">
        <v>0</v>
      </c>
      <c r="AB50" s="371">
        <v>0</v>
      </c>
      <c r="AC50" s="578">
        <v>0</v>
      </c>
      <c r="AD50" s="573">
        <v>0</v>
      </c>
      <c r="AE50" s="573">
        <v>0</v>
      </c>
      <c r="AF50" s="870">
        <v>0</v>
      </c>
      <c r="AG50" s="573">
        <v>0</v>
      </c>
      <c r="AH50" s="870">
        <v>0</v>
      </c>
      <c r="AI50" s="243"/>
      <c r="AJ50" s="831"/>
      <c r="AK50" s="831"/>
      <c r="AL50" s="831"/>
      <c r="AM50" s="831"/>
      <c r="AN50" s="417"/>
    </row>
    <row r="51" spans="1:41" ht="15" customHeight="1" x14ac:dyDescent="0.2">
      <c r="B51" s="25"/>
      <c r="C51" s="29"/>
      <c r="D51" s="50" t="s">
        <v>227</v>
      </c>
      <c r="E51" s="30"/>
      <c r="F51" s="684">
        <v>3302016</v>
      </c>
      <c r="G51" s="559" t="s">
        <v>509</v>
      </c>
      <c r="H51" s="245">
        <v>0</v>
      </c>
      <c r="I51" s="4">
        <v>0</v>
      </c>
      <c r="J51" s="19">
        <f ca="1">SUMIF(T$3:$AH41,"ok",T51:AH51)</f>
        <v>0</v>
      </c>
      <c r="K51" s="579" t="str">
        <f t="shared" ca="1" si="14"/>
        <v>0,00%</v>
      </c>
      <c r="L51" s="99">
        <v>0</v>
      </c>
      <c r="M51" s="738">
        <f t="shared" si="13"/>
        <v>0</v>
      </c>
      <c r="N51" s="99">
        <v>0</v>
      </c>
      <c r="O51" s="629">
        <f t="shared" si="15"/>
        <v>0</v>
      </c>
      <c r="P51" s="885">
        <f>++'P05 2022'!FA40</f>
        <v>0</v>
      </c>
      <c r="Q51" s="899">
        <f ca="1">SUMIF(S$3:$AH18,"SI",S51:AH51)</f>
        <v>0</v>
      </c>
      <c r="R51" s="724" t="str">
        <f t="shared" ca="1" si="10"/>
        <v>0.00%</v>
      </c>
      <c r="S51" s="870">
        <v>0</v>
      </c>
      <c r="T51" s="870">
        <v>0</v>
      </c>
      <c r="U51" s="885">
        <v>0</v>
      </c>
      <c r="V51" s="1258">
        <v>0</v>
      </c>
      <c r="W51" s="1460">
        <v>0</v>
      </c>
      <c r="X51" s="1456">
        <v>0</v>
      </c>
      <c r="Y51" s="870">
        <v>0</v>
      </c>
      <c r="Z51" s="870">
        <v>0</v>
      </c>
      <c r="AA51" s="245">
        <v>0</v>
      </c>
      <c r="AB51" s="371">
        <v>0</v>
      </c>
      <c r="AC51" s="578">
        <v>0</v>
      </c>
      <c r="AD51" s="573">
        <v>0</v>
      </c>
      <c r="AE51" s="573">
        <v>0</v>
      </c>
      <c r="AF51" s="870">
        <v>0</v>
      </c>
      <c r="AG51" s="573">
        <v>0</v>
      </c>
      <c r="AH51" s="870">
        <v>0</v>
      </c>
      <c r="AI51" s="243"/>
      <c r="AJ51" s="831"/>
      <c r="AK51" s="831"/>
      <c r="AL51" s="831"/>
      <c r="AM51" s="831"/>
      <c r="AN51" s="417"/>
    </row>
    <row r="52" spans="1:41" ht="15" customHeight="1" x14ac:dyDescent="0.2">
      <c r="B52" s="25"/>
      <c r="C52" s="29"/>
      <c r="D52" s="50" t="s">
        <v>193</v>
      </c>
      <c r="E52" s="30"/>
      <c r="F52" s="684">
        <v>3302017</v>
      </c>
      <c r="G52" s="559" t="s">
        <v>536</v>
      </c>
      <c r="H52" s="245">
        <v>0</v>
      </c>
      <c r="I52" s="4">
        <v>0</v>
      </c>
      <c r="J52" s="19">
        <f ca="1">SUMIF(T$3:$AH42,"ok",T52:AH52)</f>
        <v>0</v>
      </c>
      <c r="K52" s="579" t="str">
        <f t="shared" ca="1" si="14"/>
        <v>0,00%</v>
      </c>
      <c r="L52" s="99">
        <v>0</v>
      </c>
      <c r="M52" s="738">
        <f t="shared" si="13"/>
        <v>0</v>
      </c>
      <c r="N52" s="99">
        <v>0</v>
      </c>
      <c r="O52" s="629">
        <f t="shared" si="15"/>
        <v>0</v>
      </c>
      <c r="P52" s="885">
        <f>++'P05 2022'!FA41</f>
        <v>0</v>
      </c>
      <c r="Q52" s="899">
        <f ca="1">SUMIF(S$3:$AH19,"SI",S52:AH52)</f>
        <v>0</v>
      </c>
      <c r="R52" s="724" t="str">
        <f t="shared" ca="1" si="10"/>
        <v>0.00%</v>
      </c>
      <c r="S52" s="870">
        <v>0</v>
      </c>
      <c r="T52" s="870">
        <v>0</v>
      </c>
      <c r="U52" s="885">
        <v>0</v>
      </c>
      <c r="V52" s="1258">
        <v>0</v>
      </c>
      <c r="W52" s="1460">
        <v>0</v>
      </c>
      <c r="X52" s="1456">
        <v>0</v>
      </c>
      <c r="Y52" s="870">
        <v>0</v>
      </c>
      <c r="Z52" s="870">
        <v>0</v>
      </c>
      <c r="AA52" s="245">
        <v>0</v>
      </c>
      <c r="AB52" s="371">
        <v>0</v>
      </c>
      <c r="AC52" s="578">
        <v>0</v>
      </c>
      <c r="AD52" s="573">
        <v>0</v>
      </c>
      <c r="AE52" s="573">
        <v>0</v>
      </c>
      <c r="AF52" s="870">
        <v>0</v>
      </c>
      <c r="AG52" s="573">
        <v>0</v>
      </c>
      <c r="AH52" s="870">
        <v>0</v>
      </c>
      <c r="AI52" s="243"/>
      <c r="AJ52" s="831"/>
      <c r="AK52" s="831"/>
      <c r="AL52" s="831"/>
      <c r="AM52" s="831"/>
      <c r="AN52" s="417"/>
    </row>
    <row r="53" spans="1:41" ht="15" customHeight="1" x14ac:dyDescent="0.2">
      <c r="B53" s="25"/>
      <c r="C53" s="29"/>
      <c r="D53" s="50"/>
      <c r="E53" s="30"/>
      <c r="F53" s="684" t="s">
        <v>1033</v>
      </c>
      <c r="G53" s="559" t="s">
        <v>1034</v>
      </c>
      <c r="H53" s="245">
        <v>0</v>
      </c>
      <c r="I53" s="4">
        <f>+'P05 2023'!AV3</f>
        <v>17013352</v>
      </c>
      <c r="J53" s="19">
        <v>0</v>
      </c>
      <c r="K53" s="579">
        <f t="shared" ref="K53" si="16">IFERROR(J53/I53,"0,00%")</f>
        <v>0</v>
      </c>
      <c r="L53" s="99">
        <v>0</v>
      </c>
      <c r="M53" s="738">
        <f t="shared" ref="M53" si="17">IFERROR(L53/I53,0)</f>
        <v>0</v>
      </c>
      <c r="N53" s="99">
        <f>+I53-L53</f>
        <v>17013352</v>
      </c>
      <c r="O53" s="629">
        <f t="shared" ref="O53" si="18">+IFERROR(N53/I53,0)</f>
        <v>1</v>
      </c>
      <c r="P53" s="885">
        <f>++'P05 2022'!FA42</f>
        <v>0</v>
      </c>
      <c r="Q53" s="899">
        <f ca="1">SUMIF(S$3:$AH20,"SI",S53:AH53)</f>
        <v>0</v>
      </c>
      <c r="R53" s="724" t="str">
        <f t="shared" ref="R53" ca="1" si="19">IFERROR(Q53/P53,"0.00%")</f>
        <v>0.00%</v>
      </c>
      <c r="S53" s="870">
        <v>0</v>
      </c>
      <c r="T53" s="870">
        <v>0</v>
      </c>
      <c r="U53" s="885">
        <v>0</v>
      </c>
      <c r="V53" s="1258">
        <v>0</v>
      </c>
      <c r="W53" s="1460">
        <v>0</v>
      </c>
      <c r="X53" s="1456">
        <v>0</v>
      </c>
      <c r="Y53" s="870">
        <v>0</v>
      </c>
      <c r="Z53" s="870">
        <v>0</v>
      </c>
      <c r="AA53" s="245"/>
      <c r="AB53" s="371"/>
      <c r="AC53" s="578"/>
      <c r="AD53" s="573"/>
      <c r="AE53" s="573"/>
      <c r="AF53" s="870"/>
      <c r="AG53" s="573"/>
      <c r="AH53" s="870"/>
      <c r="AI53" s="243"/>
      <c r="AJ53" s="831"/>
      <c r="AK53" s="831"/>
      <c r="AL53" s="831"/>
      <c r="AM53" s="831"/>
      <c r="AN53" s="417"/>
    </row>
    <row r="54" spans="1:41" ht="15" customHeight="1" x14ac:dyDescent="0.2">
      <c r="B54" s="25"/>
      <c r="C54" s="29"/>
      <c r="D54" s="50" t="s">
        <v>766</v>
      </c>
      <c r="E54" s="30"/>
      <c r="F54" s="684">
        <v>3302107</v>
      </c>
      <c r="G54" s="559" t="s">
        <v>687</v>
      </c>
      <c r="H54" s="245">
        <v>0</v>
      </c>
      <c r="I54" s="4">
        <v>0</v>
      </c>
      <c r="J54" s="19">
        <f ca="1">SUMIF(T$3:$AH42,"ok",T54:AH54)</f>
        <v>0</v>
      </c>
      <c r="K54" s="579" t="str">
        <f t="shared" ca="1" si="14"/>
        <v>0,00%</v>
      </c>
      <c r="L54" s="99">
        <v>0</v>
      </c>
      <c r="M54" s="738">
        <f t="shared" si="13"/>
        <v>0</v>
      </c>
      <c r="N54" s="99">
        <v>0</v>
      </c>
      <c r="O54" s="629">
        <f t="shared" si="15"/>
        <v>0</v>
      </c>
      <c r="P54" s="885">
        <f>++'P05 2022'!FA42</f>
        <v>0</v>
      </c>
      <c r="Q54" s="899">
        <f ca="1">SUMIF(S$3:$AH20,"SI",S54:AH54)</f>
        <v>0</v>
      </c>
      <c r="R54" s="724" t="str">
        <f t="shared" ca="1" si="10"/>
        <v>0.00%</v>
      </c>
      <c r="S54" s="870">
        <v>0</v>
      </c>
      <c r="T54" s="870">
        <v>0</v>
      </c>
      <c r="U54" s="885">
        <v>0</v>
      </c>
      <c r="V54" s="1258">
        <v>0</v>
      </c>
      <c r="W54" s="1460">
        <v>0</v>
      </c>
      <c r="X54" s="1456">
        <v>0</v>
      </c>
      <c r="Y54" s="870">
        <v>0</v>
      </c>
      <c r="Z54" s="870">
        <v>0</v>
      </c>
      <c r="AA54" s="245">
        <v>0</v>
      </c>
      <c r="AB54" s="371">
        <v>0</v>
      </c>
      <c r="AC54" s="578">
        <v>0</v>
      </c>
      <c r="AD54" s="573">
        <v>0</v>
      </c>
      <c r="AE54" s="573">
        <v>0</v>
      </c>
      <c r="AF54" s="870">
        <v>0</v>
      </c>
      <c r="AG54" s="573">
        <v>0</v>
      </c>
      <c r="AH54" s="870">
        <v>0</v>
      </c>
      <c r="AI54" s="243"/>
      <c r="AK54" s="5"/>
      <c r="AL54" s="5"/>
      <c r="AM54" s="5"/>
      <c r="AN54" s="417"/>
    </row>
    <row r="55" spans="1:41" ht="15" customHeight="1" x14ac:dyDescent="0.2">
      <c r="B55" s="368"/>
      <c r="C55" s="369"/>
      <c r="D55" s="374" t="s">
        <v>767</v>
      </c>
      <c r="E55" s="370"/>
      <c r="F55" s="191">
        <v>3302914</v>
      </c>
      <c r="G55" s="524" t="s">
        <v>539</v>
      </c>
      <c r="H55" s="354">
        <v>0</v>
      </c>
      <c r="I55" s="333">
        <v>0</v>
      </c>
      <c r="J55" s="99">
        <f ca="1">SUMIF(T$3:$AH43,"ok",T55:AH55)</f>
        <v>0</v>
      </c>
      <c r="K55" s="579" t="str">
        <f t="shared" ca="1" si="14"/>
        <v>0,00%</v>
      </c>
      <c r="L55" s="99">
        <v>0</v>
      </c>
      <c r="M55" s="740">
        <f t="shared" si="13"/>
        <v>0</v>
      </c>
      <c r="N55" s="99">
        <v>0</v>
      </c>
      <c r="O55" s="631">
        <f t="shared" si="15"/>
        <v>0</v>
      </c>
      <c r="P55" s="885">
        <f>++'P05 2022'!FA43</f>
        <v>0</v>
      </c>
      <c r="Q55" s="899">
        <f ca="1">SUMIF(S$3:$AH21,"SI",S55:AH55)</f>
        <v>0</v>
      </c>
      <c r="R55" s="726" t="str">
        <f t="shared" ca="1" si="10"/>
        <v>0.00%</v>
      </c>
      <c r="S55" s="870">
        <v>0</v>
      </c>
      <c r="T55" s="870">
        <v>0</v>
      </c>
      <c r="U55" s="885">
        <v>0</v>
      </c>
      <c r="V55" s="1258">
        <v>0</v>
      </c>
      <c r="W55" s="1460">
        <v>0</v>
      </c>
      <c r="X55" s="1456">
        <v>0</v>
      </c>
      <c r="Y55" s="870">
        <v>0</v>
      </c>
      <c r="Z55" s="870">
        <v>0</v>
      </c>
      <c r="AA55" s="245">
        <v>0</v>
      </c>
      <c r="AB55" s="371">
        <v>0</v>
      </c>
      <c r="AC55" s="578">
        <v>0</v>
      </c>
      <c r="AD55" s="573">
        <v>0</v>
      </c>
      <c r="AE55" s="573">
        <v>0</v>
      </c>
      <c r="AF55" s="870">
        <v>0</v>
      </c>
      <c r="AG55" s="573">
        <v>0</v>
      </c>
      <c r="AH55" s="870">
        <v>0</v>
      </c>
      <c r="AI55" s="243"/>
      <c r="AK55" s="5"/>
      <c r="AL55" s="5"/>
      <c r="AM55" s="5"/>
      <c r="AN55" s="417"/>
    </row>
    <row r="56" spans="1:41" ht="15" customHeight="1" x14ac:dyDescent="0.2">
      <c r="B56" s="25"/>
      <c r="C56" s="29"/>
      <c r="D56" s="50" t="s">
        <v>768</v>
      </c>
      <c r="E56" s="30"/>
      <c r="F56" s="684">
        <v>3302916</v>
      </c>
      <c r="G56" s="580" t="s">
        <v>316</v>
      </c>
      <c r="H56" s="245">
        <v>0</v>
      </c>
      <c r="I56" s="4">
        <v>0</v>
      </c>
      <c r="J56" s="19">
        <f ca="1">SUMIF(T$3:$AH44,"ok",T56:AH56)</f>
        <v>0</v>
      </c>
      <c r="K56" s="579" t="str">
        <f t="shared" ca="1" si="14"/>
        <v>0,00%</v>
      </c>
      <c r="L56" s="99">
        <v>0</v>
      </c>
      <c r="M56" s="738">
        <f t="shared" si="13"/>
        <v>0</v>
      </c>
      <c r="N56" s="99">
        <v>0</v>
      </c>
      <c r="O56" s="629">
        <f t="shared" si="15"/>
        <v>0</v>
      </c>
      <c r="P56" s="885">
        <f>++'P05 2022'!FA44</f>
        <v>0</v>
      </c>
      <c r="Q56" s="899">
        <f ca="1">SUMIF(S$3:$AH22,"SI",S56:AH56)</f>
        <v>0</v>
      </c>
      <c r="R56" s="724" t="str">
        <f t="shared" ca="1" si="10"/>
        <v>0.00%</v>
      </c>
      <c r="S56" s="870">
        <v>0</v>
      </c>
      <c r="T56" s="870">
        <v>0</v>
      </c>
      <c r="U56" s="885">
        <v>0</v>
      </c>
      <c r="V56" s="1258">
        <v>0</v>
      </c>
      <c r="W56" s="1460">
        <v>0</v>
      </c>
      <c r="X56" s="1456">
        <v>0</v>
      </c>
      <c r="Y56" s="870">
        <v>0</v>
      </c>
      <c r="Z56" s="870">
        <v>0</v>
      </c>
      <c r="AA56" s="245">
        <v>0</v>
      </c>
      <c r="AB56" s="371">
        <v>0</v>
      </c>
      <c r="AC56" s="578">
        <v>0</v>
      </c>
      <c r="AD56" s="573">
        <v>0</v>
      </c>
      <c r="AE56" s="573">
        <v>0</v>
      </c>
      <c r="AF56" s="870">
        <v>0</v>
      </c>
      <c r="AG56" s="573">
        <v>0</v>
      </c>
      <c r="AH56" s="870">
        <v>0</v>
      </c>
      <c r="AK56" s="5"/>
      <c r="AL56" s="5"/>
      <c r="AM56" s="5"/>
      <c r="AN56" s="417"/>
    </row>
    <row r="57" spans="1:41" ht="15" customHeight="1" x14ac:dyDescent="0.2">
      <c r="B57" s="25"/>
      <c r="C57" s="29"/>
      <c r="D57" s="50" t="s">
        <v>691</v>
      </c>
      <c r="E57" s="30"/>
      <c r="F57" s="684">
        <v>3302020</v>
      </c>
      <c r="G57" s="559" t="s">
        <v>781</v>
      </c>
      <c r="H57" s="245">
        <v>0</v>
      </c>
      <c r="I57" s="4">
        <v>0</v>
      </c>
      <c r="J57" s="19">
        <f ca="1">SUMIF(T$3:$AH45,"ok",T57:AH57)</f>
        <v>0</v>
      </c>
      <c r="K57" s="579" t="str">
        <f ca="1">IFERROR(J57/#REF!,"0,00%")</f>
        <v>0,00%</v>
      </c>
      <c r="L57" s="99">
        <v>0</v>
      </c>
      <c r="M57" s="738">
        <f>IFERROR(#REF!/#REF!,0)</f>
        <v>0</v>
      </c>
      <c r="N57" s="99">
        <f>+I57-L57</f>
        <v>0</v>
      </c>
      <c r="O57" s="629">
        <f>+IFERROR(N57/#REF!,0)</f>
        <v>0</v>
      </c>
      <c r="P57" s="878">
        <f>+'P05 2022'!AE3</f>
        <v>3040575.4359999998</v>
      </c>
      <c r="Q57" s="899">
        <f ca="1">SUMIF(S$3:$AH23,"SI",S57:AH57)</f>
        <v>0</v>
      </c>
      <c r="R57" s="724">
        <f ca="1">IFERROR(Q57/P57,"0,0%")</f>
        <v>0</v>
      </c>
      <c r="S57" s="870">
        <v>0</v>
      </c>
      <c r="T57" s="870">
        <v>0</v>
      </c>
      <c r="U57" s="885">
        <v>0</v>
      </c>
      <c r="V57" s="1258">
        <v>0</v>
      </c>
      <c r="W57" s="1460">
        <v>0</v>
      </c>
      <c r="X57" s="1456">
        <v>0</v>
      </c>
      <c r="Y57" s="870">
        <v>0</v>
      </c>
      <c r="Z57" s="870">
        <v>0</v>
      </c>
      <c r="AA57" s="245">
        <v>0</v>
      </c>
      <c r="AB57" s="371">
        <v>0</v>
      </c>
      <c r="AC57" s="578">
        <v>0</v>
      </c>
      <c r="AD57" s="573">
        <v>0</v>
      </c>
      <c r="AE57" s="573">
        <v>0</v>
      </c>
      <c r="AF57" s="870">
        <f>+'P05 2022'!EX3</f>
        <v>4635810</v>
      </c>
      <c r="AG57" s="573">
        <v>0</v>
      </c>
      <c r="AH57" s="916">
        <f>+'P05 2022'!GQ4</f>
        <v>33073588</v>
      </c>
      <c r="AK57" s="5"/>
      <c r="AL57" s="5"/>
      <c r="AM57" s="5"/>
      <c r="AN57" s="417"/>
    </row>
    <row r="58" spans="1:41" ht="15" customHeight="1" x14ac:dyDescent="0.2">
      <c r="B58" s="21"/>
      <c r="C58" s="27" t="s">
        <v>167</v>
      </c>
      <c r="D58" s="28"/>
      <c r="E58" s="24"/>
      <c r="F58" s="192"/>
      <c r="G58" s="558" t="s">
        <v>211</v>
      </c>
      <c r="H58" s="222">
        <f>SUM(H59:H69)</f>
        <v>113525861</v>
      </c>
      <c r="I58" s="17">
        <f>SUM(I59:I69)</f>
        <v>86290482</v>
      </c>
      <c r="J58" s="17">
        <f ca="1">SUMIF(T$3:$AH42,"ok",T58:AH58)</f>
        <v>0</v>
      </c>
      <c r="K58" s="323">
        <f ca="1">IFERROR(J58/I58,"0,0%")</f>
        <v>0</v>
      </c>
      <c r="L58" s="372">
        <v>0</v>
      </c>
      <c r="M58" s="739">
        <f t="shared" si="13"/>
        <v>0</v>
      </c>
      <c r="N58" s="372">
        <f>+I58</f>
        <v>86290482</v>
      </c>
      <c r="O58" s="323">
        <f t="shared" si="15"/>
        <v>1</v>
      </c>
      <c r="P58" s="877">
        <f>+SUM(P59:P69)</f>
        <v>80356815.310000002</v>
      </c>
      <c r="Q58" s="898">
        <f ca="1">SUM(Q59:Q69)</f>
        <v>0</v>
      </c>
      <c r="R58" s="725">
        <f ca="1">IFERROR(Q58/P58,"0.00%")</f>
        <v>0</v>
      </c>
      <c r="S58" s="869">
        <v>0</v>
      </c>
      <c r="T58" s="871">
        <f t="shared" ref="T58:V58" si="20">SUM(T59:T69)</f>
        <v>0</v>
      </c>
      <c r="U58" s="869">
        <v>0</v>
      </c>
      <c r="V58" s="869">
        <f t="shared" ca="1" si="20"/>
        <v>0</v>
      </c>
      <c r="W58" s="1346">
        <v>0</v>
      </c>
      <c r="X58" s="379">
        <v>0</v>
      </c>
      <c r="Y58" s="871">
        <v>0</v>
      </c>
      <c r="Z58" s="871">
        <v>0</v>
      </c>
      <c r="AA58" s="220"/>
      <c r="AB58" s="379">
        <f>SUM(AB59:AB69)</f>
        <v>0</v>
      </c>
      <c r="AC58" s="384">
        <v>0</v>
      </c>
      <c r="AD58" s="641">
        <v>0</v>
      </c>
      <c r="AE58" s="641">
        <v>0</v>
      </c>
      <c r="AF58" s="909">
        <v>0</v>
      </c>
      <c r="AG58" s="641">
        <v>0</v>
      </c>
      <c r="AH58" s="909">
        <v>0</v>
      </c>
      <c r="AK58" s="5"/>
      <c r="AL58" s="5"/>
      <c r="AM58" s="5"/>
      <c r="AN58" s="803"/>
    </row>
    <row r="59" spans="1:41" ht="15" customHeight="1" x14ac:dyDescent="0.2">
      <c r="B59" s="25"/>
      <c r="C59" s="127"/>
      <c r="D59" s="50" t="s">
        <v>169</v>
      </c>
      <c r="E59" s="26"/>
      <c r="F59" s="684">
        <v>3303001</v>
      </c>
      <c r="G59" s="559" t="s">
        <v>121</v>
      </c>
      <c r="H59" s="219">
        <f>+'P05 2023'!G3</f>
        <v>76538652</v>
      </c>
      <c r="I59" s="99">
        <f>+'P05 2023'!AV4</f>
        <v>67312190</v>
      </c>
      <c r="J59" s="19">
        <f ca="1">SUMIF(T$3:$AH43,"ok",T59:AH59)</f>
        <v>0</v>
      </c>
      <c r="K59" s="375">
        <f ca="1">IFERROR(J59/I59,"0,00%")</f>
        <v>0</v>
      </c>
      <c r="L59" s="99">
        <v>0</v>
      </c>
      <c r="M59" s="741">
        <f t="shared" ref="M59:M70" si="21">IFERROR(L59/I59,0)</f>
        <v>0</v>
      </c>
      <c r="N59" s="99">
        <f>+I59-L59</f>
        <v>67312190</v>
      </c>
      <c r="O59" s="629">
        <f t="shared" si="15"/>
        <v>1</v>
      </c>
      <c r="P59" s="878">
        <f>+'P05 2022'!AE4</f>
        <v>46410723.504999995</v>
      </c>
      <c r="Q59" s="902">
        <f>SUMIF(S$3:$AH3,"SI",S59:AH59)</f>
        <v>0</v>
      </c>
      <c r="R59" s="727">
        <f>IFERROR(Q59/P59,"0,0%")</f>
        <v>0</v>
      </c>
      <c r="S59" s="870">
        <v>0</v>
      </c>
      <c r="T59" s="913">
        <v>0</v>
      </c>
      <c r="U59" s="913">
        <v>0</v>
      </c>
      <c r="V59" s="913">
        <v>0</v>
      </c>
      <c r="W59" s="1461">
        <v>0</v>
      </c>
      <c r="X59" s="1457">
        <v>0</v>
      </c>
      <c r="Y59" s="913">
        <v>0</v>
      </c>
      <c r="Z59" s="913">
        <v>0</v>
      </c>
      <c r="AA59" s="380">
        <v>0</v>
      </c>
      <c r="AB59" s="378">
        <v>0</v>
      </c>
      <c r="AC59" s="572">
        <v>0</v>
      </c>
      <c r="AD59" s="573">
        <v>0</v>
      </c>
      <c r="AE59" s="573">
        <v>0</v>
      </c>
      <c r="AF59" s="870">
        <v>0</v>
      </c>
      <c r="AG59" s="573">
        <v>0</v>
      </c>
      <c r="AH59" s="870">
        <v>0</v>
      </c>
      <c r="AK59" s="5"/>
      <c r="AL59" s="5"/>
      <c r="AM59" s="5"/>
      <c r="AN59" s="803"/>
      <c r="AO59" s="243"/>
    </row>
    <row r="60" spans="1:41" ht="15" customHeight="1" x14ac:dyDescent="0.2">
      <c r="B60" s="25"/>
      <c r="C60" s="127"/>
      <c r="D60" s="50" t="s">
        <v>714</v>
      </c>
      <c r="E60" s="26"/>
      <c r="F60" s="684">
        <v>3303432</v>
      </c>
      <c r="G60" s="559" t="s">
        <v>713</v>
      </c>
      <c r="H60" s="219">
        <f>+'P05 2023'!G4</f>
        <v>36987209</v>
      </c>
      <c r="I60" s="99">
        <f>+'P05 2023'!AV5</f>
        <v>18978292</v>
      </c>
      <c r="J60" s="19">
        <f ca="1">SUMIF(T$3:$AH45,"ok",T60:AH60)</f>
        <v>0</v>
      </c>
      <c r="K60" s="375">
        <f t="shared" ref="K60:K69" ca="1" si="22">IFERROR(J60/I60,"0,00%")</f>
        <v>0</v>
      </c>
      <c r="L60" s="99">
        <v>0</v>
      </c>
      <c r="M60" s="741">
        <f t="shared" si="21"/>
        <v>0</v>
      </c>
      <c r="N60" s="99">
        <f>+I60-L60</f>
        <v>18978292</v>
      </c>
      <c r="O60" s="629">
        <f t="shared" si="15"/>
        <v>1</v>
      </c>
      <c r="P60" s="878">
        <f>+'P05 2022'!AE5</f>
        <v>33946091.805</v>
      </c>
      <c r="Q60" s="902">
        <f ca="1">SUMIF(S$3:$AH4,"SI",S60:AH60)</f>
        <v>0</v>
      </c>
      <c r="R60" s="724">
        <f ca="1">IFERROR(Q60/P60,"0,0%")</f>
        <v>0</v>
      </c>
      <c r="S60" s="870">
        <v>0</v>
      </c>
      <c r="T60" s="870">
        <v>0</v>
      </c>
      <c r="U60" s="870">
        <v>0</v>
      </c>
      <c r="V60" s="870">
        <v>0</v>
      </c>
      <c r="W60" s="1460">
        <v>0</v>
      </c>
      <c r="X60" s="1456">
        <v>0</v>
      </c>
      <c r="Y60" s="913">
        <v>0</v>
      </c>
      <c r="Z60" s="913">
        <v>0</v>
      </c>
      <c r="AA60" s="245">
        <v>0</v>
      </c>
      <c r="AB60" s="371">
        <v>0</v>
      </c>
      <c r="AC60" s="572">
        <v>0</v>
      </c>
      <c r="AD60" s="573">
        <v>0</v>
      </c>
      <c r="AE60" s="573">
        <v>0</v>
      </c>
      <c r="AF60" s="870">
        <v>0</v>
      </c>
      <c r="AG60" s="573">
        <v>0</v>
      </c>
      <c r="AH60" s="870">
        <v>0</v>
      </c>
      <c r="AK60" s="5"/>
      <c r="AL60" s="5"/>
      <c r="AM60" s="5"/>
      <c r="AN60" s="803"/>
      <c r="AO60" s="243"/>
    </row>
    <row r="61" spans="1:41" s="125" customFormat="1" ht="15" customHeight="1" x14ac:dyDescent="0.2">
      <c r="A61" s="320"/>
      <c r="B61" s="147"/>
      <c r="C61" s="373"/>
      <c r="D61" s="374" t="s">
        <v>193</v>
      </c>
      <c r="E61" s="26"/>
      <c r="F61" s="191">
        <v>3303017</v>
      </c>
      <c r="G61" s="559" t="s">
        <v>247</v>
      </c>
      <c r="H61" s="221">
        <v>0</v>
      </c>
      <c r="I61" s="99">
        <v>0</v>
      </c>
      <c r="J61" s="99">
        <v>0</v>
      </c>
      <c r="K61" s="375" t="str">
        <f t="shared" si="22"/>
        <v>0,00%</v>
      </c>
      <c r="L61" s="99">
        <v>0</v>
      </c>
      <c r="M61" s="741">
        <f t="shared" si="21"/>
        <v>0</v>
      </c>
      <c r="N61" s="99">
        <v>0</v>
      </c>
      <c r="O61" s="630">
        <f t="shared" ref="O61:O70" si="23">+IFERROR(N61/I61,0)</f>
        <v>0</v>
      </c>
      <c r="P61" s="888">
        <v>0</v>
      </c>
      <c r="Q61" s="902">
        <f ca="1">SUMIF(S$3:$AH5,"SI",S61:AH61)</f>
        <v>0</v>
      </c>
      <c r="R61" s="724" t="str">
        <f t="shared" ref="R61:R69" ca="1" si="24">IFERROR(Q61/P61,"0,0%")</f>
        <v>0,0%</v>
      </c>
      <c r="S61" s="870">
        <v>0</v>
      </c>
      <c r="T61" s="872">
        <v>0</v>
      </c>
      <c r="U61" s="872">
        <v>0</v>
      </c>
      <c r="V61" s="872">
        <f ca="1">SUMIF(Z$3:$AH43,"SI",Z61:AH61)</f>
        <v>0</v>
      </c>
      <c r="W61" s="1461">
        <v>0</v>
      </c>
      <c r="X61" s="1457">
        <v>0</v>
      </c>
      <c r="Y61" s="913">
        <v>0</v>
      </c>
      <c r="Z61" s="913">
        <v>0</v>
      </c>
      <c r="AA61" s="245">
        <v>0</v>
      </c>
      <c r="AB61" s="371">
        <v>0</v>
      </c>
      <c r="AC61" s="572">
        <v>0</v>
      </c>
      <c r="AD61" s="573">
        <v>0</v>
      </c>
      <c r="AE61" s="573">
        <v>0</v>
      </c>
      <c r="AF61" s="870">
        <v>0</v>
      </c>
      <c r="AG61" s="573">
        <v>0</v>
      </c>
      <c r="AH61" s="870">
        <v>0</v>
      </c>
      <c r="AJ61" s="5"/>
      <c r="AK61" s="5"/>
      <c r="AL61" s="5"/>
      <c r="AM61" s="5"/>
      <c r="AO61" s="1260"/>
    </row>
    <row r="62" spans="1:41" s="125" customFormat="1" ht="15" customHeight="1" x14ac:dyDescent="0.2">
      <c r="A62" s="320"/>
      <c r="B62" s="147"/>
      <c r="C62" s="373"/>
      <c r="D62" s="374" t="s">
        <v>194</v>
      </c>
      <c r="E62" s="26"/>
      <c r="F62" s="191">
        <v>3303021</v>
      </c>
      <c r="G62" s="559" t="s">
        <v>248</v>
      </c>
      <c r="H62" s="221">
        <v>0</v>
      </c>
      <c r="I62" s="99">
        <v>0</v>
      </c>
      <c r="J62" s="99">
        <v>0</v>
      </c>
      <c r="K62" s="375" t="str">
        <f t="shared" si="22"/>
        <v>0,00%</v>
      </c>
      <c r="L62" s="99">
        <v>0</v>
      </c>
      <c r="M62" s="741">
        <f t="shared" si="21"/>
        <v>0</v>
      </c>
      <c r="N62" s="99">
        <v>0</v>
      </c>
      <c r="O62" s="630">
        <f t="shared" si="23"/>
        <v>0</v>
      </c>
      <c r="P62" s="888">
        <v>0</v>
      </c>
      <c r="Q62" s="902">
        <f ca="1">SUMIF(S$3:$AH6,"SI",S62:AH62)</f>
        <v>0</v>
      </c>
      <c r="R62" s="724" t="str">
        <f t="shared" ca="1" si="24"/>
        <v>0,0%</v>
      </c>
      <c r="S62" s="870">
        <v>0</v>
      </c>
      <c r="T62" s="872">
        <v>0</v>
      </c>
      <c r="U62" s="913">
        <v>0</v>
      </c>
      <c r="V62" s="872">
        <f ca="1">SUMIF(Z$3:$AH44,"SI",Z62:AH62)</f>
        <v>0</v>
      </c>
      <c r="W62" s="1460">
        <v>0</v>
      </c>
      <c r="X62" s="1456">
        <v>0</v>
      </c>
      <c r="Y62" s="913">
        <v>0</v>
      </c>
      <c r="Z62" s="913">
        <v>0</v>
      </c>
      <c r="AA62" s="245">
        <v>0</v>
      </c>
      <c r="AB62" s="371">
        <v>0</v>
      </c>
      <c r="AC62" s="572">
        <v>0</v>
      </c>
      <c r="AD62" s="573">
        <v>0</v>
      </c>
      <c r="AE62" s="573">
        <v>0</v>
      </c>
      <c r="AF62" s="870">
        <v>0</v>
      </c>
      <c r="AG62" s="573">
        <v>0</v>
      </c>
      <c r="AH62" s="870">
        <v>0</v>
      </c>
      <c r="AI62" s="243"/>
      <c r="AJ62" s="5"/>
      <c r="AK62" s="5"/>
      <c r="AL62" s="5"/>
      <c r="AM62" s="5"/>
      <c r="AN62" s="803"/>
    </row>
    <row r="63" spans="1:41" s="125" customFormat="1" ht="15" customHeight="1" x14ac:dyDescent="0.2">
      <c r="A63" s="320"/>
      <c r="B63" s="147"/>
      <c r="C63" s="373"/>
      <c r="D63" s="374" t="s">
        <v>196</v>
      </c>
      <c r="E63" s="26"/>
      <c r="F63" s="191">
        <v>3303025</v>
      </c>
      <c r="G63" s="559" t="s">
        <v>249</v>
      </c>
      <c r="H63" s="221">
        <v>0</v>
      </c>
      <c r="I63" s="99">
        <v>0</v>
      </c>
      <c r="J63" s="99">
        <v>0</v>
      </c>
      <c r="K63" s="375" t="str">
        <f t="shared" si="22"/>
        <v>0,00%</v>
      </c>
      <c r="L63" s="99">
        <v>0</v>
      </c>
      <c r="M63" s="741">
        <f t="shared" si="21"/>
        <v>0</v>
      </c>
      <c r="N63" s="99">
        <v>0</v>
      </c>
      <c r="O63" s="630">
        <f t="shared" si="23"/>
        <v>0</v>
      </c>
      <c r="P63" s="888">
        <f>++'P05 2022'!FA45</f>
        <v>0</v>
      </c>
      <c r="Q63" s="902">
        <f ca="1">SUMIF(S$3:$AH7,"SI",S63:AH63)</f>
        <v>0</v>
      </c>
      <c r="R63" s="724" t="str">
        <f t="shared" ca="1" si="24"/>
        <v>0,0%</v>
      </c>
      <c r="S63" s="870">
        <v>0</v>
      </c>
      <c r="T63" s="872">
        <v>0</v>
      </c>
      <c r="U63" s="870">
        <v>0</v>
      </c>
      <c r="V63" s="872">
        <f ca="1">SUMIF(Z$3:$AH45,"SI",Z63:AH63)</f>
        <v>0</v>
      </c>
      <c r="W63" s="1461">
        <v>0</v>
      </c>
      <c r="X63" s="1457">
        <v>0</v>
      </c>
      <c r="Y63" s="913">
        <v>0</v>
      </c>
      <c r="Z63" s="913">
        <v>0</v>
      </c>
      <c r="AA63" s="245">
        <v>0</v>
      </c>
      <c r="AB63" s="371">
        <v>0</v>
      </c>
      <c r="AC63" s="572">
        <v>0</v>
      </c>
      <c r="AD63" s="573">
        <v>0</v>
      </c>
      <c r="AE63" s="573">
        <v>0</v>
      </c>
      <c r="AF63" s="870">
        <v>0</v>
      </c>
      <c r="AG63" s="573">
        <v>0</v>
      </c>
      <c r="AH63" s="870">
        <v>0</v>
      </c>
      <c r="AI63" s="243"/>
      <c r="AJ63" s="5"/>
      <c r="AK63" s="5"/>
      <c r="AL63" s="5"/>
      <c r="AM63" s="5"/>
      <c r="AN63" s="831"/>
    </row>
    <row r="64" spans="1:41" s="125" customFormat="1" ht="15" customHeight="1" x14ac:dyDescent="0.2">
      <c r="A64" s="320"/>
      <c r="B64" s="147"/>
      <c r="C64" s="373"/>
      <c r="D64" s="374" t="s">
        <v>197</v>
      </c>
      <c r="E64" s="26"/>
      <c r="F64" s="191">
        <v>3303130</v>
      </c>
      <c r="G64" s="559" t="s">
        <v>250</v>
      </c>
      <c r="H64" s="221">
        <v>0</v>
      </c>
      <c r="I64" s="99">
        <v>0</v>
      </c>
      <c r="J64" s="99">
        <v>0</v>
      </c>
      <c r="K64" s="375" t="str">
        <f t="shared" si="22"/>
        <v>0,00%</v>
      </c>
      <c r="L64" s="99">
        <v>0</v>
      </c>
      <c r="M64" s="741">
        <f t="shared" si="21"/>
        <v>0</v>
      </c>
      <c r="N64" s="99">
        <v>0</v>
      </c>
      <c r="O64" s="630">
        <f t="shared" si="23"/>
        <v>0</v>
      </c>
      <c r="P64" s="888">
        <v>0</v>
      </c>
      <c r="Q64" s="902">
        <f ca="1">SUMIF(S$3:$AH8,"SI",S64:AH64)</f>
        <v>0</v>
      </c>
      <c r="R64" s="724" t="str">
        <f t="shared" ca="1" si="24"/>
        <v>0,0%</v>
      </c>
      <c r="S64" s="870">
        <v>0</v>
      </c>
      <c r="T64" s="872">
        <v>0</v>
      </c>
      <c r="U64" s="872">
        <v>0</v>
      </c>
      <c r="V64" s="872">
        <f ca="1">SUMIF(Z$3:$AH46,"SI",Z64:AH64)</f>
        <v>0</v>
      </c>
      <c r="W64" s="1460">
        <v>0</v>
      </c>
      <c r="X64" s="1456">
        <v>0</v>
      </c>
      <c r="Y64" s="913">
        <v>0</v>
      </c>
      <c r="Z64" s="913">
        <v>0</v>
      </c>
      <c r="AA64" s="245">
        <v>0</v>
      </c>
      <c r="AB64" s="371">
        <v>0</v>
      </c>
      <c r="AC64" s="572">
        <v>0</v>
      </c>
      <c r="AD64" s="573">
        <v>0</v>
      </c>
      <c r="AE64" s="573">
        <v>0</v>
      </c>
      <c r="AF64" s="870">
        <v>0</v>
      </c>
      <c r="AG64" s="573">
        <v>0</v>
      </c>
      <c r="AH64" s="870">
        <v>0</v>
      </c>
      <c r="AL64" s="831"/>
      <c r="AM64" s="243"/>
      <c r="AN64" s="831"/>
    </row>
    <row r="65" spans="1:40" s="125" customFormat="1" ht="15" customHeight="1" x14ac:dyDescent="0.2">
      <c r="A65" s="320"/>
      <c r="B65" s="147"/>
      <c r="C65" s="373"/>
      <c r="D65" s="374" t="s">
        <v>198</v>
      </c>
      <c r="E65" s="26"/>
      <c r="F65" s="191">
        <v>3303190</v>
      </c>
      <c r="G65" s="559" t="s">
        <v>251</v>
      </c>
      <c r="H65" s="221">
        <v>0</v>
      </c>
      <c r="I65" s="99">
        <v>0</v>
      </c>
      <c r="J65" s="99">
        <v>0</v>
      </c>
      <c r="K65" s="375" t="str">
        <f t="shared" si="22"/>
        <v>0,00%</v>
      </c>
      <c r="L65" s="99">
        <v>0</v>
      </c>
      <c r="M65" s="741">
        <f t="shared" si="21"/>
        <v>0</v>
      </c>
      <c r="N65" s="99">
        <v>0</v>
      </c>
      <c r="O65" s="630">
        <f t="shared" si="23"/>
        <v>0</v>
      </c>
      <c r="P65" s="888">
        <v>0</v>
      </c>
      <c r="Q65" s="902">
        <f ca="1">SUMIF(S$3:$AH9,"SI",S65:AH65)</f>
        <v>0</v>
      </c>
      <c r="R65" s="724" t="str">
        <f t="shared" ca="1" si="24"/>
        <v>0,0%</v>
      </c>
      <c r="S65" s="870">
        <v>0</v>
      </c>
      <c r="T65" s="872">
        <v>0</v>
      </c>
      <c r="U65" s="913">
        <v>0</v>
      </c>
      <c r="V65" s="872">
        <f ca="1">SUMIF(Z$3:$AH47,"SI",Z65:AH65)</f>
        <v>0</v>
      </c>
      <c r="W65" s="1461">
        <v>0</v>
      </c>
      <c r="X65" s="1457">
        <v>0</v>
      </c>
      <c r="Y65" s="913">
        <v>0</v>
      </c>
      <c r="Z65" s="913">
        <v>0</v>
      </c>
      <c r="AA65" s="245">
        <v>0</v>
      </c>
      <c r="AB65" s="371">
        <v>0</v>
      </c>
      <c r="AC65" s="572">
        <v>0</v>
      </c>
      <c r="AD65" s="573">
        <v>0</v>
      </c>
      <c r="AE65" s="573">
        <v>0</v>
      </c>
      <c r="AF65" s="870">
        <v>0</v>
      </c>
      <c r="AG65" s="573">
        <v>0</v>
      </c>
      <c r="AH65" s="870">
        <v>0</v>
      </c>
      <c r="AL65" s="831"/>
      <c r="AM65" s="243"/>
      <c r="AN65" s="831"/>
    </row>
    <row r="66" spans="1:40" s="125" customFormat="1" ht="15" customHeight="1" x14ac:dyDescent="0.2">
      <c r="A66" s="320"/>
      <c r="B66" s="147"/>
      <c r="C66" s="373"/>
      <c r="D66" s="374" t="s">
        <v>199</v>
      </c>
      <c r="E66" s="26"/>
      <c r="F66" s="191">
        <v>3303418</v>
      </c>
      <c r="G66" s="559" t="s">
        <v>648</v>
      </c>
      <c r="H66" s="221">
        <v>0</v>
      </c>
      <c r="I66" s="99">
        <v>0</v>
      </c>
      <c r="J66" s="99">
        <v>0</v>
      </c>
      <c r="K66" s="375" t="str">
        <f t="shared" si="22"/>
        <v>0,00%</v>
      </c>
      <c r="L66" s="99">
        <v>0</v>
      </c>
      <c r="M66" s="741">
        <f t="shared" si="21"/>
        <v>0</v>
      </c>
      <c r="N66" s="99">
        <v>0</v>
      </c>
      <c r="O66" s="630">
        <f t="shared" si="23"/>
        <v>0</v>
      </c>
      <c r="P66" s="888">
        <v>0</v>
      </c>
      <c r="Q66" s="902">
        <f ca="1">SUMIF(S$3:$AH10,"SI",S66:AH66)</f>
        <v>0</v>
      </c>
      <c r="R66" s="724" t="str">
        <f t="shared" ca="1" si="24"/>
        <v>0,0%</v>
      </c>
      <c r="S66" s="870">
        <v>0</v>
      </c>
      <c r="T66" s="872">
        <v>0</v>
      </c>
      <c r="U66" s="870">
        <v>0</v>
      </c>
      <c r="V66" s="872">
        <f ca="1">SUMIF(Z$3:$AH48,"SI",Z66:AH66)</f>
        <v>0</v>
      </c>
      <c r="W66" s="1460">
        <v>0</v>
      </c>
      <c r="X66" s="1456">
        <v>0</v>
      </c>
      <c r="Y66" s="913">
        <v>0</v>
      </c>
      <c r="Z66" s="913">
        <v>0</v>
      </c>
      <c r="AA66" s="245">
        <v>0</v>
      </c>
      <c r="AB66" s="371">
        <v>0</v>
      </c>
      <c r="AC66" s="572">
        <v>0</v>
      </c>
      <c r="AD66" s="573">
        <v>0</v>
      </c>
      <c r="AE66" s="573">
        <v>0</v>
      </c>
      <c r="AF66" s="870">
        <v>0</v>
      </c>
      <c r="AG66" s="573">
        <v>0</v>
      </c>
      <c r="AH66" s="870">
        <v>0</v>
      </c>
      <c r="AI66" s="243"/>
      <c r="AJ66" s="5"/>
      <c r="AK66" s="832"/>
      <c r="AL66" s="831"/>
      <c r="AM66" s="243"/>
      <c r="AN66" s="831"/>
    </row>
    <row r="67" spans="1:40" s="125" customFormat="1" ht="15" customHeight="1" x14ac:dyDescent="0.2">
      <c r="A67" s="320"/>
      <c r="B67" s="147"/>
      <c r="C67" s="373"/>
      <c r="D67" s="374" t="s">
        <v>200</v>
      </c>
      <c r="E67" s="26"/>
      <c r="F67" s="191">
        <v>3303421</v>
      </c>
      <c r="G67" s="559" t="s">
        <v>122</v>
      </c>
      <c r="H67" s="221">
        <v>0</v>
      </c>
      <c r="I67" s="99">
        <v>0</v>
      </c>
      <c r="J67" s="99">
        <v>0</v>
      </c>
      <c r="K67" s="375" t="str">
        <f t="shared" si="22"/>
        <v>0,00%</v>
      </c>
      <c r="L67" s="99">
        <v>0</v>
      </c>
      <c r="M67" s="741">
        <f t="shared" si="21"/>
        <v>0</v>
      </c>
      <c r="N67" s="99">
        <v>0</v>
      </c>
      <c r="O67" s="630">
        <f t="shared" si="23"/>
        <v>0</v>
      </c>
      <c r="P67" s="888">
        <f>++'P05 2022'!FA46</f>
        <v>0</v>
      </c>
      <c r="Q67" s="902">
        <f ca="1">SUMIF(S$3:$AH11,"SI",S67:AH67)</f>
        <v>0</v>
      </c>
      <c r="R67" s="724" t="str">
        <f t="shared" ca="1" si="24"/>
        <v>0,0%</v>
      </c>
      <c r="S67" s="870">
        <v>0</v>
      </c>
      <c r="T67" s="872">
        <v>0</v>
      </c>
      <c r="U67" s="872">
        <v>0</v>
      </c>
      <c r="V67" s="870">
        <v>0</v>
      </c>
      <c r="W67" s="1461">
        <v>0</v>
      </c>
      <c r="X67" s="1457">
        <v>0</v>
      </c>
      <c r="Y67" s="913">
        <v>0</v>
      </c>
      <c r="Z67" s="913">
        <v>0</v>
      </c>
      <c r="AA67" s="245">
        <v>0</v>
      </c>
      <c r="AB67" s="371">
        <v>0</v>
      </c>
      <c r="AC67" s="572">
        <v>0</v>
      </c>
      <c r="AD67" s="573">
        <v>0</v>
      </c>
      <c r="AE67" s="573">
        <v>0</v>
      </c>
      <c r="AF67" s="870">
        <v>0</v>
      </c>
      <c r="AG67" s="573">
        <v>0</v>
      </c>
      <c r="AH67" s="870">
        <v>0</v>
      </c>
      <c r="AI67" s="243"/>
      <c r="AJ67" s="829"/>
      <c r="AK67" s="417"/>
      <c r="AL67" s="830"/>
      <c r="AM67" s="243"/>
      <c r="AN67" s="831"/>
    </row>
    <row r="68" spans="1:40" s="125" customFormat="1" ht="15" customHeight="1" x14ac:dyDescent="0.2">
      <c r="A68" s="320"/>
      <c r="B68" s="147"/>
      <c r="C68" s="373"/>
      <c r="D68" s="374" t="s">
        <v>201</v>
      </c>
      <c r="E68" s="26"/>
      <c r="F68" s="191">
        <v>3303426</v>
      </c>
      <c r="G68" s="559" t="s">
        <v>123</v>
      </c>
      <c r="H68" s="221">
        <v>0</v>
      </c>
      <c r="I68" s="99">
        <v>0</v>
      </c>
      <c r="J68" s="99">
        <v>0</v>
      </c>
      <c r="K68" s="375" t="str">
        <f t="shared" si="22"/>
        <v>0,00%</v>
      </c>
      <c r="L68" s="99">
        <v>0</v>
      </c>
      <c r="M68" s="741">
        <f t="shared" si="21"/>
        <v>0</v>
      </c>
      <c r="N68" s="99">
        <v>0</v>
      </c>
      <c r="O68" s="630">
        <f t="shared" si="23"/>
        <v>0</v>
      </c>
      <c r="P68" s="888">
        <f>++'P05 2022'!FA58</f>
        <v>0</v>
      </c>
      <c r="Q68" s="902">
        <f ca="1">SUMIF(S$3:$AH12,"SI",S68:AH68)</f>
        <v>0</v>
      </c>
      <c r="R68" s="724" t="str">
        <f t="shared" ca="1" si="24"/>
        <v>0,0%</v>
      </c>
      <c r="S68" s="870">
        <v>0</v>
      </c>
      <c r="T68" s="872">
        <v>0</v>
      </c>
      <c r="U68" s="913">
        <v>0</v>
      </c>
      <c r="V68" s="870">
        <v>0</v>
      </c>
      <c r="W68" s="1460">
        <v>0</v>
      </c>
      <c r="X68" s="1456">
        <v>0</v>
      </c>
      <c r="Y68" s="913">
        <v>0</v>
      </c>
      <c r="Z68" s="913">
        <v>0</v>
      </c>
      <c r="AA68" s="245">
        <v>0</v>
      </c>
      <c r="AB68" s="371">
        <v>0</v>
      </c>
      <c r="AC68" s="572">
        <v>0</v>
      </c>
      <c r="AD68" s="573">
        <v>0</v>
      </c>
      <c r="AE68" s="573">
        <v>0</v>
      </c>
      <c r="AF68" s="870">
        <v>0</v>
      </c>
      <c r="AG68" s="573">
        <v>0</v>
      </c>
      <c r="AH68" s="870">
        <v>0</v>
      </c>
      <c r="AL68" s="831"/>
      <c r="AM68" s="243"/>
      <c r="AN68" s="831"/>
    </row>
    <row r="69" spans="1:40" s="125" customFormat="1" ht="15" customHeight="1" x14ac:dyDescent="0.2">
      <c r="A69" s="320"/>
      <c r="B69" s="147"/>
      <c r="C69" s="373"/>
      <c r="D69" s="374" t="s">
        <v>626</v>
      </c>
      <c r="E69" s="26"/>
      <c r="F69" s="191">
        <v>3303431</v>
      </c>
      <c r="G69" s="559" t="s">
        <v>649</v>
      </c>
      <c r="H69" s="221">
        <v>0</v>
      </c>
      <c r="I69" s="99">
        <v>0</v>
      </c>
      <c r="J69" s="99">
        <v>0</v>
      </c>
      <c r="K69" s="375" t="str">
        <f t="shared" si="22"/>
        <v>0,00%</v>
      </c>
      <c r="L69" s="99">
        <v>0</v>
      </c>
      <c r="M69" s="741">
        <f t="shared" si="21"/>
        <v>0</v>
      </c>
      <c r="N69" s="99">
        <v>0</v>
      </c>
      <c r="O69" s="630">
        <f t="shared" si="23"/>
        <v>0</v>
      </c>
      <c r="P69" s="888">
        <v>0</v>
      </c>
      <c r="Q69" s="902">
        <f ca="1">SUMIF(S$3:$AH13,"SI",S69:AH69)</f>
        <v>0</v>
      </c>
      <c r="R69" s="724" t="str">
        <f t="shared" ca="1" si="24"/>
        <v>0,0%</v>
      </c>
      <c r="S69" s="870">
        <v>0</v>
      </c>
      <c r="T69" s="872">
        <v>0</v>
      </c>
      <c r="U69" s="870">
        <v>0</v>
      </c>
      <c r="V69" s="870">
        <v>0</v>
      </c>
      <c r="W69" s="1461">
        <v>0</v>
      </c>
      <c r="X69" s="1457">
        <v>0</v>
      </c>
      <c r="Y69" s="913">
        <v>0</v>
      </c>
      <c r="Z69" s="913">
        <v>0</v>
      </c>
      <c r="AA69" s="245">
        <v>0</v>
      </c>
      <c r="AB69" s="371">
        <v>0</v>
      </c>
      <c r="AC69" s="572">
        <v>0</v>
      </c>
      <c r="AD69" s="573">
        <v>0</v>
      </c>
      <c r="AE69" s="573">
        <v>0</v>
      </c>
      <c r="AF69" s="870">
        <v>0</v>
      </c>
      <c r="AG69" s="573">
        <v>0</v>
      </c>
      <c r="AH69" s="870">
        <v>0</v>
      </c>
      <c r="AI69" s="243"/>
      <c r="AJ69" s="5"/>
      <c r="AK69" s="832"/>
      <c r="AL69" s="831"/>
      <c r="AM69" s="243"/>
      <c r="AN69" s="831"/>
    </row>
    <row r="70" spans="1:40" ht="15" customHeight="1" thickBot="1" x14ac:dyDescent="0.25">
      <c r="B70" s="31">
        <v>35</v>
      </c>
      <c r="C70" s="32"/>
      <c r="D70" s="33"/>
      <c r="E70" s="34"/>
      <c r="F70" s="685">
        <v>35</v>
      </c>
      <c r="G70" s="561" t="s">
        <v>125</v>
      </c>
      <c r="H70" s="560">
        <v>0</v>
      </c>
      <c r="I70" s="35">
        <v>0</v>
      </c>
      <c r="J70" s="35">
        <f>+J71+J72</f>
        <v>0</v>
      </c>
      <c r="K70" s="731" t="str">
        <f>IFERROR(J70/I70,"0,0%")</f>
        <v>0,0%</v>
      </c>
      <c r="L70" s="35">
        <v>0</v>
      </c>
      <c r="M70" s="742">
        <f t="shared" si="21"/>
        <v>0</v>
      </c>
      <c r="N70" s="35">
        <v>0</v>
      </c>
      <c r="O70" s="324">
        <f t="shared" si="23"/>
        <v>0</v>
      </c>
      <c r="P70" s="889">
        <f>++'P05 2022'!FA47</f>
        <v>0</v>
      </c>
      <c r="Q70" s="903">
        <f ca="1">SUMIF(S$3:$AH60,"SI",S70:AH70)</f>
        <v>0</v>
      </c>
      <c r="R70" s="728" t="str">
        <f ca="1">IFERROR(Q70/P70,"0,0%")</f>
        <v>0,0%</v>
      </c>
      <c r="S70" s="906">
        <v>0</v>
      </c>
      <c r="T70" s="873">
        <f>+T71+T72</f>
        <v>0</v>
      </c>
      <c r="U70" s="873">
        <v>0</v>
      </c>
      <c r="V70" s="873">
        <f>+V71+V72</f>
        <v>0</v>
      </c>
      <c r="W70" s="1462">
        <v>0</v>
      </c>
      <c r="X70" s="1458">
        <v>0</v>
      </c>
      <c r="Y70" s="873">
        <v>0</v>
      </c>
      <c r="Z70" s="873">
        <v>0</v>
      </c>
      <c r="AA70" s="560">
        <v>0</v>
      </c>
      <c r="AB70" s="35">
        <v>0</v>
      </c>
      <c r="AC70" s="65">
        <v>0</v>
      </c>
      <c r="AD70" s="642">
        <v>0</v>
      </c>
      <c r="AE70" s="642">
        <v>0</v>
      </c>
      <c r="AF70" s="910">
        <v>0</v>
      </c>
      <c r="AG70" s="914">
        <v>0</v>
      </c>
      <c r="AH70" s="910">
        <v>0</v>
      </c>
      <c r="AI70" s="243"/>
      <c r="AJ70" s="829"/>
      <c r="AK70" s="417"/>
      <c r="AL70" s="830"/>
    </row>
    <row r="71" spans="1:40" x14ac:dyDescent="0.2">
      <c r="B71" s="9"/>
      <c r="C71" s="11"/>
      <c r="D71" s="13"/>
      <c r="E71" s="15"/>
      <c r="F71" s="686"/>
      <c r="G71" s="2"/>
      <c r="H71" s="7"/>
      <c r="I71" s="7"/>
      <c r="J71" s="7"/>
      <c r="K71" s="732"/>
      <c r="L71" s="7"/>
      <c r="M71" s="632"/>
      <c r="N71" s="7"/>
      <c r="O71" s="632"/>
      <c r="P71" s="890"/>
      <c r="Q71" s="904"/>
      <c r="R71" s="729"/>
      <c r="S71" s="729"/>
      <c r="T71" s="7"/>
      <c r="U71" s="7"/>
      <c r="Z71" s="5"/>
      <c r="AA71" s="5"/>
      <c r="AI71" s="243"/>
    </row>
    <row r="72" spans="1:40" x14ac:dyDescent="0.2">
      <c r="B72" s="9"/>
      <c r="C72" s="11"/>
      <c r="D72" s="13"/>
      <c r="E72" s="15"/>
      <c r="F72" s="686"/>
      <c r="G72" s="2"/>
      <c r="H72" s="7"/>
      <c r="I72" s="7"/>
      <c r="J72" s="7"/>
      <c r="K72" s="732"/>
      <c r="L72" s="7"/>
      <c r="M72" s="632"/>
      <c r="N72" s="7"/>
      <c r="O72" s="632"/>
      <c r="P72" s="890"/>
      <c r="Q72" s="904"/>
      <c r="R72" s="729"/>
      <c r="S72" s="729"/>
      <c r="T72" s="7"/>
      <c r="U72" s="7"/>
      <c r="Z72" s="5"/>
    </row>
    <row r="73" spans="1:40" x14ac:dyDescent="0.2">
      <c r="B73" s="9"/>
      <c r="C73" s="11"/>
      <c r="D73" s="13"/>
      <c r="E73" s="15"/>
      <c r="F73" s="686"/>
      <c r="G73" s="2"/>
      <c r="H73" s="7"/>
      <c r="I73" s="7"/>
      <c r="J73" s="7"/>
      <c r="K73" s="732"/>
      <c r="L73" s="7"/>
      <c r="M73" s="632"/>
      <c r="N73" s="7"/>
      <c r="O73" s="632"/>
      <c r="P73" s="890"/>
      <c r="Q73" s="904"/>
      <c r="R73" s="729"/>
      <c r="S73" s="729"/>
      <c r="T73" s="7"/>
      <c r="U73" s="7"/>
    </row>
    <row r="74" spans="1:40" x14ac:dyDescent="0.2">
      <c r="B74" s="9"/>
      <c r="C74" s="11"/>
      <c r="D74" s="13"/>
      <c r="E74" s="15"/>
      <c r="F74" s="686"/>
      <c r="G74" s="2"/>
      <c r="H74" s="7"/>
      <c r="I74" s="7"/>
      <c r="J74" s="7"/>
      <c r="K74" s="732"/>
      <c r="L74" s="7"/>
      <c r="M74" s="632"/>
      <c r="N74" s="7"/>
      <c r="O74" s="632"/>
      <c r="P74" s="890"/>
      <c r="Q74" s="904"/>
      <c r="R74" s="729"/>
      <c r="S74" s="729"/>
      <c r="T74" s="7"/>
      <c r="U74" s="7"/>
    </row>
    <row r="75" spans="1:40" x14ac:dyDescent="0.2">
      <c r="B75" s="9"/>
      <c r="C75" s="11"/>
      <c r="D75" s="13"/>
      <c r="E75" s="15"/>
      <c r="F75" s="686"/>
      <c r="G75" s="2"/>
      <c r="H75" s="7"/>
      <c r="I75" s="7"/>
      <c r="J75" s="7"/>
      <c r="K75" s="732"/>
      <c r="L75" s="7"/>
      <c r="M75" s="632"/>
      <c r="N75" s="7"/>
      <c r="O75" s="632"/>
      <c r="P75" s="890"/>
      <c r="Q75" s="904"/>
      <c r="R75" s="1256"/>
      <c r="S75" s="729"/>
      <c r="T75" s="7"/>
      <c r="U75" s="7"/>
    </row>
    <row r="76" spans="1:40" x14ac:dyDescent="0.2">
      <c r="B76" s="9"/>
      <c r="C76" s="11"/>
      <c r="D76" s="13"/>
      <c r="E76" s="15"/>
      <c r="F76" s="686"/>
      <c r="G76" s="2"/>
      <c r="H76" s="7"/>
      <c r="I76" s="7"/>
      <c r="J76" s="7"/>
      <c r="K76" s="732"/>
      <c r="L76" s="7"/>
      <c r="M76" s="632"/>
      <c r="N76" s="7"/>
      <c r="O76" s="632"/>
      <c r="P76" s="890"/>
      <c r="Q76" s="904"/>
      <c r="R76" s="1256"/>
      <c r="S76" s="729"/>
      <c r="T76" s="7"/>
      <c r="U76" s="7"/>
    </row>
    <row r="77" spans="1:40" x14ac:dyDescent="0.2">
      <c r="B77" s="9"/>
      <c r="C77" s="11"/>
      <c r="D77" s="13"/>
      <c r="E77" s="15"/>
      <c r="F77" s="686"/>
      <c r="G77" s="2"/>
      <c r="H77" s="7"/>
      <c r="I77" s="7"/>
      <c r="J77" s="7"/>
      <c r="K77" s="732"/>
      <c r="L77" s="7"/>
      <c r="M77" s="632"/>
      <c r="N77" s="7"/>
      <c r="O77" s="632"/>
      <c r="P77" s="890"/>
      <c r="Q77" s="904"/>
      <c r="R77" s="1256"/>
      <c r="S77" s="729"/>
      <c r="T77" s="7"/>
      <c r="U77" s="7"/>
    </row>
    <row r="78" spans="1:40" x14ac:dyDescent="0.2">
      <c r="B78" s="9"/>
      <c r="C78" s="11"/>
      <c r="D78" s="13"/>
      <c r="E78" s="15"/>
      <c r="F78" s="686"/>
      <c r="G78" s="2"/>
      <c r="H78" s="7"/>
      <c r="I78" s="7"/>
      <c r="J78" s="7"/>
      <c r="K78" s="732"/>
      <c r="L78" s="7"/>
      <c r="M78" s="632"/>
      <c r="N78" s="7"/>
      <c r="O78" s="632"/>
      <c r="P78" s="890"/>
      <c r="Q78" s="904"/>
      <c r="R78" s="1256"/>
      <c r="S78" s="729"/>
      <c r="T78" s="7"/>
      <c r="U78" s="7"/>
    </row>
    <row r="79" spans="1:40" x14ac:dyDescent="0.2">
      <c r="B79" s="9"/>
      <c r="C79" s="11"/>
      <c r="D79" s="13"/>
      <c r="E79" s="15"/>
      <c r="F79" s="686"/>
      <c r="G79" s="2"/>
      <c r="H79" s="7"/>
      <c r="I79" s="7"/>
      <c r="J79" s="7"/>
      <c r="K79" s="732"/>
      <c r="L79" s="7"/>
      <c r="M79" s="632"/>
      <c r="N79" s="7"/>
      <c r="O79" s="632"/>
      <c r="P79" s="1473"/>
      <c r="Q79" s="904"/>
      <c r="R79" s="1257"/>
      <c r="S79" s="729"/>
      <c r="T79" s="7"/>
      <c r="U79" s="7"/>
    </row>
    <row r="80" spans="1:40" x14ac:dyDescent="0.2">
      <c r="P80" s="1473"/>
    </row>
    <row r="81" spans="16:16" x14ac:dyDescent="0.2">
      <c r="P81" s="1474"/>
    </row>
    <row r="140" spans="12:12" x14ac:dyDescent="0.2">
      <c r="L140" s="6">
        <f>+'Prog 05'!L1</f>
        <v>0</v>
      </c>
    </row>
  </sheetData>
  <mergeCells count="14">
    <mergeCell ref="B2:AA2"/>
    <mergeCell ref="B5:AA5"/>
    <mergeCell ref="H6:O6"/>
    <mergeCell ref="B3:R3"/>
    <mergeCell ref="B6:G8"/>
    <mergeCell ref="P6:R6"/>
    <mergeCell ref="S7:T7"/>
    <mergeCell ref="S6:T6"/>
    <mergeCell ref="U7:V7"/>
    <mergeCell ref="U6:V6"/>
    <mergeCell ref="W7:X7"/>
    <mergeCell ref="W6:X6"/>
    <mergeCell ref="Y6:Z6"/>
    <mergeCell ref="Y7:Z7"/>
  </mergeCells>
  <phoneticPr fontId="30" type="noConversion"/>
  <conditionalFormatting sqref="H6 H12:K12 M13:O28 M61:O69 J59:K59 AB32 H70:K70 J33:K33 P58:R58 O58:O60 O70 M70 H61:J69 J60 K60:K69 I13:K31 M11:M31 M36:O52 H58:N58 J36:K52 M29:N31 O12:O35 R70 P6:R7 Q36:R52 Q59:R69 R12:R31 H9:S11 H59:H60 M33 V61:V66 AC32:AC33 T70:V70 T9:X9 AH32 AC36:AC56 I32:N32 H34:N35 T10 X10 H71:S1048576 P32:R35 X70 Z70:AC70 Z10:AH10 Z9:AG9 Q54:R57 J54:K57 M54:O57 M59:N60">
    <cfRule type="cellIs" dxfId="43" priority="410" operator="equal">
      <formula>"·¡$S$$P$16"</formula>
    </cfRule>
  </conditionalFormatting>
  <conditionalFormatting sqref="AC57">
    <cfRule type="cellIs" dxfId="42" priority="125" operator="equal">
      <formula>"·¡$S$$P$16"</formula>
    </cfRule>
  </conditionalFormatting>
  <conditionalFormatting sqref="AC57">
    <cfRule type="cellIs" dxfId="41" priority="124" operator="equal">
      <formula>"·¡$S$$P$16"</formula>
    </cfRule>
  </conditionalFormatting>
  <conditionalFormatting sqref="H33">
    <cfRule type="cellIs" dxfId="40" priority="105" operator="equal">
      <formula>"·¡$S$$P$16"</formula>
    </cfRule>
  </conditionalFormatting>
  <conditionalFormatting sqref="H32">
    <cfRule type="cellIs" dxfId="39" priority="93" operator="equal">
      <formula>"·¡$S$$P$16"</formula>
    </cfRule>
  </conditionalFormatting>
  <conditionalFormatting sqref="AH9">
    <cfRule type="cellIs" dxfId="38" priority="80" operator="equal">
      <formula>"·¡$S$$P$16"</formula>
    </cfRule>
  </conditionalFormatting>
  <conditionalFormatting sqref="H13:H31">
    <cfRule type="cellIs" dxfId="37" priority="48" operator="equal">
      <formula>"·¡$S$$P$16"</formula>
    </cfRule>
  </conditionalFormatting>
  <conditionalFormatting sqref="L12:L31">
    <cfRule type="cellIs" dxfId="36" priority="43" operator="equal">
      <formula>"·¡$S$$P$16"</formula>
    </cfRule>
  </conditionalFormatting>
  <conditionalFormatting sqref="L36:L52 L54:L56">
    <cfRule type="cellIs" dxfId="35" priority="42" operator="equal">
      <formula>"·¡$S$$P$16"</formula>
    </cfRule>
  </conditionalFormatting>
  <conditionalFormatting sqref="L59:L69">
    <cfRule type="cellIs" dxfId="34" priority="41" operator="equal">
      <formula>"·¡$S$$P$16"</formula>
    </cfRule>
  </conditionalFormatting>
  <conditionalFormatting sqref="N12:N31">
    <cfRule type="cellIs" dxfId="33" priority="40" operator="equal">
      <formula>"·¡$S$$P$16"</formula>
    </cfRule>
  </conditionalFormatting>
  <conditionalFormatting sqref="N37:N52 N54:N57">
    <cfRule type="cellIs" dxfId="32" priority="39" operator="equal">
      <formula>"·¡$S$$P$16"</formula>
    </cfRule>
  </conditionalFormatting>
  <conditionalFormatting sqref="N36">
    <cfRule type="cellIs" dxfId="31" priority="38" operator="equal">
      <formula>"·¡$S$$P$16"</formula>
    </cfRule>
  </conditionalFormatting>
  <conditionalFormatting sqref="N61:N69">
    <cfRule type="cellIs" dxfId="30" priority="37" operator="equal">
      <formula>"·¡$S$$P$16"</formula>
    </cfRule>
  </conditionalFormatting>
  <conditionalFormatting sqref="P59:P69">
    <cfRule type="cellIs" dxfId="29" priority="33" operator="equal">
      <formula>"·¡$S$$P$16"</formula>
    </cfRule>
  </conditionalFormatting>
  <conditionalFormatting sqref="P59:P69">
    <cfRule type="cellIs" dxfId="28" priority="32" operator="equal">
      <formula>"·¡$S$$P$16"</formula>
    </cfRule>
  </conditionalFormatting>
  <conditionalFormatting sqref="L70 N70 P70">
    <cfRule type="cellIs" dxfId="27" priority="27" operator="equal">
      <formula>"·¡$S$$P$16"</formula>
    </cfRule>
  </conditionalFormatting>
  <conditionalFormatting sqref="Q70">
    <cfRule type="cellIs" dxfId="26" priority="26" operator="equal">
      <formula>"·¡$S$$P$16"</formula>
    </cfRule>
  </conditionalFormatting>
  <conditionalFormatting sqref="Q12:Q31">
    <cfRule type="cellIs" dxfId="25" priority="25" operator="equal">
      <formula>"·¡$S$$P$16"</formula>
    </cfRule>
  </conditionalFormatting>
  <conditionalFormatting sqref="S34:S35">
    <cfRule type="cellIs" dxfId="24" priority="17" operator="equal">
      <formula>"·¡$S$$P$16"</formula>
    </cfRule>
  </conditionalFormatting>
  <conditionalFormatting sqref="I59:I60">
    <cfRule type="cellIs" dxfId="23" priority="21" operator="equal">
      <formula>"·¡$S$$P$16"</formula>
    </cfRule>
  </conditionalFormatting>
  <conditionalFormatting sqref="N59:N60">
    <cfRule type="cellIs" dxfId="22" priority="20" operator="equal">
      <formula>"·¡$S$$P$16"</formula>
    </cfRule>
  </conditionalFormatting>
  <conditionalFormatting sqref="S33 S59:S69 S12:S31 S36:S52 S54:S57">
    <cfRule type="cellIs" dxfId="21" priority="19" operator="equal">
      <formula>"·¡$S$$P$16"</formula>
    </cfRule>
  </conditionalFormatting>
  <conditionalFormatting sqref="S32">
    <cfRule type="cellIs" dxfId="20" priority="18" operator="equal">
      <formula>"·¡$S$$P$16"</formula>
    </cfRule>
  </conditionalFormatting>
  <conditionalFormatting sqref="L33">
    <cfRule type="cellIs" dxfId="19" priority="14" operator="equal">
      <formula>"·¡$S$$P$16"</formula>
    </cfRule>
  </conditionalFormatting>
  <conditionalFormatting sqref="S58">
    <cfRule type="cellIs" dxfId="18" priority="16" operator="equal">
      <formula>"·¡$S$$P$16"</formula>
    </cfRule>
  </conditionalFormatting>
  <conditionalFormatting sqref="S70">
    <cfRule type="cellIs" dxfId="17" priority="15" operator="equal">
      <formula>"·¡$S$$P$16"</formula>
    </cfRule>
  </conditionalFormatting>
  <conditionalFormatting sqref="I33">
    <cfRule type="cellIs" dxfId="16" priority="12" operator="equal">
      <formula>"·¡$S$$P$16"</formula>
    </cfRule>
  </conditionalFormatting>
  <conditionalFormatting sqref="N33">
    <cfRule type="cellIs" dxfId="15" priority="13" operator="equal">
      <formula>"·¡$S$$P$16"</formula>
    </cfRule>
  </conditionalFormatting>
  <conditionalFormatting sqref="L57">
    <cfRule type="cellIs" dxfId="14" priority="11" operator="equal">
      <formula>"·¡$S$$P$16"</formula>
    </cfRule>
  </conditionalFormatting>
  <conditionalFormatting sqref="V10:V11 V32 V58 V34:V35">
    <cfRule type="cellIs" dxfId="13" priority="10" operator="equal">
      <formula>"·¡$S$$P$16"</formula>
    </cfRule>
  </conditionalFormatting>
  <conditionalFormatting sqref="U10:U11 U32 U58 U34:U35">
    <cfRule type="cellIs" dxfId="12" priority="9" operator="equal">
      <formula>"·¡$S$$P$16"</formula>
    </cfRule>
  </conditionalFormatting>
  <conditionalFormatting sqref="P57">
    <cfRule type="cellIs" dxfId="11" priority="8" operator="equal">
      <formula>"·¡$S$$P$16"</formula>
    </cfRule>
  </conditionalFormatting>
  <conditionalFormatting sqref="P57">
    <cfRule type="cellIs" dxfId="10" priority="7" operator="equal">
      <formula>"·¡$S$$P$16"</formula>
    </cfRule>
  </conditionalFormatting>
  <conditionalFormatting sqref="W10 W70">
    <cfRule type="cellIs" dxfId="9" priority="6" operator="equal">
      <formula>"·¡$S$$P$16"</formula>
    </cfRule>
  </conditionalFormatting>
  <conditionalFormatting sqref="Y70 Y9:Y10">
    <cfRule type="cellIs" dxfId="8" priority="5" operator="equal">
      <formula>"·¡$S$$P$16"</formula>
    </cfRule>
  </conditionalFormatting>
  <conditionalFormatting sqref="M53:O53 J53:K53 Q53:R53">
    <cfRule type="cellIs" dxfId="7" priority="4" operator="equal">
      <formula>"·¡$S$$P$16"</formula>
    </cfRule>
  </conditionalFormatting>
  <conditionalFormatting sqref="L53">
    <cfRule type="cellIs" dxfId="6" priority="3" operator="equal">
      <formula>"·¡$S$$P$16"</formula>
    </cfRule>
  </conditionalFormatting>
  <conditionalFormatting sqref="N53">
    <cfRule type="cellIs" dxfId="5" priority="2" operator="equal">
      <formula>"·¡$S$$P$16"</formula>
    </cfRule>
  </conditionalFormatting>
  <conditionalFormatting sqref="S53">
    <cfRule type="cellIs" dxfId="4" priority="1" operator="equal">
      <formula>"·¡$S$$P$16"</formula>
    </cfRule>
  </conditionalFormatting>
  <printOptions horizontalCentered="1"/>
  <pageMargins left="1" right="1" top="1" bottom="1" header="0.5" footer="0.5"/>
  <pageSetup paperSize="5" scale="50" fitToHeight="0" orientation="landscape" r:id="rId1"/>
  <ignoredErrors>
    <ignoredError sqref="R10 K10 J49 R34:R35 R57 K32:K33 R38:R49 I35 M32:M33 O32:P32 K35" formula="1"/>
    <ignoredError sqref="C35 C58 C11 D58:D59 D34:D38 D13:D14 D40:D50 F16:F27" numberStoredAsText="1"/>
    <ignoredError sqref="T58 V58:V60 V57 V35:V36 L3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C1D6"/>
  </sheetPr>
  <dimension ref="A1:AV5"/>
  <sheetViews>
    <sheetView workbookViewId="0">
      <selection activeCell="G7" sqref="G7"/>
    </sheetView>
  </sheetViews>
  <sheetFormatPr baseColWidth="10" defaultRowHeight="15" x14ac:dyDescent="0.35"/>
  <cols>
    <col min="1" max="1" width="13.28515625" style="1465" customWidth="1"/>
    <col min="2" max="2" width="24.140625" style="1465" customWidth="1"/>
    <col min="3" max="3" width="24.140625" style="1465" hidden="1" customWidth="1"/>
    <col min="4" max="6" width="0" style="1465" hidden="1" customWidth="1"/>
    <col min="7" max="9" width="11.7109375" style="1465" bestFit="1" customWidth="1"/>
    <col min="10" max="11" width="11.42578125" style="1465"/>
    <col min="12" max="12" width="20" style="1465" customWidth="1"/>
    <col min="13" max="15" width="14.42578125" style="1465" hidden="1" customWidth="1"/>
    <col min="16" max="16" width="13.140625" style="1465" bestFit="1" customWidth="1"/>
    <col min="17" max="18" width="11.7109375" style="1465" bestFit="1" customWidth="1"/>
    <col min="19" max="20" width="11.42578125" style="1465"/>
    <col min="21" max="21" width="31" style="1465" customWidth="1"/>
    <col min="22" max="24" width="0" style="1465" hidden="1" customWidth="1"/>
    <col min="25" max="27" width="11.7109375" style="1465" bestFit="1" customWidth="1"/>
    <col min="28" max="30" width="11.42578125" style="1465"/>
    <col min="31" max="31" width="12.42578125" style="1465" bestFit="1" customWidth="1"/>
    <col min="32" max="33" width="11.7109375" style="1465" bestFit="1" customWidth="1"/>
    <col min="34" max="36" width="11.42578125" style="1465"/>
    <col min="37" max="37" width="13.28515625" style="1465" hidden="1" customWidth="1"/>
    <col min="38" max="39" width="11.85546875" style="1465" hidden="1" customWidth="1"/>
    <col min="40" max="40" width="11.85546875" style="1465" bestFit="1" customWidth="1"/>
    <col min="41" max="41" width="11.7109375" style="1465" bestFit="1" customWidth="1"/>
    <col min="42" max="43" width="11.42578125" style="1465"/>
    <col min="44" max="44" width="25.42578125" style="1465" customWidth="1"/>
    <col min="45" max="45" width="14.85546875" style="1465" hidden="1" customWidth="1"/>
    <col min="46" max="47" width="0" style="1465" hidden="1" customWidth="1"/>
    <col min="48" max="16384" width="11.42578125" style="1465"/>
  </cols>
  <sheetData>
    <row r="1" spans="1:48" x14ac:dyDescent="0.35">
      <c r="A1" s="1807" t="s">
        <v>0</v>
      </c>
      <c r="B1" s="1730"/>
      <c r="C1" s="1730"/>
      <c r="D1" s="1730"/>
      <c r="E1" s="1730"/>
      <c r="F1" s="1730"/>
      <c r="G1" s="1465">
        <v>1000</v>
      </c>
      <c r="H1" s="1465">
        <v>1</v>
      </c>
      <c r="K1" s="1730" t="s">
        <v>137</v>
      </c>
      <c r="L1" s="1730"/>
      <c r="M1" s="1730"/>
      <c r="N1" s="1730"/>
      <c r="O1" s="1730"/>
      <c r="P1" s="1465">
        <v>1000</v>
      </c>
      <c r="Q1" s="1465">
        <v>1</v>
      </c>
      <c r="T1" s="1730" t="s">
        <v>762</v>
      </c>
      <c r="U1" s="1730"/>
      <c r="V1" s="1730"/>
      <c r="W1" s="1730"/>
      <c r="X1" s="1730"/>
      <c r="Y1" s="1465">
        <v>1000</v>
      </c>
      <c r="Z1" s="1465">
        <v>1</v>
      </c>
      <c r="AC1" s="1730" t="s">
        <v>6</v>
      </c>
      <c r="AD1" s="1730"/>
      <c r="AE1" s="1730"/>
      <c r="AF1" s="1730"/>
      <c r="AG1" s="1730"/>
      <c r="AI1" s="1730" t="s">
        <v>1015</v>
      </c>
      <c r="AJ1" s="1730"/>
      <c r="AK1" s="1730"/>
      <c r="AL1" s="1730"/>
      <c r="AM1" s="1730"/>
      <c r="AN1" s="1465">
        <v>1000</v>
      </c>
      <c r="AO1" s="1465">
        <v>1</v>
      </c>
      <c r="AQ1" s="1465" t="s">
        <v>1035</v>
      </c>
      <c r="AU1" s="1465">
        <v>1000</v>
      </c>
      <c r="AV1" s="1465">
        <v>1</v>
      </c>
    </row>
    <row r="2" spans="1:48" s="1466" customFormat="1" ht="45" x14ac:dyDescent="0.35">
      <c r="A2" s="1431" t="s">
        <v>425</v>
      </c>
      <c r="B2" s="1431" t="s">
        <v>453</v>
      </c>
      <c r="C2" s="1431" t="s">
        <v>427</v>
      </c>
      <c r="D2" s="1431" t="s">
        <v>467</v>
      </c>
      <c r="E2" s="1431" t="s">
        <v>487</v>
      </c>
      <c r="F2" s="1431" t="s">
        <v>429</v>
      </c>
      <c r="G2" s="1431" t="s">
        <v>467</v>
      </c>
      <c r="H2" s="1431" t="s">
        <v>487</v>
      </c>
      <c r="I2" s="1431" t="s">
        <v>429</v>
      </c>
      <c r="K2" s="1431" t="s">
        <v>425</v>
      </c>
      <c r="L2" s="1431" t="s">
        <v>453</v>
      </c>
      <c r="M2" s="1431" t="s">
        <v>467</v>
      </c>
      <c r="N2" s="1431" t="s">
        <v>487</v>
      </c>
      <c r="O2" s="1431" t="s">
        <v>429</v>
      </c>
      <c r="P2" s="1431" t="s">
        <v>467</v>
      </c>
      <c r="Q2" s="1431" t="s">
        <v>487</v>
      </c>
      <c r="R2" s="1431" t="s">
        <v>429</v>
      </c>
      <c r="T2" s="1431" t="s">
        <v>425</v>
      </c>
      <c r="U2" s="1431" t="s">
        <v>453</v>
      </c>
      <c r="V2" s="1431" t="s">
        <v>467</v>
      </c>
      <c r="W2" s="1431" t="s">
        <v>487</v>
      </c>
      <c r="X2" s="1431" t="s">
        <v>429</v>
      </c>
      <c r="Y2" s="1431" t="s">
        <v>467</v>
      </c>
      <c r="Z2" s="1431" t="s">
        <v>487</v>
      </c>
      <c r="AA2" s="1431" t="s">
        <v>429</v>
      </c>
      <c r="AC2" s="1431" t="s">
        <v>425</v>
      </c>
      <c r="AD2" s="1431" t="s">
        <v>453</v>
      </c>
      <c r="AE2" s="1431" t="s">
        <v>467</v>
      </c>
      <c r="AF2" s="1431" t="s">
        <v>487</v>
      </c>
      <c r="AG2" s="1431" t="s">
        <v>429</v>
      </c>
      <c r="AI2" s="1431" t="s">
        <v>425</v>
      </c>
      <c r="AJ2" s="1431" t="s">
        <v>453</v>
      </c>
      <c r="AK2" s="1431" t="s">
        <v>467</v>
      </c>
      <c r="AL2" s="1431" t="s">
        <v>487</v>
      </c>
      <c r="AM2" s="1431" t="s">
        <v>429</v>
      </c>
      <c r="AN2" s="1431" t="s">
        <v>467</v>
      </c>
      <c r="AQ2" s="1042" t="s">
        <v>425</v>
      </c>
      <c r="AR2" s="1042" t="s">
        <v>453</v>
      </c>
      <c r="AS2" s="1042" t="s">
        <v>467</v>
      </c>
      <c r="AT2" s="1042" t="s">
        <v>487</v>
      </c>
      <c r="AU2" s="1042" t="s">
        <v>429</v>
      </c>
      <c r="AV2" s="1042" t="str">
        <f>+AS2</f>
        <v>Monto Requerimiento</v>
      </c>
    </row>
    <row r="3" spans="1:48" x14ac:dyDescent="0.35">
      <c r="A3" s="1467" t="s">
        <v>486</v>
      </c>
      <c r="B3" s="1463" t="s">
        <v>246</v>
      </c>
      <c r="C3" s="1463" t="s">
        <v>825</v>
      </c>
      <c r="D3" s="367">
        <v>76538652000</v>
      </c>
      <c r="E3" s="367">
        <v>0</v>
      </c>
      <c r="F3" s="367">
        <v>0</v>
      </c>
      <c r="G3" s="367">
        <f>+D3/$G$1*$H$1</f>
        <v>76538652</v>
      </c>
      <c r="H3" s="367">
        <f t="shared" ref="H3:I4" si="0">+E3/$G$1*$H$1</f>
        <v>0</v>
      </c>
      <c r="I3" s="367">
        <f t="shared" si="0"/>
        <v>0</v>
      </c>
      <c r="K3" s="1467" t="s">
        <v>486</v>
      </c>
      <c r="L3" s="1463" t="s">
        <v>246</v>
      </c>
      <c r="M3" s="367">
        <v>-6800000000</v>
      </c>
      <c r="N3" s="367">
        <v>0</v>
      </c>
      <c r="O3" s="367">
        <v>0</v>
      </c>
      <c r="P3" s="1464">
        <f>+M3/$P$1*$Q$1</f>
        <v>-6800000</v>
      </c>
      <c r="Q3" s="1464">
        <f t="shared" ref="Q3:R3" si="1">+N3/$P$1*$Q$1</f>
        <v>0</v>
      </c>
      <c r="R3" s="1464">
        <f t="shared" si="1"/>
        <v>0</v>
      </c>
      <c r="T3" s="1463" t="s">
        <v>486</v>
      </c>
      <c r="U3" s="1463" t="s">
        <v>246</v>
      </c>
      <c r="V3" s="367">
        <v>69738652000</v>
      </c>
      <c r="W3" s="367">
        <v>0</v>
      </c>
      <c r="X3" s="367">
        <v>0</v>
      </c>
      <c r="Y3" s="367">
        <f>+V3/$Y$1*$Z$1</f>
        <v>69738652</v>
      </c>
      <c r="Z3" s="367">
        <f t="shared" ref="Z3:AA4" si="2">+W3/$Y$1*$Z$1</f>
        <v>0</v>
      </c>
      <c r="AA3" s="367">
        <f t="shared" si="2"/>
        <v>0</v>
      </c>
      <c r="AC3" s="1468" t="s">
        <v>486</v>
      </c>
      <c r="AD3" s="1470" t="s">
        <v>246</v>
      </c>
      <c r="AE3" s="1469">
        <v>-1626465000</v>
      </c>
      <c r="AF3" s="1469">
        <v>0</v>
      </c>
      <c r="AG3" s="1469">
        <v>0</v>
      </c>
      <c r="AI3" s="1468" t="s">
        <v>486</v>
      </c>
      <c r="AJ3" s="1470" t="s">
        <v>246</v>
      </c>
      <c r="AK3" s="1471">
        <v>68112187000</v>
      </c>
      <c r="AL3" s="1471">
        <v>0</v>
      </c>
      <c r="AM3" s="1471">
        <v>0</v>
      </c>
      <c r="AN3" s="1472">
        <f>+AK3/$AN$1*$AO$1</f>
        <v>68112187</v>
      </c>
      <c r="AQ3" s="1468" t="s">
        <v>1033</v>
      </c>
      <c r="AR3" s="1470" t="s">
        <v>1034</v>
      </c>
      <c r="AS3" s="1472">
        <v>17013352000</v>
      </c>
      <c r="AT3" s="248">
        <v>0</v>
      </c>
      <c r="AU3" s="248">
        <v>0</v>
      </c>
      <c r="AV3" s="1641">
        <f>+AS3/$AU$1*$AV$1</f>
        <v>17013352</v>
      </c>
    </row>
    <row r="4" spans="1:48" x14ac:dyDescent="0.35">
      <c r="A4" s="1467" t="s">
        <v>712</v>
      </c>
      <c r="B4" s="1463" t="s">
        <v>713</v>
      </c>
      <c r="C4" s="1463" t="s">
        <v>825</v>
      </c>
      <c r="D4" s="367">
        <v>36987209000</v>
      </c>
      <c r="E4" s="367">
        <v>0</v>
      </c>
      <c r="F4" s="367">
        <v>0</v>
      </c>
      <c r="G4" s="367">
        <f>+D4/$G$1*$H$1</f>
        <v>36987209</v>
      </c>
      <c r="H4" s="367">
        <f t="shared" si="0"/>
        <v>0</v>
      </c>
      <c r="I4" s="367">
        <f t="shared" si="0"/>
        <v>0</v>
      </c>
      <c r="T4" s="1463" t="s">
        <v>712</v>
      </c>
      <c r="U4" s="1463" t="s">
        <v>713</v>
      </c>
      <c r="V4" s="367">
        <v>36987209000</v>
      </c>
      <c r="W4" s="367">
        <v>0</v>
      </c>
      <c r="X4" s="367">
        <v>0</v>
      </c>
      <c r="Y4" s="367">
        <f>+V4/$Y$1*$Z$1</f>
        <v>36987209</v>
      </c>
      <c r="Z4" s="367">
        <f t="shared" si="2"/>
        <v>0</v>
      </c>
      <c r="AA4" s="367">
        <f t="shared" si="2"/>
        <v>0</v>
      </c>
      <c r="AC4" s="1468" t="s">
        <v>712</v>
      </c>
      <c r="AD4" s="1470" t="s">
        <v>713</v>
      </c>
      <c r="AE4" s="1469">
        <v>-9873000</v>
      </c>
      <c r="AF4" s="1469">
        <v>0</v>
      </c>
      <c r="AG4" s="1469">
        <v>0</v>
      </c>
      <c r="AI4" s="1468" t="s">
        <v>712</v>
      </c>
      <c r="AJ4" s="1470" t="s">
        <v>713</v>
      </c>
      <c r="AK4" s="1471">
        <v>36977336000</v>
      </c>
      <c r="AL4" s="1471">
        <v>0</v>
      </c>
      <c r="AM4" s="1471">
        <v>0</v>
      </c>
      <c r="AN4" s="1472">
        <f>+AK4/$AN$1*$AO$1</f>
        <v>36977336</v>
      </c>
      <c r="AQ4" s="1468" t="s">
        <v>486</v>
      </c>
      <c r="AR4" s="1470" t="s">
        <v>246</v>
      </c>
      <c r="AS4" s="1472">
        <v>67312190000</v>
      </c>
      <c r="AT4" s="248">
        <v>0</v>
      </c>
      <c r="AU4" s="248">
        <v>0</v>
      </c>
      <c r="AV4" s="1641">
        <f t="shared" ref="AV4:AV5" si="3">+AS4/$AU$1*$AV$1</f>
        <v>67312190</v>
      </c>
    </row>
    <row r="5" spans="1:48" x14ac:dyDescent="0.35">
      <c r="AQ5" s="1468" t="s">
        <v>712</v>
      </c>
      <c r="AR5" s="1470" t="s">
        <v>713</v>
      </c>
      <c r="AS5" s="1472">
        <v>18978292000</v>
      </c>
      <c r="AT5" s="248">
        <v>0</v>
      </c>
      <c r="AU5" s="248">
        <v>0</v>
      </c>
      <c r="AV5" s="1641">
        <f t="shared" si="3"/>
        <v>18978292</v>
      </c>
    </row>
  </sheetData>
  <mergeCells count="5">
    <mergeCell ref="AI1:AM1"/>
    <mergeCell ref="AC1:AG1"/>
    <mergeCell ref="A1:F1"/>
    <mergeCell ref="K1:O1"/>
    <mergeCell ref="T1:X1"/>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D14"/>
  <sheetViews>
    <sheetView topLeftCell="R1" zoomScale="110" zoomScaleNormal="110" workbookViewId="0">
      <selection activeCell="Y19" sqref="Y19"/>
    </sheetView>
  </sheetViews>
  <sheetFormatPr baseColWidth="10" defaultRowHeight="15" x14ac:dyDescent="0.25"/>
  <cols>
    <col min="2" max="2" width="14.7109375" customWidth="1"/>
    <col min="3" max="3" width="19.140625" customWidth="1"/>
    <col min="4" max="4" width="19.140625" style="75" customWidth="1"/>
    <col min="5" max="5" width="13.85546875" bestFit="1" customWidth="1"/>
    <col min="9" max="9" width="18" customWidth="1"/>
    <col min="10" max="10" width="22.140625" customWidth="1"/>
    <col min="11" max="11" width="15.42578125" customWidth="1"/>
    <col min="12" max="12" width="26" customWidth="1"/>
    <col min="15" max="15" width="0" hidden="1" customWidth="1"/>
    <col min="16" max="16" width="17.5703125" customWidth="1"/>
    <col min="21" max="22" width="17" customWidth="1"/>
    <col min="23" max="23" width="17" style="75" customWidth="1"/>
    <col min="30" max="30" width="16.5703125" customWidth="1"/>
    <col min="35" max="35" width="9.28515625" customWidth="1"/>
    <col min="38" max="38" width="23.28515625" customWidth="1"/>
    <col min="39" max="41" width="0" hidden="1" customWidth="1"/>
    <col min="42" max="42" width="13" hidden="1" customWidth="1"/>
    <col min="43" max="43" width="13.7109375" hidden="1" customWidth="1"/>
    <col min="44" max="44" width="0" hidden="1" customWidth="1"/>
    <col min="53" max="53" width="14.85546875" customWidth="1"/>
    <col min="54" max="54" width="16.28515625" hidden="1" customWidth="1"/>
    <col min="55" max="56" width="15" hidden="1" customWidth="1"/>
    <col min="57" max="57" width="13.7109375" customWidth="1"/>
    <col min="58" max="58" width="17.28515625" customWidth="1"/>
    <col min="67" max="69" width="0" hidden="1" customWidth="1"/>
    <col min="78" max="78" width="23.7109375" customWidth="1"/>
    <col min="79" max="79" width="12.140625" hidden="1" customWidth="1"/>
    <col min="80" max="81" width="11.5703125" hidden="1" customWidth="1"/>
    <col min="82" max="82" width="15.5703125" customWidth="1"/>
    <col min="83" max="83" width="12.7109375" customWidth="1"/>
    <col min="84" max="84" width="12.85546875" customWidth="1"/>
    <col min="85" max="85" width="6.42578125" customWidth="1"/>
    <col min="86" max="86" width="3.42578125" customWidth="1"/>
    <col min="89" max="89" width="36.85546875" customWidth="1"/>
    <col min="90" max="90" width="16.85546875" customWidth="1"/>
    <col min="91" max="92" width="11.42578125" style="570"/>
    <col min="93" max="93" width="18.85546875" customWidth="1"/>
    <col min="95" max="95" width="3" customWidth="1"/>
    <col min="98" max="98" width="31.5703125" customWidth="1"/>
    <col min="99" max="99" width="39.28515625" hidden="1" customWidth="1"/>
    <col min="100" max="100" width="14.85546875" hidden="1" customWidth="1"/>
    <col min="101" max="102" width="12.42578125" hidden="1" customWidth="1"/>
    <col min="103" max="103" width="13.85546875" customWidth="1"/>
    <col min="104" max="104" width="12.28515625" customWidth="1"/>
    <col min="105" max="105" width="11.5703125" bestFit="1" customWidth="1"/>
    <col min="106" max="106" width="8.140625" customWidth="1"/>
    <col min="107" max="107" width="3" customWidth="1"/>
    <col min="109" max="109" width="15.140625" customWidth="1"/>
    <col min="110" max="110" width="36.85546875" customWidth="1"/>
    <col min="111" max="114" width="15.140625" hidden="1" customWidth="1"/>
    <col min="115" max="115" width="15.140625" customWidth="1"/>
    <col min="119" max="119" width="13.5703125" customWidth="1"/>
    <col min="120" max="120" width="15.7109375" customWidth="1"/>
    <col min="121" max="121" width="18.42578125" customWidth="1"/>
    <col min="122" max="124" width="0" hidden="1" customWidth="1"/>
    <col min="125" max="125" width="18" customWidth="1"/>
    <col min="134" max="134" width="14.28515625" customWidth="1"/>
    <col min="139" max="139" width="33.7109375" customWidth="1"/>
    <col min="140" max="143" width="0" hidden="1" customWidth="1"/>
    <col min="151" max="151" width="40.140625" customWidth="1"/>
    <col min="152" max="152" width="32.7109375" hidden="1" customWidth="1"/>
    <col min="153" max="153" width="0" hidden="1" customWidth="1"/>
    <col min="159" max="159" width="59.7109375" customWidth="1"/>
    <col min="160" max="160" width="24.42578125" hidden="1" customWidth="1"/>
    <col min="161" max="163" width="0" hidden="1" customWidth="1"/>
    <col min="164" max="164" width="18.42578125" customWidth="1"/>
    <col min="173" max="173" width="15.42578125" hidden="1" customWidth="1"/>
    <col min="174" max="175" width="15.42578125" style="75" hidden="1" customWidth="1"/>
    <col min="176" max="176" width="12" hidden="1" customWidth="1"/>
    <col min="177" max="177" width="12" style="75" hidden="1" customWidth="1"/>
    <col min="178" max="178" width="12" style="75" customWidth="1"/>
    <col min="180" max="180" width="7.85546875" customWidth="1"/>
    <col min="183" max="183" width="39.42578125" customWidth="1"/>
    <col min="184" max="187" width="0" hidden="1" customWidth="1"/>
    <col min="196" max="196" width="32.5703125" customWidth="1"/>
    <col min="197" max="197" width="26.85546875" hidden="1" customWidth="1"/>
    <col min="198" max="198" width="0" hidden="1" customWidth="1"/>
    <col min="204" max="204" width="38.7109375" customWidth="1"/>
    <col min="205" max="207" width="0" hidden="1" customWidth="1"/>
    <col min="208" max="208" width="18.28515625" customWidth="1"/>
  </cols>
  <sheetData>
    <row r="1" spans="1:212" x14ac:dyDescent="0.25">
      <c r="A1" s="1756">
        <v>44562</v>
      </c>
      <c r="B1" s="1729"/>
      <c r="C1" s="1729"/>
      <c r="D1" s="1729"/>
      <c r="E1" s="1729"/>
      <c r="I1" s="1729" t="s">
        <v>694</v>
      </c>
      <c r="J1" s="1729"/>
      <c r="K1" s="1729"/>
      <c r="M1" s="1729" t="s">
        <v>762</v>
      </c>
      <c r="N1" s="1729"/>
      <c r="O1" s="1729"/>
      <c r="P1" s="1729"/>
      <c r="T1" s="1729" t="s">
        <v>693</v>
      </c>
      <c r="U1" s="1729"/>
      <c r="V1" s="1729"/>
      <c r="W1" s="1729"/>
      <c r="X1" s="1729"/>
      <c r="AB1" s="1729" t="s">
        <v>695</v>
      </c>
      <c r="AC1" s="1729"/>
      <c r="AD1" s="1729"/>
      <c r="AE1" s="1729"/>
      <c r="AF1" s="1729"/>
      <c r="AJ1" s="1729" t="s">
        <v>696</v>
      </c>
      <c r="AK1" s="1729"/>
      <c r="AL1" s="1729"/>
      <c r="AM1" s="1729"/>
      <c r="AN1" s="1729"/>
      <c r="AO1" s="1729"/>
      <c r="AP1" s="1729"/>
      <c r="AQ1" s="1729"/>
      <c r="AR1" s="1729"/>
      <c r="AS1" s="1729"/>
      <c r="AW1" s="1729" t="s">
        <v>697</v>
      </c>
      <c r="AX1" s="1729"/>
      <c r="AY1" s="1729"/>
      <c r="AZ1" s="1729"/>
      <c r="BA1" s="1729"/>
      <c r="BB1" s="1729"/>
      <c r="BC1" s="1729"/>
      <c r="BD1" s="1729"/>
      <c r="BE1" s="1729"/>
      <c r="BF1" s="1729"/>
      <c r="BG1" s="1729"/>
      <c r="BK1" s="1756" t="s">
        <v>845</v>
      </c>
      <c r="BL1" s="1729"/>
      <c r="BM1" s="1729"/>
      <c r="BN1" s="1729"/>
      <c r="BO1" s="1729"/>
      <c r="BP1" s="1729"/>
      <c r="BQ1" s="1729"/>
      <c r="BR1" s="1729"/>
      <c r="BS1" s="1729"/>
      <c r="BT1" s="1729"/>
      <c r="BU1" s="1729"/>
      <c r="BV1" s="1729"/>
      <c r="BX1" s="1729" t="s">
        <v>650</v>
      </c>
      <c r="BY1" s="1729"/>
      <c r="BZ1" s="1729"/>
      <c r="CA1" s="1729"/>
      <c r="CB1" s="1729"/>
      <c r="CC1" s="1729"/>
      <c r="CD1" s="1729"/>
      <c r="CE1" s="1729"/>
      <c r="CF1" s="1729"/>
      <c r="CJ1" s="1729" t="s">
        <v>79</v>
      </c>
      <c r="CK1" s="1729"/>
      <c r="CL1" s="1729"/>
      <c r="CM1" s="1729"/>
      <c r="CN1" s="1729"/>
      <c r="CO1" s="1729"/>
      <c r="CS1" s="1729" t="s">
        <v>861</v>
      </c>
      <c r="CT1" s="1729"/>
      <c r="CU1" s="1729"/>
      <c r="CV1" s="1729"/>
      <c r="CW1" s="1729"/>
      <c r="CX1" s="1729"/>
      <c r="CY1" s="1729"/>
      <c r="CZ1" s="1729"/>
      <c r="DA1" s="1729"/>
      <c r="DE1" s="1729" t="s">
        <v>10</v>
      </c>
      <c r="DF1" s="1729"/>
      <c r="DG1" s="1729"/>
      <c r="DH1" s="1729"/>
      <c r="DI1" s="1729"/>
      <c r="DJ1" s="1729"/>
      <c r="DK1" s="1729"/>
      <c r="DL1" s="1729"/>
      <c r="DO1" s="1729" t="s">
        <v>870</v>
      </c>
      <c r="DP1" s="1729"/>
      <c r="DQ1" s="1729"/>
      <c r="DR1" s="1729"/>
      <c r="DS1" s="1729"/>
      <c r="DT1" s="1729"/>
      <c r="DU1" s="1729"/>
      <c r="DV1" s="1729"/>
      <c r="DW1" s="1729"/>
      <c r="EA1" s="1729" t="s">
        <v>877</v>
      </c>
      <c r="EB1" s="1729"/>
      <c r="EC1" s="1729"/>
      <c r="ED1" s="1729"/>
      <c r="EE1" s="1729"/>
      <c r="EF1" s="1729"/>
      <c r="EH1" s="1729" t="s">
        <v>876</v>
      </c>
      <c r="EI1" s="1729"/>
      <c r="EJ1" s="1729"/>
      <c r="EK1" s="1729"/>
      <c r="EL1" s="1729"/>
      <c r="EM1" s="1729"/>
      <c r="EN1" s="1729"/>
      <c r="EO1" s="1729"/>
      <c r="EP1" s="1729"/>
      <c r="EQ1" s="1729"/>
      <c r="ET1" s="1729" t="s">
        <v>12</v>
      </c>
      <c r="EU1" s="1729"/>
      <c r="EV1" s="1729"/>
      <c r="EW1" s="1729"/>
      <c r="EX1" s="1729"/>
      <c r="EY1" s="1729"/>
      <c r="EZ1" s="1729"/>
      <c r="FB1" s="1729" t="s">
        <v>898</v>
      </c>
      <c r="FC1" s="1729"/>
      <c r="FD1" s="1729"/>
      <c r="FE1" s="1729"/>
      <c r="FF1" s="1729"/>
      <c r="FG1" s="1729"/>
      <c r="FH1" s="1729"/>
      <c r="FI1" s="1729"/>
      <c r="FJ1" s="1729"/>
      <c r="FN1" s="1729" t="s">
        <v>13</v>
      </c>
      <c r="FO1" s="1729"/>
      <c r="FP1" s="1729"/>
      <c r="FQ1" s="1729"/>
      <c r="FR1" s="1729"/>
      <c r="FS1" s="1729"/>
      <c r="FT1" s="1729"/>
      <c r="FU1" s="801"/>
      <c r="FV1" s="801"/>
      <c r="FZ1" s="1729" t="s">
        <v>909</v>
      </c>
      <c r="GA1" s="1729"/>
      <c r="GB1" s="1729"/>
      <c r="GC1" s="1729"/>
      <c r="GD1" s="1729"/>
      <c r="GE1" s="1729"/>
      <c r="GF1" s="1729"/>
      <c r="GG1" s="1729"/>
      <c r="GH1" s="1729"/>
      <c r="GM1" s="1757" t="s">
        <v>14</v>
      </c>
      <c r="GN1" s="1757"/>
      <c r="GO1" s="1757"/>
      <c r="GP1" s="1757"/>
      <c r="GQ1" s="1757"/>
      <c r="GR1" s="1757"/>
      <c r="GS1" s="1757"/>
      <c r="GT1" s="74"/>
      <c r="GU1" s="1757" t="s">
        <v>917</v>
      </c>
      <c r="GV1" s="1757"/>
      <c r="GW1" s="1757"/>
      <c r="GX1" s="1757"/>
      <c r="GY1" s="1757"/>
      <c r="GZ1" s="1757"/>
      <c r="HA1" s="1757"/>
      <c r="HB1" s="1757"/>
      <c r="HC1" s="1757"/>
      <c r="HD1" s="1757"/>
    </row>
    <row r="2" spans="1:212" ht="33" customHeight="1" x14ac:dyDescent="0.25">
      <c r="A2" s="98" t="s">
        <v>425</v>
      </c>
      <c r="B2" s="98" t="s">
        <v>453</v>
      </c>
      <c r="C2" s="98" t="s">
        <v>467</v>
      </c>
      <c r="D2" s="98" t="s">
        <v>467</v>
      </c>
      <c r="E2" s="98" t="s">
        <v>429</v>
      </c>
      <c r="F2">
        <v>1000</v>
      </c>
      <c r="G2">
        <v>1.0629999999999999</v>
      </c>
      <c r="I2" s="100" t="s">
        <v>425</v>
      </c>
      <c r="J2" s="100" t="s">
        <v>453</v>
      </c>
      <c r="K2" s="100" t="s">
        <v>429</v>
      </c>
      <c r="M2" s="100" t="s">
        <v>425</v>
      </c>
      <c r="N2" s="100" t="s">
        <v>453</v>
      </c>
      <c r="O2" s="100" t="s">
        <v>467</v>
      </c>
      <c r="P2" s="100" t="s">
        <v>467</v>
      </c>
      <c r="Q2" s="75">
        <v>1000</v>
      </c>
      <c r="R2" s="75">
        <v>1.0629999999999999</v>
      </c>
      <c r="T2" s="303" t="s">
        <v>425</v>
      </c>
      <c r="U2" s="303" t="s">
        <v>453</v>
      </c>
      <c r="V2" s="303" t="s">
        <v>467</v>
      </c>
      <c r="W2" s="303" t="s">
        <v>467</v>
      </c>
      <c r="X2" s="303" t="s">
        <v>429</v>
      </c>
      <c r="Y2">
        <v>1000</v>
      </c>
      <c r="Z2">
        <v>1.0629999999999999</v>
      </c>
      <c r="AB2" s="1419" t="s">
        <v>425</v>
      </c>
      <c r="AC2" s="1419" t="s">
        <v>453</v>
      </c>
      <c r="AD2" s="1419" t="s">
        <v>467</v>
      </c>
      <c r="AE2" s="1419" t="s">
        <v>467</v>
      </c>
      <c r="AF2" s="1419">
        <v>1000</v>
      </c>
      <c r="AG2">
        <v>1.0629999999999999</v>
      </c>
      <c r="AJ2" s="303" t="s">
        <v>425</v>
      </c>
      <c r="AK2" s="303" t="s">
        <v>453</v>
      </c>
      <c r="AL2" s="303" t="s">
        <v>427</v>
      </c>
      <c r="AM2" s="303" t="s">
        <v>428</v>
      </c>
      <c r="AN2" s="303" t="s">
        <v>467</v>
      </c>
      <c r="AO2" s="303" t="s">
        <v>487</v>
      </c>
      <c r="AP2" s="303" t="s">
        <v>429</v>
      </c>
      <c r="AQ2" s="303" t="s">
        <v>821</v>
      </c>
      <c r="AR2" s="303" t="s">
        <v>824</v>
      </c>
      <c r="AS2" s="303" t="s">
        <v>823</v>
      </c>
      <c r="AT2">
        <v>1000</v>
      </c>
      <c r="AU2">
        <v>1</v>
      </c>
      <c r="AW2" s="303" t="s">
        <v>425</v>
      </c>
      <c r="AX2" s="303" t="s">
        <v>453</v>
      </c>
      <c r="AY2" s="303" t="s">
        <v>426</v>
      </c>
      <c r="AZ2" s="303" t="s">
        <v>535</v>
      </c>
      <c r="BA2" s="303" t="s">
        <v>427</v>
      </c>
      <c r="BB2" s="303" t="s">
        <v>467</v>
      </c>
      <c r="BC2" s="303" t="s">
        <v>487</v>
      </c>
      <c r="BD2" s="303" t="s">
        <v>429</v>
      </c>
      <c r="BE2" s="303" t="s">
        <v>821</v>
      </c>
      <c r="BF2" s="303" t="s">
        <v>824</v>
      </c>
      <c r="BG2" s="303" t="s">
        <v>823</v>
      </c>
      <c r="BH2">
        <v>1000</v>
      </c>
      <c r="BI2">
        <v>1</v>
      </c>
      <c r="BK2" s="303" t="s">
        <v>425</v>
      </c>
      <c r="BL2" s="303" t="s">
        <v>453</v>
      </c>
      <c r="BM2" s="303" t="s">
        <v>427</v>
      </c>
      <c r="BN2" s="303" t="s">
        <v>428</v>
      </c>
      <c r="BO2" s="303" t="s">
        <v>467</v>
      </c>
      <c r="BP2" s="303" t="s">
        <v>487</v>
      </c>
      <c r="BQ2" s="303" t="s">
        <v>429</v>
      </c>
      <c r="BR2" s="303" t="s">
        <v>467</v>
      </c>
      <c r="BS2" s="303" t="s">
        <v>487</v>
      </c>
      <c r="BT2" s="303" t="s">
        <v>429</v>
      </c>
      <c r="BU2">
        <v>1000</v>
      </c>
      <c r="BV2">
        <v>1</v>
      </c>
      <c r="BX2" s="303" t="s">
        <v>425</v>
      </c>
      <c r="BY2" s="303" t="s">
        <v>453</v>
      </c>
      <c r="BZ2" s="303" t="s">
        <v>427</v>
      </c>
      <c r="CA2" s="303" t="s">
        <v>467</v>
      </c>
      <c r="CB2" s="303" t="s">
        <v>487</v>
      </c>
      <c r="CC2" s="303" t="s">
        <v>429</v>
      </c>
      <c r="CD2" s="303" t="s">
        <v>467</v>
      </c>
      <c r="CE2" s="303" t="s">
        <v>487</v>
      </c>
      <c r="CF2" s="303" t="s">
        <v>429</v>
      </c>
      <c r="CG2">
        <v>1000</v>
      </c>
      <c r="CH2">
        <v>1</v>
      </c>
      <c r="CJ2" s="303" t="s">
        <v>425</v>
      </c>
      <c r="CK2" s="303" t="s">
        <v>453</v>
      </c>
      <c r="CL2" s="303" t="s">
        <v>467</v>
      </c>
      <c r="CM2" s="303" t="s">
        <v>487</v>
      </c>
      <c r="CN2" s="303" t="s">
        <v>429</v>
      </c>
      <c r="CO2" s="303" t="s">
        <v>858</v>
      </c>
      <c r="CP2">
        <v>1000</v>
      </c>
      <c r="CQ2">
        <v>1</v>
      </c>
      <c r="CS2" s="303" t="s">
        <v>425</v>
      </c>
      <c r="CT2" s="303" t="s">
        <v>453</v>
      </c>
      <c r="CU2" s="303" t="s">
        <v>427</v>
      </c>
      <c r="CV2" s="303" t="s">
        <v>467</v>
      </c>
      <c r="CW2" s="303" t="s">
        <v>487</v>
      </c>
      <c r="CX2" s="303" t="s">
        <v>429</v>
      </c>
      <c r="CY2" s="303" t="s">
        <v>858</v>
      </c>
      <c r="CZ2" s="303" t="s">
        <v>859</v>
      </c>
      <c r="DA2" s="303" t="s">
        <v>860</v>
      </c>
      <c r="DB2">
        <v>1000</v>
      </c>
      <c r="DC2">
        <v>1</v>
      </c>
      <c r="DE2" s="303" t="s">
        <v>425</v>
      </c>
      <c r="DF2" s="303" t="s">
        <v>453</v>
      </c>
      <c r="DG2" s="303" t="s">
        <v>427</v>
      </c>
      <c r="DH2" s="303" t="s">
        <v>467</v>
      </c>
      <c r="DI2" s="303" t="s">
        <v>487</v>
      </c>
      <c r="DJ2" s="303" t="s">
        <v>429</v>
      </c>
      <c r="DK2" s="303" t="s">
        <v>467</v>
      </c>
      <c r="DL2">
        <v>1000</v>
      </c>
      <c r="DM2">
        <v>1</v>
      </c>
      <c r="DO2" s="303" t="s">
        <v>425</v>
      </c>
      <c r="DP2" s="303" t="s">
        <v>453</v>
      </c>
      <c r="DQ2" s="303" t="s">
        <v>427</v>
      </c>
      <c r="DR2" s="303" t="s">
        <v>467</v>
      </c>
      <c r="DS2" s="303" t="s">
        <v>487</v>
      </c>
      <c r="DT2" s="303" t="s">
        <v>429</v>
      </c>
      <c r="DU2" s="303" t="s">
        <v>467</v>
      </c>
      <c r="DV2" s="303" t="s">
        <v>487</v>
      </c>
      <c r="DW2" s="303" t="s">
        <v>429</v>
      </c>
      <c r="DX2">
        <v>1000</v>
      </c>
      <c r="DY2">
        <v>1</v>
      </c>
      <c r="EA2" s="325" t="s">
        <v>425</v>
      </c>
      <c r="EB2" s="325" t="s">
        <v>453</v>
      </c>
      <c r="EC2" s="325" t="s">
        <v>427</v>
      </c>
      <c r="ED2" s="325" t="s">
        <v>467</v>
      </c>
      <c r="EE2" s="325" t="s">
        <v>487</v>
      </c>
      <c r="EF2" s="325" t="s">
        <v>429</v>
      </c>
      <c r="EH2" s="325" t="s">
        <v>425</v>
      </c>
      <c r="EI2" s="325" t="s">
        <v>453</v>
      </c>
      <c r="EJ2" s="325" t="s">
        <v>427</v>
      </c>
      <c r="EK2" s="325" t="s">
        <v>467</v>
      </c>
      <c r="EL2" s="325" t="s">
        <v>487</v>
      </c>
      <c r="EM2" s="325" t="s">
        <v>429</v>
      </c>
      <c r="EN2" s="325" t="s">
        <v>467</v>
      </c>
      <c r="EO2" s="325" t="s">
        <v>487</v>
      </c>
      <c r="EP2" s="325" t="s">
        <v>429</v>
      </c>
      <c r="EQ2">
        <v>1000</v>
      </c>
      <c r="ER2">
        <v>1</v>
      </c>
      <c r="ET2" s="325" t="s">
        <v>425</v>
      </c>
      <c r="EU2" s="325" t="s">
        <v>453</v>
      </c>
      <c r="EV2" s="325" t="s">
        <v>427</v>
      </c>
      <c r="EW2" s="325" t="s">
        <v>429</v>
      </c>
      <c r="EX2" s="325" t="s">
        <v>429</v>
      </c>
      <c r="EY2">
        <v>1000</v>
      </c>
      <c r="EZ2">
        <v>1</v>
      </c>
      <c r="FB2" s="325" t="s">
        <v>425</v>
      </c>
      <c r="FC2" s="325" t="s">
        <v>453</v>
      </c>
      <c r="FD2" s="325" t="s">
        <v>427</v>
      </c>
      <c r="FE2" s="325" t="s">
        <v>467</v>
      </c>
      <c r="FF2" s="325" t="s">
        <v>487</v>
      </c>
      <c r="FG2" s="325" t="s">
        <v>429</v>
      </c>
      <c r="FH2" s="325" t="s">
        <v>467</v>
      </c>
      <c r="FI2" s="325" t="s">
        <v>487</v>
      </c>
      <c r="FJ2" s="325" t="s">
        <v>429</v>
      </c>
      <c r="FK2">
        <v>1000</v>
      </c>
      <c r="FL2">
        <v>1</v>
      </c>
      <c r="FN2" s="828" t="s">
        <v>425</v>
      </c>
      <c r="FO2" s="828" t="s">
        <v>453</v>
      </c>
      <c r="FP2" s="828" t="s">
        <v>427</v>
      </c>
      <c r="FQ2" s="828" t="s">
        <v>467</v>
      </c>
      <c r="FR2" s="828" t="s">
        <v>487</v>
      </c>
      <c r="FS2" s="828" t="s">
        <v>429</v>
      </c>
      <c r="FT2" s="828" t="s">
        <v>467</v>
      </c>
      <c r="FU2" s="828" t="s">
        <v>487</v>
      </c>
      <c r="FV2" s="828" t="s">
        <v>429</v>
      </c>
      <c r="FW2">
        <v>1000</v>
      </c>
      <c r="FX2">
        <v>1</v>
      </c>
      <c r="FZ2" s="828" t="s">
        <v>425</v>
      </c>
      <c r="GA2" s="828" t="s">
        <v>453</v>
      </c>
      <c r="GB2" s="828" t="s">
        <v>427</v>
      </c>
      <c r="GC2" s="828" t="s">
        <v>467</v>
      </c>
      <c r="GD2" s="828" t="s">
        <v>487</v>
      </c>
      <c r="GE2" s="828" t="s">
        <v>429</v>
      </c>
      <c r="GF2" s="828" t="s">
        <v>467</v>
      </c>
      <c r="GG2" s="828" t="s">
        <v>487</v>
      </c>
      <c r="GH2" s="828" t="s">
        <v>429</v>
      </c>
      <c r="GI2">
        <v>1000</v>
      </c>
      <c r="GJ2">
        <v>1</v>
      </c>
      <c r="GM2" s="867" t="s">
        <v>425</v>
      </c>
      <c r="GN2" s="867" t="s">
        <v>453</v>
      </c>
      <c r="GO2" s="867" t="s">
        <v>427</v>
      </c>
      <c r="GP2" s="867" t="s">
        <v>429</v>
      </c>
      <c r="GQ2" s="867" t="s">
        <v>429</v>
      </c>
      <c r="GR2">
        <v>1000</v>
      </c>
      <c r="GS2">
        <v>1</v>
      </c>
      <c r="GU2" s="867" t="s">
        <v>425</v>
      </c>
      <c r="GV2" s="867" t="s">
        <v>453</v>
      </c>
      <c r="GW2" s="867" t="s">
        <v>467</v>
      </c>
      <c r="GX2" s="867" t="s">
        <v>487</v>
      </c>
      <c r="GY2" s="867" t="s">
        <v>429</v>
      </c>
      <c r="GZ2" s="867" t="s">
        <v>467</v>
      </c>
      <c r="HA2" s="867" t="s">
        <v>487</v>
      </c>
      <c r="HB2" s="867" t="s">
        <v>429</v>
      </c>
      <c r="HC2">
        <v>1000</v>
      </c>
      <c r="HD2">
        <v>1</v>
      </c>
    </row>
    <row r="3" spans="1:212" ht="15" customHeight="1" x14ac:dyDescent="0.25">
      <c r="A3" s="92" t="s">
        <v>486</v>
      </c>
      <c r="B3" s="92" t="s">
        <v>246</v>
      </c>
      <c r="C3" s="93">
        <v>43660135000</v>
      </c>
      <c r="D3" s="93">
        <f>+C3/$F$2*$G$2</f>
        <v>46410723.504999995</v>
      </c>
      <c r="E3" s="93">
        <v>0</v>
      </c>
      <c r="I3" s="90" t="s">
        <v>703</v>
      </c>
      <c r="J3" s="90" t="s">
        <v>704</v>
      </c>
      <c r="K3" s="91">
        <v>0</v>
      </c>
      <c r="M3" s="90" t="s">
        <v>703</v>
      </c>
      <c r="N3" s="90" t="s">
        <v>704</v>
      </c>
      <c r="O3" s="91">
        <v>2860372000</v>
      </c>
      <c r="P3" s="91">
        <f>+O3/$Q$2*$R$2</f>
        <v>3040575.4359999998</v>
      </c>
      <c r="T3" s="90" t="s">
        <v>703</v>
      </c>
      <c r="U3" s="90" t="s">
        <v>781</v>
      </c>
      <c r="V3" s="91">
        <v>2860372000</v>
      </c>
      <c r="W3" s="91">
        <f>+V3/$Y$2*$Z$2</f>
        <v>3040575.4359999998</v>
      </c>
      <c r="X3" s="91">
        <v>0</v>
      </c>
      <c r="AB3" s="90" t="s">
        <v>703</v>
      </c>
      <c r="AC3" s="90" t="s">
        <v>781</v>
      </c>
      <c r="AD3" s="91">
        <v>2860372000</v>
      </c>
      <c r="AE3" s="244">
        <f>+AD3/$AF$2*$AG$2</f>
        <v>3040575.4359999998</v>
      </c>
      <c r="AF3" s="81"/>
      <c r="AG3" s="81"/>
      <c r="AJ3" s="87" t="s">
        <v>544</v>
      </c>
      <c r="AK3" s="87" t="s">
        <v>545</v>
      </c>
      <c r="AL3" s="304" t="s">
        <v>825</v>
      </c>
      <c r="AM3" s="304" t="s">
        <v>826</v>
      </c>
      <c r="AN3" s="88">
        <v>10</v>
      </c>
      <c r="AO3" s="88">
        <v>0</v>
      </c>
      <c r="AP3" s="88">
        <v>0</v>
      </c>
      <c r="AQ3" s="309">
        <f t="shared" ref="AQ3:AS4" si="0">+AN3/$AT$2*$AU$2</f>
        <v>0.01</v>
      </c>
      <c r="AR3" s="309">
        <f t="shared" si="0"/>
        <v>0</v>
      </c>
      <c r="AS3" s="309">
        <f t="shared" si="0"/>
        <v>0</v>
      </c>
      <c r="AW3" s="87" t="s">
        <v>544</v>
      </c>
      <c r="AX3" s="87" t="s">
        <v>545</v>
      </c>
      <c r="AY3" s="87" t="s">
        <v>447</v>
      </c>
      <c r="AZ3" s="87" t="s">
        <v>447</v>
      </c>
      <c r="BA3" s="304" t="s">
        <v>825</v>
      </c>
      <c r="BB3" s="88">
        <v>10</v>
      </c>
      <c r="BC3" s="88">
        <v>0</v>
      </c>
      <c r="BD3" s="88">
        <v>0</v>
      </c>
      <c r="BE3" s="169">
        <f t="shared" ref="BE3:BG7" si="1">+BB3/$BH$2*$BI$2</f>
        <v>0.01</v>
      </c>
      <c r="BF3" s="169">
        <f t="shared" si="1"/>
        <v>0</v>
      </c>
      <c r="BG3" s="169">
        <f t="shared" si="1"/>
        <v>0</v>
      </c>
      <c r="BK3" s="89" t="s">
        <v>544</v>
      </c>
      <c r="BL3" s="89" t="s">
        <v>545</v>
      </c>
      <c r="BM3" s="366" t="s">
        <v>825</v>
      </c>
      <c r="BN3" s="366" t="s">
        <v>826</v>
      </c>
      <c r="BO3" s="80">
        <v>116132000</v>
      </c>
      <c r="BP3" s="80">
        <v>0</v>
      </c>
      <c r="BQ3" s="80">
        <v>0</v>
      </c>
      <c r="BR3" s="169">
        <f t="shared" ref="BR3:BT5" si="2">+BO3/$BU$2*$BV$2</f>
        <v>116132</v>
      </c>
      <c r="BS3" s="169">
        <f t="shared" si="2"/>
        <v>0</v>
      </c>
      <c r="BT3" s="169">
        <f t="shared" si="2"/>
        <v>0</v>
      </c>
      <c r="BX3" s="316" t="s">
        <v>544</v>
      </c>
      <c r="BY3" s="316" t="s">
        <v>545</v>
      </c>
      <c r="BZ3" s="317" t="s">
        <v>825</v>
      </c>
      <c r="CA3" s="318">
        <v>116132010</v>
      </c>
      <c r="CB3" s="318">
        <v>0</v>
      </c>
      <c r="CC3" s="318">
        <v>0</v>
      </c>
      <c r="CD3" s="169">
        <f t="shared" ref="CD3:CF7" si="3">+CA3/$CG$2*$CH$2</f>
        <v>116132.01</v>
      </c>
      <c r="CE3" s="169">
        <f t="shared" si="3"/>
        <v>0</v>
      </c>
      <c r="CF3" s="169">
        <f t="shared" si="3"/>
        <v>0</v>
      </c>
      <c r="CJ3" s="317" t="s">
        <v>703</v>
      </c>
      <c r="CK3" s="317" t="s">
        <v>781</v>
      </c>
      <c r="CL3" s="581">
        <v>454776000</v>
      </c>
      <c r="CM3" s="316">
        <v>0</v>
      </c>
      <c r="CN3" s="316">
        <v>0</v>
      </c>
      <c r="CO3" s="581">
        <f>+CL3/$CP$2*$CQ$2</f>
        <v>454776</v>
      </c>
      <c r="CS3" s="317" t="s">
        <v>544</v>
      </c>
      <c r="CT3" s="317" t="s">
        <v>545</v>
      </c>
      <c r="CU3" s="317" t="s">
        <v>825</v>
      </c>
      <c r="CV3" s="581">
        <v>116132010</v>
      </c>
      <c r="CW3" s="581">
        <v>0</v>
      </c>
      <c r="CX3" s="581">
        <v>0</v>
      </c>
      <c r="CY3" s="581">
        <f t="shared" ref="CY3:DA7" si="4">+CV3/$DB$2*$DC$2</f>
        <v>116132.01</v>
      </c>
      <c r="CZ3" s="581">
        <f t="shared" si="4"/>
        <v>0</v>
      </c>
      <c r="DA3" s="581">
        <f t="shared" si="4"/>
        <v>0</v>
      </c>
      <c r="DE3" s="637" t="s">
        <v>703</v>
      </c>
      <c r="DF3" s="637" t="s">
        <v>781</v>
      </c>
      <c r="DG3" s="638" t="s">
        <v>825</v>
      </c>
      <c r="DH3" s="639">
        <v>21830067000</v>
      </c>
      <c r="DI3" s="639">
        <v>0</v>
      </c>
      <c r="DJ3" s="639">
        <v>0</v>
      </c>
      <c r="DK3" s="640">
        <f>+DH3/$DL$2*$DM$2</f>
        <v>21830067</v>
      </c>
      <c r="DO3" s="87" t="s">
        <v>544</v>
      </c>
      <c r="DP3" s="87" t="s">
        <v>545</v>
      </c>
      <c r="DQ3" s="304" t="s">
        <v>825</v>
      </c>
      <c r="DR3" s="88">
        <v>116132010</v>
      </c>
      <c r="DS3" s="88">
        <v>0</v>
      </c>
      <c r="DT3" s="88">
        <v>0</v>
      </c>
      <c r="DU3" s="636">
        <f t="shared" ref="DU3:DW7" si="5">+DR3/$DX$2*$DY$2</f>
        <v>116132.01</v>
      </c>
      <c r="DV3" s="636">
        <f t="shared" si="5"/>
        <v>0</v>
      </c>
      <c r="DW3" s="636">
        <f t="shared" si="5"/>
        <v>0</v>
      </c>
      <c r="EA3" s="362" t="s">
        <v>712</v>
      </c>
      <c r="EB3" s="362" t="s">
        <v>713</v>
      </c>
      <c r="EC3" s="679" t="s">
        <v>825</v>
      </c>
      <c r="ED3" s="248">
        <v>-942984000</v>
      </c>
      <c r="EE3" s="248">
        <v>0</v>
      </c>
      <c r="EF3" s="248">
        <v>0</v>
      </c>
      <c r="EH3" s="688" t="s">
        <v>544</v>
      </c>
      <c r="EI3" s="688" t="s">
        <v>545</v>
      </c>
      <c r="EJ3" s="689" t="s">
        <v>825</v>
      </c>
      <c r="EK3" s="690">
        <v>116132010</v>
      </c>
      <c r="EL3" s="690">
        <v>0</v>
      </c>
      <c r="EM3" s="690">
        <v>0</v>
      </c>
      <c r="EN3" s="678">
        <f t="shared" ref="EN3:EP7" si="6">+EK3/$EQ$2*$ER$2</f>
        <v>116132.01</v>
      </c>
      <c r="EO3" s="678">
        <f t="shared" si="6"/>
        <v>0</v>
      </c>
      <c r="EP3" s="678">
        <f t="shared" si="6"/>
        <v>0</v>
      </c>
      <c r="ET3" s="664" t="s">
        <v>703</v>
      </c>
      <c r="EU3" s="664" t="s">
        <v>781</v>
      </c>
      <c r="EV3" s="366" t="s">
        <v>825</v>
      </c>
      <c r="EW3" s="80">
        <v>4635810000</v>
      </c>
      <c r="EX3" s="169">
        <f>+EW3/EY2*EZ2</f>
        <v>4635810</v>
      </c>
      <c r="FB3" s="316" t="s">
        <v>544</v>
      </c>
      <c r="FC3" s="664" t="s">
        <v>545</v>
      </c>
      <c r="FD3" s="366" t="s">
        <v>825</v>
      </c>
      <c r="FE3" s="80">
        <v>116132010</v>
      </c>
      <c r="FF3" s="80">
        <v>0</v>
      </c>
      <c r="FG3" s="80">
        <v>0</v>
      </c>
      <c r="FH3" s="169">
        <f t="shared" ref="FH3:FJ8" si="7">+FE3/$FK$2*$FL$2</f>
        <v>116132.01</v>
      </c>
      <c r="FI3" s="169">
        <f t="shared" si="7"/>
        <v>0</v>
      </c>
      <c r="FJ3" s="169">
        <f t="shared" si="7"/>
        <v>0</v>
      </c>
      <c r="FN3" s="316" t="s">
        <v>703</v>
      </c>
      <c r="FO3" s="316" t="s">
        <v>781</v>
      </c>
      <c r="FP3" s="317" t="s">
        <v>825</v>
      </c>
      <c r="FQ3" s="318">
        <v>12898063000</v>
      </c>
      <c r="FR3" s="802">
        <v>0</v>
      </c>
      <c r="FS3" s="802">
        <v>0</v>
      </c>
      <c r="FT3" s="244">
        <f>+FQ3/$FW$2*$FX$2</f>
        <v>12898063</v>
      </c>
      <c r="FU3" s="244">
        <f t="shared" ref="FU3:FV3" si="8">+FR3/$FW$2*$FX$2</f>
        <v>0</v>
      </c>
      <c r="FV3" s="244">
        <f t="shared" si="8"/>
        <v>0</v>
      </c>
      <c r="FZ3" s="89" t="s">
        <v>544</v>
      </c>
      <c r="GA3" s="89" t="s">
        <v>545</v>
      </c>
      <c r="GB3" s="366" t="s">
        <v>825</v>
      </c>
      <c r="GC3" s="80">
        <v>116132010</v>
      </c>
      <c r="GD3" s="80">
        <v>0</v>
      </c>
      <c r="GE3" s="80">
        <v>0</v>
      </c>
      <c r="GF3" s="80">
        <f>+GC3/$GI$2*$GJ$2</f>
        <v>116132.01</v>
      </c>
      <c r="GG3" s="80">
        <f t="shared" ref="GG3:GH8" si="9">+GD3/$GI$2*$GJ$2</f>
        <v>0</v>
      </c>
      <c r="GH3" s="80">
        <f t="shared" si="9"/>
        <v>0</v>
      </c>
      <c r="GM3" s="89" t="s">
        <v>544</v>
      </c>
      <c r="GN3" s="89" t="s">
        <v>545</v>
      </c>
      <c r="GO3" s="89" t="s">
        <v>825</v>
      </c>
      <c r="GP3" s="80">
        <v>0</v>
      </c>
      <c r="GQ3" s="80">
        <f>+GP3/$GR$2*$GS$2</f>
        <v>0</v>
      </c>
      <c r="GU3" s="833" t="s">
        <v>544</v>
      </c>
      <c r="GV3" s="833" t="s">
        <v>545</v>
      </c>
      <c r="GW3" s="813">
        <v>1493087010</v>
      </c>
      <c r="GX3" s="813">
        <v>0</v>
      </c>
      <c r="GY3" s="813">
        <v>0</v>
      </c>
      <c r="GZ3" s="169">
        <f>+GW3/$HC$2*$HD$2</f>
        <v>1493087.01</v>
      </c>
      <c r="HA3" s="169">
        <f t="shared" ref="HA3:HB3" si="10">+GX3/$HC$2*$HD$2</f>
        <v>0</v>
      </c>
      <c r="HB3" s="169">
        <f t="shared" si="10"/>
        <v>0</v>
      </c>
    </row>
    <row r="4" spans="1:212" ht="15" customHeight="1" x14ac:dyDescent="0.25">
      <c r="A4" s="92" t="s">
        <v>712</v>
      </c>
      <c r="B4" s="92" t="s">
        <v>713</v>
      </c>
      <c r="C4" s="93">
        <v>34794607000</v>
      </c>
      <c r="D4" s="93">
        <f>+C4/$F$2*$G$2</f>
        <v>36986667.240999997</v>
      </c>
      <c r="E4" s="93">
        <v>0</v>
      </c>
      <c r="I4" s="90" t="s">
        <v>712</v>
      </c>
      <c r="J4" s="90" t="s">
        <v>713</v>
      </c>
      <c r="K4" s="91">
        <v>0</v>
      </c>
      <c r="M4" s="90" t="s">
        <v>486</v>
      </c>
      <c r="N4" s="90" t="s">
        <v>246</v>
      </c>
      <c r="O4" s="91">
        <v>43660135000</v>
      </c>
      <c r="P4" s="91">
        <f>+O4/$Q$2*$R$2</f>
        <v>46410723.504999995</v>
      </c>
      <c r="T4" s="90" t="s">
        <v>486</v>
      </c>
      <c r="U4" s="90" t="s">
        <v>246</v>
      </c>
      <c r="V4" s="91">
        <v>43660135000</v>
      </c>
      <c r="W4" s="91">
        <f>+V4/$Y$2*$Z$2</f>
        <v>46410723.504999995</v>
      </c>
      <c r="X4" s="91">
        <v>0</v>
      </c>
      <c r="AB4" s="90" t="s">
        <v>486</v>
      </c>
      <c r="AC4" s="90" t="s">
        <v>246</v>
      </c>
      <c r="AD4" s="91">
        <v>43660135000</v>
      </c>
      <c r="AE4" s="244">
        <f>+AD4/$AF$2*$AG$2</f>
        <v>46410723.504999995</v>
      </c>
      <c r="AF4" s="81"/>
      <c r="AG4" s="81"/>
      <c r="AJ4" s="87" t="s">
        <v>544</v>
      </c>
      <c r="AK4" s="87" t="s">
        <v>545</v>
      </c>
      <c r="AL4" s="304" t="s">
        <v>825</v>
      </c>
      <c r="AM4" s="304" t="s">
        <v>826</v>
      </c>
      <c r="AN4" s="88">
        <v>0</v>
      </c>
      <c r="AO4" s="88">
        <v>1376955000</v>
      </c>
      <c r="AP4" s="88">
        <v>1376955000</v>
      </c>
      <c r="AQ4" s="309">
        <f t="shared" si="0"/>
        <v>0</v>
      </c>
      <c r="AR4" s="309">
        <f t="shared" si="0"/>
        <v>1376955</v>
      </c>
      <c r="AS4" s="309">
        <f t="shared" si="0"/>
        <v>1376955</v>
      </c>
      <c r="AW4" s="87" t="s">
        <v>544</v>
      </c>
      <c r="AX4" s="87" t="s">
        <v>545</v>
      </c>
      <c r="AY4" s="87" t="s">
        <v>447</v>
      </c>
      <c r="AZ4" s="87" t="s">
        <v>447</v>
      </c>
      <c r="BA4" s="304" t="s">
        <v>825</v>
      </c>
      <c r="BB4" s="88">
        <v>0</v>
      </c>
      <c r="BC4" s="88">
        <v>1376955000</v>
      </c>
      <c r="BD4" s="88">
        <v>1376955000</v>
      </c>
      <c r="BE4" s="169">
        <f t="shared" si="1"/>
        <v>0</v>
      </c>
      <c r="BF4" s="169">
        <f t="shared" si="1"/>
        <v>1376955</v>
      </c>
      <c r="BG4" s="169">
        <f t="shared" si="1"/>
        <v>1376955</v>
      </c>
      <c r="BK4" s="89" t="s">
        <v>544</v>
      </c>
      <c r="BL4" s="89" t="s">
        <v>545</v>
      </c>
      <c r="BM4" s="366" t="s">
        <v>825</v>
      </c>
      <c r="BN4" s="366" t="s">
        <v>826</v>
      </c>
      <c r="BO4" s="80">
        <v>0</v>
      </c>
      <c r="BP4" s="80">
        <v>116132000</v>
      </c>
      <c r="BQ4" s="80">
        <v>116132000</v>
      </c>
      <c r="BR4" s="169">
        <f t="shared" si="2"/>
        <v>0</v>
      </c>
      <c r="BS4" s="169">
        <f t="shared" si="2"/>
        <v>116132</v>
      </c>
      <c r="BT4" s="169">
        <f t="shared" si="2"/>
        <v>116132</v>
      </c>
      <c r="BX4" s="316" t="s">
        <v>544</v>
      </c>
      <c r="BY4" s="316" t="s">
        <v>545</v>
      </c>
      <c r="BZ4" s="317" t="s">
        <v>825</v>
      </c>
      <c r="CA4" s="318">
        <v>0</v>
      </c>
      <c r="CB4" s="318">
        <v>1493087000</v>
      </c>
      <c r="CC4" s="318">
        <v>1493087000</v>
      </c>
      <c r="CD4" s="169">
        <f t="shared" si="3"/>
        <v>0</v>
      </c>
      <c r="CE4" s="169">
        <f t="shared" si="3"/>
        <v>1493087</v>
      </c>
      <c r="CF4" s="169">
        <f t="shared" si="3"/>
        <v>1493087</v>
      </c>
      <c r="CJ4" s="317" t="s">
        <v>486</v>
      </c>
      <c r="CK4" s="317" t="s">
        <v>246</v>
      </c>
      <c r="CL4" s="581">
        <v>-1474804000</v>
      </c>
      <c r="CM4" s="316">
        <v>0</v>
      </c>
      <c r="CN4" s="316">
        <v>0</v>
      </c>
      <c r="CO4" s="581">
        <f>+CL4/$CP$2*$CQ$2</f>
        <v>-1474804</v>
      </c>
      <c r="CS4" s="317" t="s">
        <v>544</v>
      </c>
      <c r="CT4" s="317" t="s">
        <v>545</v>
      </c>
      <c r="CU4" s="317" t="s">
        <v>825</v>
      </c>
      <c r="CV4" s="581">
        <v>0</v>
      </c>
      <c r="CW4" s="581">
        <v>1493087000</v>
      </c>
      <c r="CX4" s="581">
        <v>1493087000</v>
      </c>
      <c r="CY4" s="581">
        <f t="shared" si="4"/>
        <v>0</v>
      </c>
      <c r="CZ4" s="581">
        <f t="shared" si="4"/>
        <v>1493087</v>
      </c>
      <c r="DA4" s="581">
        <f t="shared" si="4"/>
        <v>1493087</v>
      </c>
      <c r="DE4" s="637" t="s">
        <v>712</v>
      </c>
      <c r="DF4" s="637" t="s">
        <v>713</v>
      </c>
      <c r="DG4" s="638" t="s">
        <v>825</v>
      </c>
      <c r="DH4" s="639">
        <v>-23868290000</v>
      </c>
      <c r="DI4" s="639">
        <v>0</v>
      </c>
      <c r="DJ4" s="639">
        <v>0</v>
      </c>
      <c r="DK4" s="640">
        <f>+DH4/$DL$2*$DM$2</f>
        <v>-23868290</v>
      </c>
      <c r="DO4" s="87" t="s">
        <v>544</v>
      </c>
      <c r="DP4" s="87" t="s">
        <v>545</v>
      </c>
      <c r="DQ4" s="304" t="s">
        <v>825</v>
      </c>
      <c r="DR4" s="88">
        <v>0</v>
      </c>
      <c r="DS4" s="88">
        <v>1493087000</v>
      </c>
      <c r="DT4" s="88">
        <v>1493087000</v>
      </c>
      <c r="DU4" s="636">
        <f t="shared" si="5"/>
        <v>0</v>
      </c>
      <c r="DV4" s="636">
        <f t="shared" si="5"/>
        <v>1493087</v>
      </c>
      <c r="DW4" s="636">
        <f t="shared" si="5"/>
        <v>1493087</v>
      </c>
      <c r="EH4" s="688" t="s">
        <v>544</v>
      </c>
      <c r="EI4" s="688" t="s">
        <v>545</v>
      </c>
      <c r="EJ4" s="689" t="s">
        <v>825</v>
      </c>
      <c r="EK4" s="690">
        <v>0</v>
      </c>
      <c r="EL4" s="690">
        <v>1493087000</v>
      </c>
      <c r="EM4" s="690">
        <v>1493087000</v>
      </c>
      <c r="EN4" s="678">
        <f t="shared" si="6"/>
        <v>0</v>
      </c>
      <c r="EO4" s="678">
        <f t="shared" si="6"/>
        <v>1493087</v>
      </c>
      <c r="EP4" s="678">
        <f t="shared" si="6"/>
        <v>1493087</v>
      </c>
      <c r="FB4" s="316" t="s">
        <v>544</v>
      </c>
      <c r="FC4" s="664" t="s">
        <v>545</v>
      </c>
      <c r="FD4" s="366" t="s">
        <v>825</v>
      </c>
      <c r="FE4" s="80">
        <v>0</v>
      </c>
      <c r="FF4" s="80">
        <v>1493087000</v>
      </c>
      <c r="FG4" s="80">
        <v>1493087000</v>
      </c>
      <c r="FH4" s="169">
        <f t="shared" si="7"/>
        <v>0</v>
      </c>
      <c r="FI4" s="169">
        <f t="shared" si="7"/>
        <v>1493087</v>
      </c>
      <c r="FJ4" s="169">
        <f t="shared" si="7"/>
        <v>1493087</v>
      </c>
      <c r="FN4" s="316" t="s">
        <v>486</v>
      </c>
      <c r="FO4" s="316" t="s">
        <v>246</v>
      </c>
      <c r="FP4" s="317" t="s">
        <v>825</v>
      </c>
      <c r="FQ4" s="318">
        <v>-36526553000</v>
      </c>
      <c r="FR4" s="802">
        <v>0</v>
      </c>
      <c r="FS4" s="802">
        <v>0</v>
      </c>
      <c r="FT4" s="244">
        <f t="shared" ref="FT4:FT5" si="11">+FQ4/$FW$2*$FX$2</f>
        <v>-36526553</v>
      </c>
      <c r="FU4" s="244">
        <f t="shared" ref="FU4:FU5" si="12">+FR4/$FW$2*$FX$2</f>
        <v>0</v>
      </c>
      <c r="FV4" s="244">
        <f t="shared" ref="FV4:FV5" si="13">+FS4/$FW$2*$FX$2</f>
        <v>0</v>
      </c>
      <c r="FZ4" s="89" t="s">
        <v>544</v>
      </c>
      <c r="GA4" s="89" t="s">
        <v>545</v>
      </c>
      <c r="GB4" s="366" t="s">
        <v>825</v>
      </c>
      <c r="GC4" s="80">
        <v>0</v>
      </c>
      <c r="GD4" s="80">
        <v>1493087000</v>
      </c>
      <c r="GE4" s="80">
        <v>1493087000</v>
      </c>
      <c r="GF4" s="80">
        <f t="shared" ref="GF4:GF8" si="14">+GC4/$GI$2*$GJ$2</f>
        <v>0</v>
      </c>
      <c r="GG4" s="80">
        <f t="shared" si="9"/>
        <v>1493087</v>
      </c>
      <c r="GH4" s="80">
        <f t="shared" si="9"/>
        <v>1493087</v>
      </c>
      <c r="GM4" s="89" t="s">
        <v>703</v>
      </c>
      <c r="GN4" s="89" t="s">
        <v>781</v>
      </c>
      <c r="GO4" s="89" t="s">
        <v>825</v>
      </c>
      <c r="GP4" s="80">
        <v>33073588000</v>
      </c>
      <c r="GQ4" s="80">
        <f t="shared" ref="GQ4:GQ7" si="15">+GP4/$GR$2*$GS$2</f>
        <v>33073588</v>
      </c>
      <c r="GU4" s="833" t="s">
        <v>544</v>
      </c>
      <c r="GV4" s="833" t="s">
        <v>545</v>
      </c>
      <c r="GW4" s="813">
        <v>0</v>
      </c>
      <c r="GX4" s="813">
        <v>1493087000</v>
      </c>
      <c r="GY4" s="813">
        <v>1493087000</v>
      </c>
      <c r="GZ4" s="169">
        <f t="shared" ref="GZ4:GZ8" si="16">+GW4/$HC$2*$HD$2</f>
        <v>0</v>
      </c>
      <c r="HA4" s="169">
        <f t="shared" ref="HA4:HA8" si="17">+GX4/$HC$2*$HD$2</f>
        <v>1493087</v>
      </c>
      <c r="HB4" s="169">
        <f t="shared" ref="HB4:HB8" si="18">+GY4/$HC$2*$HD$2</f>
        <v>1493087</v>
      </c>
    </row>
    <row r="5" spans="1:212" ht="15" customHeight="1" x14ac:dyDescent="0.25">
      <c r="M5" s="90" t="s">
        <v>712</v>
      </c>
      <c r="N5" s="90" t="s">
        <v>713</v>
      </c>
      <c r="O5" s="91">
        <v>31934235000</v>
      </c>
      <c r="P5" s="91">
        <f>+O5/$Q$2*$R$2</f>
        <v>33946091.805</v>
      </c>
      <c r="T5" s="90" t="s">
        <v>712</v>
      </c>
      <c r="U5" s="90" t="s">
        <v>713</v>
      </c>
      <c r="V5" s="91">
        <v>31934235000</v>
      </c>
      <c r="W5" s="91">
        <f>+V5/$Y$2*$Z$2</f>
        <v>33946091.805</v>
      </c>
      <c r="X5" s="91">
        <v>0</v>
      </c>
      <c r="AB5" s="90" t="s">
        <v>712</v>
      </c>
      <c r="AC5" s="90" t="s">
        <v>713</v>
      </c>
      <c r="AD5" s="91">
        <v>31934235000</v>
      </c>
      <c r="AE5" s="244">
        <f>+AD5/$AF$2*$AG$2</f>
        <v>33946091.805</v>
      </c>
      <c r="AF5" s="81"/>
      <c r="AG5" s="81"/>
      <c r="AW5" s="87" t="s">
        <v>703</v>
      </c>
      <c r="AX5" s="87" t="s">
        <v>781</v>
      </c>
      <c r="AY5" s="87" t="s">
        <v>447</v>
      </c>
      <c r="AZ5" s="87" t="s">
        <v>447</v>
      </c>
      <c r="BA5" s="304" t="s">
        <v>825</v>
      </c>
      <c r="BB5" s="88">
        <v>2860372000</v>
      </c>
      <c r="BC5" s="88">
        <v>0</v>
      </c>
      <c r="BD5" s="88">
        <v>0</v>
      </c>
      <c r="BE5" s="169">
        <f t="shared" si="1"/>
        <v>2860372</v>
      </c>
      <c r="BF5" s="169">
        <f t="shared" si="1"/>
        <v>0</v>
      </c>
      <c r="BG5" s="169">
        <f t="shared" si="1"/>
        <v>0</v>
      </c>
      <c r="BK5" s="89" t="s">
        <v>486</v>
      </c>
      <c r="BL5" s="89" t="s">
        <v>246</v>
      </c>
      <c r="BM5" s="366" t="s">
        <v>825</v>
      </c>
      <c r="BN5" s="366" t="s">
        <v>846</v>
      </c>
      <c r="BO5" s="80">
        <v>-1266890000</v>
      </c>
      <c r="BP5" s="80">
        <v>0</v>
      </c>
      <c r="BQ5" s="80">
        <v>0</v>
      </c>
      <c r="BR5" s="169">
        <f t="shared" si="2"/>
        <v>-1266890</v>
      </c>
      <c r="BS5" s="169">
        <f t="shared" si="2"/>
        <v>0</v>
      </c>
      <c r="BT5" s="169">
        <f t="shared" si="2"/>
        <v>0</v>
      </c>
      <c r="BX5" s="316" t="s">
        <v>703</v>
      </c>
      <c r="BY5" s="316" t="s">
        <v>781</v>
      </c>
      <c r="BZ5" s="317" t="s">
        <v>825</v>
      </c>
      <c r="CA5" s="318">
        <v>2860372000</v>
      </c>
      <c r="CB5" s="318">
        <v>0</v>
      </c>
      <c r="CC5" s="318">
        <v>0</v>
      </c>
      <c r="CD5" s="169">
        <f t="shared" si="3"/>
        <v>2860372</v>
      </c>
      <c r="CE5" s="169">
        <f t="shared" si="3"/>
        <v>0</v>
      </c>
      <c r="CF5" s="169">
        <f t="shared" si="3"/>
        <v>0</v>
      </c>
      <c r="CJ5" s="317" t="s">
        <v>712</v>
      </c>
      <c r="CK5" s="317" t="s">
        <v>713</v>
      </c>
      <c r="CL5" s="581">
        <v>-1791711000</v>
      </c>
      <c r="CM5" s="316">
        <v>0</v>
      </c>
      <c r="CN5" s="316">
        <v>0</v>
      </c>
      <c r="CO5" s="581">
        <f>+CL5/$CP$2*$CQ$2</f>
        <v>-1791711</v>
      </c>
      <c r="CS5" s="317" t="s">
        <v>703</v>
      </c>
      <c r="CT5" s="317" t="s">
        <v>781</v>
      </c>
      <c r="CU5" s="317" t="s">
        <v>825</v>
      </c>
      <c r="CV5" s="581">
        <v>3315148000</v>
      </c>
      <c r="CW5" s="581">
        <v>0</v>
      </c>
      <c r="CX5" s="581">
        <v>0</v>
      </c>
      <c r="CY5" s="581">
        <f t="shared" si="4"/>
        <v>3315148</v>
      </c>
      <c r="CZ5" s="581">
        <f t="shared" si="4"/>
        <v>0</v>
      </c>
      <c r="DA5" s="581">
        <f t="shared" si="4"/>
        <v>0</v>
      </c>
      <c r="DO5" s="87" t="s">
        <v>703</v>
      </c>
      <c r="DP5" s="87" t="s">
        <v>781</v>
      </c>
      <c r="DQ5" s="304" t="s">
        <v>825</v>
      </c>
      <c r="DR5" s="88">
        <v>25145215000</v>
      </c>
      <c r="DS5" s="88">
        <v>0</v>
      </c>
      <c r="DT5" s="88">
        <v>0</v>
      </c>
      <c r="DU5" s="636">
        <f t="shared" si="5"/>
        <v>25145215</v>
      </c>
      <c r="DV5" s="636">
        <f t="shared" si="5"/>
        <v>0</v>
      </c>
      <c r="DW5" s="636">
        <f t="shared" si="5"/>
        <v>0</v>
      </c>
      <c r="EH5" s="688" t="s">
        <v>703</v>
      </c>
      <c r="EI5" s="688" t="s">
        <v>781</v>
      </c>
      <c r="EJ5" s="689" t="s">
        <v>825</v>
      </c>
      <c r="EK5" s="690">
        <v>25145215000</v>
      </c>
      <c r="EL5" s="690">
        <v>0</v>
      </c>
      <c r="EM5" s="690">
        <v>0</v>
      </c>
      <c r="EN5" s="678">
        <f t="shared" si="6"/>
        <v>25145215</v>
      </c>
      <c r="EO5" s="678">
        <f t="shared" si="6"/>
        <v>0</v>
      </c>
      <c r="EP5" s="678">
        <f t="shared" si="6"/>
        <v>0</v>
      </c>
      <c r="FB5" s="316" t="s">
        <v>703</v>
      </c>
      <c r="FC5" s="664" t="s">
        <v>781</v>
      </c>
      <c r="FD5" s="366" t="s">
        <v>825</v>
      </c>
      <c r="FE5" s="80">
        <v>25145215000</v>
      </c>
      <c r="FF5" s="80">
        <v>0</v>
      </c>
      <c r="FG5" s="80">
        <v>0</v>
      </c>
      <c r="FH5" s="169">
        <f t="shared" si="7"/>
        <v>25145215</v>
      </c>
      <c r="FI5" s="169">
        <f t="shared" si="7"/>
        <v>0</v>
      </c>
      <c r="FJ5" s="169">
        <f t="shared" si="7"/>
        <v>0</v>
      </c>
      <c r="FN5" s="316" t="s">
        <v>712</v>
      </c>
      <c r="FO5" s="316" t="s">
        <v>713</v>
      </c>
      <c r="FP5" s="317" t="s">
        <v>825</v>
      </c>
      <c r="FQ5" s="318">
        <v>8154047000</v>
      </c>
      <c r="FR5" s="802">
        <v>0</v>
      </c>
      <c r="FS5" s="802">
        <v>0</v>
      </c>
      <c r="FT5" s="244">
        <f t="shared" si="11"/>
        <v>8154047</v>
      </c>
      <c r="FU5" s="244">
        <f t="shared" si="12"/>
        <v>0</v>
      </c>
      <c r="FV5" s="244">
        <f t="shared" si="13"/>
        <v>0</v>
      </c>
      <c r="FZ5" s="89" t="s">
        <v>703</v>
      </c>
      <c r="GA5" s="89" t="s">
        <v>781</v>
      </c>
      <c r="GB5" s="366" t="s">
        <v>825</v>
      </c>
      <c r="GC5" s="80">
        <v>38043278000</v>
      </c>
      <c r="GD5" s="80">
        <v>0</v>
      </c>
      <c r="GE5" s="80">
        <v>0</v>
      </c>
      <c r="GF5" s="80">
        <f t="shared" si="14"/>
        <v>38043278</v>
      </c>
      <c r="GG5" s="80">
        <f t="shared" si="9"/>
        <v>0</v>
      </c>
      <c r="GH5" s="80">
        <f t="shared" si="9"/>
        <v>0</v>
      </c>
      <c r="GM5" s="89" t="s">
        <v>703</v>
      </c>
      <c r="GN5" s="89" t="s">
        <v>781</v>
      </c>
      <c r="GO5" s="89" t="s">
        <v>825</v>
      </c>
      <c r="GP5" s="80">
        <v>0</v>
      </c>
      <c r="GQ5" s="80">
        <f t="shared" si="15"/>
        <v>0</v>
      </c>
      <c r="GU5" s="833" t="s">
        <v>703</v>
      </c>
      <c r="GV5" s="833" t="s">
        <v>781</v>
      </c>
      <c r="GW5" s="813">
        <v>37857248000</v>
      </c>
      <c r="GX5" s="813">
        <v>0</v>
      </c>
      <c r="GY5" s="813">
        <v>0</v>
      </c>
      <c r="GZ5" s="169">
        <f t="shared" si="16"/>
        <v>37857248</v>
      </c>
      <c r="HA5" s="169">
        <f t="shared" si="17"/>
        <v>0</v>
      </c>
      <c r="HB5" s="169">
        <f t="shared" si="18"/>
        <v>0</v>
      </c>
    </row>
    <row r="6" spans="1:212" ht="15" customHeight="1" x14ac:dyDescent="0.25">
      <c r="W6" s="79">
        <f>SUM(W3:W5)</f>
        <v>83397390.745999992</v>
      </c>
      <c r="AW6" s="87" t="s">
        <v>486</v>
      </c>
      <c r="AX6" s="87" t="s">
        <v>246</v>
      </c>
      <c r="AY6" s="87" t="s">
        <v>447</v>
      </c>
      <c r="AZ6" s="87" t="s">
        <v>447</v>
      </c>
      <c r="BA6" s="304" t="s">
        <v>825</v>
      </c>
      <c r="BB6" s="88">
        <v>43660135000</v>
      </c>
      <c r="BC6" s="88">
        <v>0</v>
      </c>
      <c r="BD6" s="88">
        <v>0</v>
      </c>
      <c r="BE6" s="169">
        <f t="shared" si="1"/>
        <v>43660135</v>
      </c>
      <c r="BF6" s="169">
        <f t="shared" si="1"/>
        <v>0</v>
      </c>
      <c r="BG6" s="169">
        <f t="shared" si="1"/>
        <v>0</v>
      </c>
      <c r="BX6" s="316" t="s">
        <v>486</v>
      </c>
      <c r="BY6" s="316" t="s">
        <v>246</v>
      </c>
      <c r="BZ6" s="317" t="s">
        <v>825</v>
      </c>
      <c r="CA6" s="318">
        <v>42393245000</v>
      </c>
      <c r="CB6" s="318">
        <v>0</v>
      </c>
      <c r="CC6" s="318">
        <v>0</v>
      </c>
      <c r="CD6" s="169">
        <f t="shared" si="3"/>
        <v>42393245</v>
      </c>
      <c r="CE6" s="169">
        <f t="shared" si="3"/>
        <v>0</v>
      </c>
      <c r="CF6" s="169">
        <f t="shared" si="3"/>
        <v>0</v>
      </c>
      <c r="CS6" s="317" t="s">
        <v>486</v>
      </c>
      <c r="CT6" s="317" t="s">
        <v>246</v>
      </c>
      <c r="CU6" s="317" t="s">
        <v>825</v>
      </c>
      <c r="CV6" s="581">
        <v>37985246000</v>
      </c>
      <c r="CW6" s="581">
        <v>0</v>
      </c>
      <c r="CX6" s="581">
        <v>0</v>
      </c>
      <c r="CY6" s="581">
        <f t="shared" si="4"/>
        <v>37985246</v>
      </c>
      <c r="CZ6" s="581">
        <f t="shared" si="4"/>
        <v>0</v>
      </c>
      <c r="DA6" s="581">
        <f t="shared" si="4"/>
        <v>0</v>
      </c>
      <c r="DO6" s="87" t="s">
        <v>486</v>
      </c>
      <c r="DP6" s="87" t="s">
        <v>246</v>
      </c>
      <c r="DQ6" s="304" t="s">
        <v>825</v>
      </c>
      <c r="DR6" s="88">
        <v>37985246000</v>
      </c>
      <c r="DS6" s="88">
        <v>0</v>
      </c>
      <c r="DT6" s="88">
        <v>0</v>
      </c>
      <c r="DU6" s="636">
        <f t="shared" si="5"/>
        <v>37985246</v>
      </c>
      <c r="DV6" s="636">
        <f t="shared" si="5"/>
        <v>0</v>
      </c>
      <c r="DW6" s="636">
        <f t="shared" si="5"/>
        <v>0</v>
      </c>
      <c r="EH6" s="688" t="s">
        <v>486</v>
      </c>
      <c r="EI6" s="688" t="s">
        <v>246</v>
      </c>
      <c r="EJ6" s="689" t="s">
        <v>825</v>
      </c>
      <c r="EK6" s="690">
        <v>37985246000</v>
      </c>
      <c r="EL6" s="690">
        <v>0</v>
      </c>
      <c r="EM6" s="690">
        <v>0</v>
      </c>
      <c r="EN6" s="678">
        <f t="shared" si="6"/>
        <v>37985246</v>
      </c>
      <c r="EO6" s="678">
        <f t="shared" si="6"/>
        <v>0</v>
      </c>
      <c r="EP6" s="678">
        <f t="shared" si="6"/>
        <v>0</v>
      </c>
      <c r="FB6" s="316">
        <v>3302020</v>
      </c>
      <c r="FC6" s="664" t="s">
        <v>781</v>
      </c>
      <c r="FD6" s="366" t="s">
        <v>825</v>
      </c>
      <c r="FE6" s="80">
        <v>0</v>
      </c>
      <c r="FF6" s="80">
        <v>4635810000</v>
      </c>
      <c r="FG6" s="80">
        <v>4635810000</v>
      </c>
      <c r="FH6" s="169">
        <f t="shared" si="7"/>
        <v>0</v>
      </c>
      <c r="FI6" s="169">
        <f t="shared" si="7"/>
        <v>4635810</v>
      </c>
      <c r="FJ6" s="169">
        <f t="shared" si="7"/>
        <v>4635810</v>
      </c>
      <c r="FN6" s="75"/>
      <c r="FO6" s="75"/>
      <c r="FP6" s="75"/>
      <c r="FQ6" s="75"/>
      <c r="FZ6" s="89" t="s">
        <v>703</v>
      </c>
      <c r="GA6" s="89" t="s">
        <v>781</v>
      </c>
      <c r="GB6" s="366" t="s">
        <v>825</v>
      </c>
      <c r="GC6" s="80">
        <v>0</v>
      </c>
      <c r="GD6" s="80">
        <v>4635810000</v>
      </c>
      <c r="GE6" s="80">
        <v>4635810000</v>
      </c>
      <c r="GF6" s="80">
        <f t="shared" si="14"/>
        <v>0</v>
      </c>
      <c r="GG6" s="80">
        <f t="shared" si="9"/>
        <v>4635810</v>
      </c>
      <c r="GH6" s="80">
        <f t="shared" si="9"/>
        <v>4635810</v>
      </c>
      <c r="GM6" s="89" t="s">
        <v>486</v>
      </c>
      <c r="GN6" s="89" t="s">
        <v>246</v>
      </c>
      <c r="GO6" s="89" t="s">
        <v>825</v>
      </c>
      <c r="GP6" s="80">
        <v>0</v>
      </c>
      <c r="GQ6" s="80">
        <f t="shared" si="15"/>
        <v>0</v>
      </c>
      <c r="GU6" s="833" t="s">
        <v>703</v>
      </c>
      <c r="GV6" s="833" t="s">
        <v>781</v>
      </c>
      <c r="GW6" s="813">
        <v>0</v>
      </c>
      <c r="GX6" s="813">
        <v>37709398000</v>
      </c>
      <c r="GY6" s="813">
        <v>37709398000</v>
      </c>
      <c r="GZ6" s="169">
        <f t="shared" si="16"/>
        <v>0</v>
      </c>
      <c r="HA6" s="169">
        <f t="shared" si="17"/>
        <v>37709398</v>
      </c>
      <c r="HB6" s="169">
        <f t="shared" si="18"/>
        <v>37709398</v>
      </c>
    </row>
    <row r="7" spans="1:212" ht="15" customHeight="1" x14ac:dyDescent="0.25">
      <c r="AW7" s="87" t="s">
        <v>712</v>
      </c>
      <c r="AX7" s="87" t="s">
        <v>713</v>
      </c>
      <c r="AY7" s="87" t="s">
        <v>447</v>
      </c>
      <c r="AZ7" s="87" t="s">
        <v>447</v>
      </c>
      <c r="BA7" s="304" t="s">
        <v>825</v>
      </c>
      <c r="BB7" s="88">
        <v>31934235000</v>
      </c>
      <c r="BC7" s="88">
        <v>0</v>
      </c>
      <c r="BD7" s="88">
        <v>0</v>
      </c>
      <c r="BE7" s="169">
        <f t="shared" si="1"/>
        <v>31934235</v>
      </c>
      <c r="BF7" s="169">
        <f t="shared" si="1"/>
        <v>0</v>
      </c>
      <c r="BG7" s="169">
        <f t="shared" si="1"/>
        <v>0</v>
      </c>
      <c r="BX7" s="316" t="s">
        <v>712</v>
      </c>
      <c r="BY7" s="316" t="s">
        <v>713</v>
      </c>
      <c r="BZ7" s="317" t="s">
        <v>825</v>
      </c>
      <c r="CA7" s="318">
        <v>31934235000</v>
      </c>
      <c r="CB7" s="318">
        <v>0</v>
      </c>
      <c r="CC7" s="318">
        <v>0</v>
      </c>
      <c r="CD7" s="169">
        <f t="shared" si="3"/>
        <v>31934235</v>
      </c>
      <c r="CE7" s="169">
        <f t="shared" si="3"/>
        <v>0</v>
      </c>
      <c r="CF7" s="169">
        <f t="shared" si="3"/>
        <v>0</v>
      </c>
      <c r="CS7" s="317" t="s">
        <v>712</v>
      </c>
      <c r="CT7" s="317" t="s">
        <v>713</v>
      </c>
      <c r="CU7" s="317" t="s">
        <v>825</v>
      </c>
      <c r="CV7" s="581">
        <v>30142524000</v>
      </c>
      <c r="CW7" s="581">
        <v>0</v>
      </c>
      <c r="CX7" s="581">
        <v>0</v>
      </c>
      <c r="CY7" s="581">
        <f t="shared" si="4"/>
        <v>30142524</v>
      </c>
      <c r="CZ7" s="581">
        <f t="shared" si="4"/>
        <v>0</v>
      </c>
      <c r="DA7" s="581">
        <f t="shared" si="4"/>
        <v>0</v>
      </c>
      <c r="DO7" s="87" t="s">
        <v>712</v>
      </c>
      <c r="DP7" s="87" t="s">
        <v>713</v>
      </c>
      <c r="DQ7" s="304" t="s">
        <v>825</v>
      </c>
      <c r="DR7" s="88">
        <v>6274234000</v>
      </c>
      <c r="DS7" s="88">
        <v>0</v>
      </c>
      <c r="DT7" s="88">
        <v>0</v>
      </c>
      <c r="DU7" s="636">
        <f t="shared" si="5"/>
        <v>6274234</v>
      </c>
      <c r="DV7" s="636">
        <f t="shared" si="5"/>
        <v>0</v>
      </c>
      <c r="DW7" s="636">
        <f t="shared" si="5"/>
        <v>0</v>
      </c>
      <c r="EH7" s="688" t="s">
        <v>712</v>
      </c>
      <c r="EI7" s="688" t="s">
        <v>713</v>
      </c>
      <c r="EJ7" s="689" t="s">
        <v>825</v>
      </c>
      <c r="EK7" s="690">
        <v>5331250000</v>
      </c>
      <c r="EL7" s="690">
        <v>0</v>
      </c>
      <c r="EM7" s="690">
        <v>0</v>
      </c>
      <c r="EN7" s="678">
        <f t="shared" si="6"/>
        <v>5331250</v>
      </c>
      <c r="EO7" s="678">
        <f t="shared" si="6"/>
        <v>0</v>
      </c>
      <c r="EP7" s="678">
        <f t="shared" si="6"/>
        <v>0</v>
      </c>
      <c r="FB7" s="316" t="s">
        <v>486</v>
      </c>
      <c r="FC7" s="664" t="s">
        <v>246</v>
      </c>
      <c r="FD7" s="366" t="s">
        <v>825</v>
      </c>
      <c r="FE7" s="80">
        <v>37985246000</v>
      </c>
      <c r="FF7" s="80">
        <v>0</v>
      </c>
      <c r="FG7" s="80">
        <v>0</v>
      </c>
      <c r="FH7" s="169">
        <f t="shared" si="7"/>
        <v>37985246</v>
      </c>
      <c r="FI7" s="169">
        <f t="shared" si="7"/>
        <v>0</v>
      </c>
      <c r="FJ7" s="169">
        <f t="shared" si="7"/>
        <v>0</v>
      </c>
      <c r="FZ7" s="89" t="s">
        <v>486</v>
      </c>
      <c r="GA7" s="89" t="s">
        <v>246</v>
      </c>
      <c r="GB7" s="366" t="s">
        <v>825</v>
      </c>
      <c r="GC7" s="80">
        <v>1458693000</v>
      </c>
      <c r="GD7" s="80">
        <v>0</v>
      </c>
      <c r="GE7" s="80">
        <v>0</v>
      </c>
      <c r="GF7" s="80">
        <f t="shared" si="14"/>
        <v>1458693</v>
      </c>
      <c r="GG7" s="80">
        <f t="shared" si="9"/>
        <v>0</v>
      </c>
      <c r="GH7" s="80">
        <f t="shared" si="9"/>
        <v>0</v>
      </c>
      <c r="GM7" s="89" t="s">
        <v>712</v>
      </c>
      <c r="GN7" s="89" t="s">
        <v>713</v>
      </c>
      <c r="GO7" s="89" t="s">
        <v>825</v>
      </c>
      <c r="GP7" s="80">
        <v>0</v>
      </c>
      <c r="GQ7" s="80">
        <f t="shared" si="15"/>
        <v>0</v>
      </c>
      <c r="GU7" s="833" t="s">
        <v>486</v>
      </c>
      <c r="GV7" s="833" t="s">
        <v>246</v>
      </c>
      <c r="GW7" s="813">
        <v>0</v>
      </c>
      <c r="GX7" s="813">
        <v>0</v>
      </c>
      <c r="GY7" s="813">
        <v>0</v>
      </c>
      <c r="GZ7" s="169">
        <f t="shared" si="16"/>
        <v>0</v>
      </c>
      <c r="HA7" s="169">
        <f t="shared" si="17"/>
        <v>0</v>
      </c>
      <c r="HB7" s="169">
        <f t="shared" si="18"/>
        <v>0</v>
      </c>
    </row>
    <row r="8" spans="1:212" ht="15" customHeight="1" x14ac:dyDescent="0.25">
      <c r="CD8" s="291"/>
      <c r="CY8" s="291"/>
      <c r="FB8" s="316" t="s">
        <v>712</v>
      </c>
      <c r="FC8" s="664" t="s">
        <v>713</v>
      </c>
      <c r="FD8" s="366" t="s">
        <v>825</v>
      </c>
      <c r="FE8" s="80">
        <v>5331250000</v>
      </c>
      <c r="FF8" s="80">
        <v>0</v>
      </c>
      <c r="FG8" s="80">
        <v>0</v>
      </c>
      <c r="FH8" s="169">
        <f t="shared" si="7"/>
        <v>5331250</v>
      </c>
      <c r="FI8" s="169">
        <f t="shared" si="7"/>
        <v>0</v>
      </c>
      <c r="FJ8" s="169">
        <f t="shared" si="7"/>
        <v>0</v>
      </c>
      <c r="FZ8" s="89" t="s">
        <v>712</v>
      </c>
      <c r="GA8" s="89" t="s">
        <v>713</v>
      </c>
      <c r="GB8" s="366" t="s">
        <v>825</v>
      </c>
      <c r="GC8" s="80">
        <v>13485297000</v>
      </c>
      <c r="GD8" s="80">
        <v>0</v>
      </c>
      <c r="GE8" s="80">
        <v>0</v>
      </c>
      <c r="GF8" s="80">
        <f t="shared" si="14"/>
        <v>13485297</v>
      </c>
      <c r="GG8" s="80">
        <f t="shared" si="9"/>
        <v>0</v>
      </c>
      <c r="GH8" s="80">
        <f t="shared" si="9"/>
        <v>0</v>
      </c>
      <c r="GU8" s="833" t="s">
        <v>712</v>
      </c>
      <c r="GV8" s="833" t="s">
        <v>713</v>
      </c>
      <c r="GW8" s="813">
        <v>0</v>
      </c>
      <c r="GX8" s="813">
        <v>0</v>
      </c>
      <c r="GY8" s="813">
        <v>0</v>
      </c>
      <c r="GZ8" s="169">
        <f t="shared" si="16"/>
        <v>0</v>
      </c>
      <c r="HA8" s="169">
        <f t="shared" si="17"/>
        <v>0</v>
      </c>
      <c r="HB8" s="169">
        <f t="shared" si="18"/>
        <v>0</v>
      </c>
    </row>
    <row r="9" spans="1:212" ht="15" customHeight="1" x14ac:dyDescent="0.25">
      <c r="GU9" s="81"/>
      <c r="GV9" s="81"/>
      <c r="GW9" s="81"/>
      <c r="GX9" s="81"/>
      <c r="GY9" s="81"/>
    </row>
    <row r="10" spans="1:212" ht="15" customHeight="1" x14ac:dyDescent="0.25"/>
    <row r="11" spans="1:212" ht="15" customHeight="1" x14ac:dyDescent="0.25"/>
    <row r="14" spans="1:212" x14ac:dyDescent="0.25">
      <c r="BZ14" s="291"/>
    </row>
  </sheetData>
  <mergeCells count="21">
    <mergeCell ref="GM1:GS1"/>
    <mergeCell ref="GU1:HD1"/>
    <mergeCell ref="DE1:DL1"/>
    <mergeCell ref="DO1:DW1"/>
    <mergeCell ref="A1:E1"/>
    <mergeCell ref="I1:K1"/>
    <mergeCell ref="M1:P1"/>
    <mergeCell ref="T1:X1"/>
    <mergeCell ref="AB1:AF1"/>
    <mergeCell ref="CJ1:CO1"/>
    <mergeCell ref="CS1:DA1"/>
    <mergeCell ref="BK1:BV1"/>
    <mergeCell ref="BX1:CF1"/>
    <mergeCell ref="AJ1:AS1"/>
    <mergeCell ref="AW1:BG1"/>
    <mergeCell ref="FN1:FT1"/>
    <mergeCell ref="FZ1:GH1"/>
    <mergeCell ref="ET1:EZ1"/>
    <mergeCell ref="FB1:FJ1"/>
    <mergeCell ref="EA1:EF1"/>
    <mergeCell ref="EH1:EQ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28</vt:i4>
      </vt:variant>
    </vt:vector>
  </HeadingPairs>
  <TitlesOfParts>
    <vt:vector size="42" baseType="lpstr">
      <vt:lpstr>GRAFICOS</vt:lpstr>
      <vt:lpstr>Consolidado</vt:lpstr>
      <vt:lpstr>Prog 01</vt:lpstr>
      <vt:lpstr>P01 2022</vt:lpstr>
      <vt:lpstr>P01 2023</vt:lpstr>
      <vt:lpstr>Prog 02</vt:lpstr>
      <vt:lpstr>P02 2022</vt:lpstr>
      <vt:lpstr>P02 2023</vt:lpstr>
      <vt:lpstr>Prog 03</vt:lpstr>
      <vt:lpstr>P03 2023</vt:lpstr>
      <vt:lpstr>P03 2022</vt:lpstr>
      <vt:lpstr>Prog 05</vt:lpstr>
      <vt:lpstr>P05 2023</vt:lpstr>
      <vt:lpstr>P05 2022</vt:lpstr>
      <vt:lpstr>Consolidado!Área_de_impresión</vt:lpstr>
      <vt:lpstr>'Prog 01'!Área_de_impresión</vt:lpstr>
      <vt:lpstr>'Prog 02'!Área_de_impresión</vt:lpstr>
      <vt:lpstr>'Prog 03'!Área_de_impresión</vt:lpstr>
      <vt:lpstr>'Prog 05'!Área_de_impresión</vt:lpstr>
      <vt:lpstr>coincidenciaP01</vt:lpstr>
      <vt:lpstr>Compromiso_ENERO</vt:lpstr>
      <vt:lpstr>Concepto2022</vt:lpstr>
      <vt:lpstr>Devengado_enero</vt:lpstr>
      <vt:lpstr>Devengado2022</vt:lpstr>
      <vt:lpstr>EENERO23</vt:lpstr>
      <vt:lpstr>ENERO.P01.22</vt:lpstr>
      <vt:lpstr>ENERO2022</vt:lpstr>
      <vt:lpstr>enero2023</vt:lpstr>
      <vt:lpstr>indicep01</vt:lpstr>
      <vt:lpstr>'Prog 05'!matriz01</vt:lpstr>
      <vt:lpstr>matriz01</vt:lpstr>
      <vt:lpstr>matriz01.v2</vt:lpstr>
      <vt:lpstr>matriz02</vt:lpstr>
      <vt:lpstr>matriz03</vt:lpstr>
      <vt:lpstr>matriz2</vt:lpstr>
      <vt:lpstr>Requerimiento2022</vt:lpstr>
      <vt:lpstr>RequerimientoENERO</vt:lpstr>
      <vt:lpstr>Saldo_ENERO</vt:lpstr>
      <vt:lpstr>Consolidado!Títulos_a_imprimir</vt:lpstr>
      <vt:lpstr>'Prog 01'!Títulos_a_imprimir</vt:lpstr>
      <vt:lpstr>'Prog 03'!Títulos_a_imprimir</vt:lpstr>
      <vt:lpstr>'Prog 05'!Títulos_a_imprimir</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otorres</dc:creator>
  <cp:lastModifiedBy>Juan Ignacio Cancino Pacheco</cp:lastModifiedBy>
  <cp:lastPrinted>2019-10-07T18:45:55Z</cp:lastPrinted>
  <dcterms:created xsi:type="dcterms:W3CDTF">2010-11-09T14:43:23Z</dcterms:created>
  <dcterms:modified xsi:type="dcterms:W3CDTF">2023-05-09T23:18:20Z</dcterms:modified>
</cp:coreProperties>
</file>